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6"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dd/mm/yyyy\ hh:mm:ss"/>
    <numFmt numFmtId="165" formatCode="_(* #,##0.0_);_(* \(#,##0.0\);_(* &quot;-&quot;??_);_(@_)"/>
    <numFmt numFmtId="166" formatCode="_(* #,##0_);_(* \(#,##0\);_(* &quot;-&quot;??_);_(@_)"/>
    <numFmt numFmtId="167" formatCode="_ * #,##0.00_ ;_ * \-#,##0.00_ ;_ * &quot;-&quot;??_ ;_ @_ "/>
    <numFmt numFmtId="168" formatCode="0.0%"/>
    <numFmt numFmtId="169" formatCode="0.000%"/>
    <numFmt numFmtId="170" formatCode="0_ "/>
    <numFmt numFmtId="171" formatCode="_ &quot;₹&quot;\ * #,##0_ ;_ &quot;₹&quot;\ * \-#,##0_ ;_ &quot;₹&quot;\ * &quot;-&quot;??_ ;_ @_ "/>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3">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auto="1"/>
      </right>
      <top style="medium">
        <color indexed="64"/>
      </top>
      <bottom/>
      <diagonal/>
    </border>
    <border>
      <left style="medium">
        <color indexed="64"/>
      </left>
      <right/>
      <top/>
      <bottom/>
      <diagonal/>
    </border>
    <border>
      <left/>
      <right style="medium">
        <color indexed="64"/>
      </right>
      <top style="medium">
        <color indexed="64"/>
      </top>
      <bottom/>
      <diagonal/>
    </border>
    <border>
      <left/>
      <right style="thin">
        <color indexed="64"/>
      </right>
      <top/>
      <bottom/>
      <diagonal/>
    </border>
    <border>
      <left/>
      <right style="medium">
        <color indexed="64"/>
      </right>
      <top style="thin">
        <color auto="1"/>
      </top>
      <bottom/>
      <diagonal/>
    </border>
    <border>
      <left/>
      <right style="medium">
        <color indexed="64"/>
      </right>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620">
    <xf numFmtId="0" fontId="0" fillId="0" borderId="0" pivotButton="0" quotePrefix="0" xfId="0"/>
    <xf numFmtId="0" fontId="10" fillId="0" borderId="1" pivotButton="0" quotePrefix="0" xfId="0"/>
    <xf numFmtId="0" fontId="10" fillId="0" borderId="1" applyAlignment="1" pivotButton="0" quotePrefix="0" xfId="0">
      <alignment horizontal="center"/>
    </xf>
    <xf numFmtId="2" fontId="10" fillId="0" borderId="1" pivotButton="0" quotePrefix="0" xfId="0"/>
    <xf numFmtId="0" fontId="10" fillId="2" borderId="1" pivotButton="0" quotePrefix="0" xfId="0"/>
    <xf numFmtId="0" fontId="0" fillId="2" borderId="1" pivotButton="0" quotePrefix="0" xfId="0"/>
    <xf numFmtId="0" fontId="11" fillId="0" borderId="0" applyAlignment="1" pivotButton="0" quotePrefix="0" xfId="0">
      <alignment horizontal="left"/>
    </xf>
    <xf numFmtId="0" fontId="12" fillId="3" borderId="2" applyAlignment="1" pivotButton="0" quotePrefix="0" xfId="0">
      <alignment horizontal="center" vertical="center" wrapText="1"/>
    </xf>
    <xf numFmtId="0" fontId="13"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1" fillId="5" borderId="1" applyAlignment="1" pivotButton="0" quotePrefix="0" xfId="4">
      <alignment horizontal="center" vertical="center"/>
    </xf>
    <xf numFmtId="0" fontId="0" fillId="5" borderId="1" applyAlignment="1" pivotButton="0" quotePrefix="0" xfId="4">
      <alignment horizontal="center" vertical="center" wrapText="1"/>
    </xf>
    <xf numFmtId="0" fontId="12" fillId="3" borderId="3" applyAlignment="1" pivotButton="0" quotePrefix="0" xfId="0">
      <alignment horizontal="center" vertical="center" wrapText="1"/>
    </xf>
    <xf numFmtId="0" fontId="41" fillId="6" borderId="1" applyAlignment="1" pivotButton="0" quotePrefix="0" xfId="4">
      <alignment horizontal="center" vertical="center"/>
    </xf>
    <xf numFmtId="0" fontId="13" fillId="7" borderId="1" applyAlignment="1" pivotButton="0" quotePrefix="0" xfId="0">
      <alignment horizontal="center"/>
    </xf>
    <xf numFmtId="0" fontId="12" fillId="7" borderId="1" applyAlignment="1" pivotButton="0" quotePrefix="0" xfId="0">
      <alignment horizontal="center"/>
    </xf>
    <xf numFmtId="0" fontId="14" fillId="7" borderId="1" pivotButton="0" quotePrefix="0" xfId="0"/>
    <xf numFmtId="0" fontId="15" fillId="8" borderId="4" pivotButton="0" quotePrefix="0" xfId="5"/>
    <xf numFmtId="0" fontId="15" fillId="8" borderId="4" applyAlignment="1" pivotButton="0" quotePrefix="0" xfId="5">
      <alignment wrapText="1"/>
    </xf>
    <xf numFmtId="4" fontId="14" fillId="7" borderId="1" pivotButton="0" quotePrefix="0" xfId="0"/>
    <xf numFmtId="0" fontId="0" fillId="0" borderId="0" applyAlignment="1" pivotButton="0" quotePrefix="0" xfId="0">
      <alignment horizontal="center" vertical="center"/>
    </xf>
    <xf numFmtId="0" fontId="41"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8" fillId="0" borderId="6" applyAlignment="1" pivotButton="0" quotePrefix="0" xfId="0">
      <alignment vertical="center"/>
    </xf>
    <xf numFmtId="0" fontId="19" fillId="11" borderId="3" applyAlignment="1" applyProtection="1" pivotButton="0" quotePrefix="0" xfId="0">
      <alignment vertical="center"/>
      <protection locked="0" hidden="0"/>
    </xf>
    <xf numFmtId="0" fontId="18" fillId="0" borderId="3" applyAlignment="1" pivotButton="0" quotePrefix="0" xfId="0">
      <alignment horizontal="center" vertical="center"/>
    </xf>
    <xf numFmtId="0" fontId="18" fillId="0" borderId="3" applyAlignment="1" pivotButton="0" quotePrefix="0" xfId="0">
      <alignment horizontal="center" vertical="center" wrapText="1"/>
    </xf>
    <xf numFmtId="0" fontId="0" fillId="0" borderId="7" applyAlignment="1" pivotButton="0" quotePrefix="0" xfId="0">
      <alignment vertical="center" wrapText="1"/>
    </xf>
    <xf numFmtId="0" fontId="10" fillId="12" borderId="1" applyAlignment="1" applyProtection="1" pivotButton="0" quotePrefix="0" xfId="0">
      <alignment wrapText="1"/>
      <protection locked="0" hidden="0"/>
    </xf>
    <xf numFmtId="0" fontId="10"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0" fillId="9" borderId="1" applyAlignment="1" applyProtection="1" pivotButton="0" quotePrefix="0" xfId="0">
      <alignment wrapText="1"/>
      <protection locked="0" hidden="0"/>
    </xf>
    <xf numFmtId="0" fontId="10"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0"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0" fillId="11" borderId="3" applyProtection="1" pivotButton="0" quotePrefix="0" xfId="0">
      <protection locked="0" hidden="0"/>
    </xf>
    <xf numFmtId="0" fontId="10"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8"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8" fillId="17" borderId="1" applyAlignment="1" pivotButton="0" quotePrefix="0" xfId="0">
      <alignment vertical="center" wrapText="1"/>
    </xf>
    <xf numFmtId="0" fontId="18" fillId="17" borderId="1" applyAlignment="1" pivotButton="0" quotePrefix="0" xfId="0">
      <alignment horizontal="center" vertical="center" wrapText="1"/>
    </xf>
    <xf numFmtId="0" fontId="0" fillId="17" borderId="1" pivotButton="0" quotePrefix="0" xfId="0"/>
    <xf numFmtId="0" fontId="22"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0" fillId="0" borderId="9" applyAlignment="1" pivotButton="0" quotePrefix="0" xfId="0">
      <alignment horizontal="left" vertical="center"/>
    </xf>
    <xf numFmtId="0" fontId="0" fillId="0" borderId="1" applyAlignment="1" pivotButton="0" quotePrefix="0" xfId="0">
      <alignment vertical="center"/>
    </xf>
    <xf numFmtId="0" fontId="21" fillId="0" borderId="9" applyAlignment="1" pivotButton="0" quotePrefix="0" xfId="0">
      <alignment horizontal="left" vertical="center"/>
    </xf>
    <xf numFmtId="0" fontId="0" fillId="17" borderId="1" applyAlignment="1" pivotButton="0" quotePrefix="0" xfId="0">
      <alignment vertical="center"/>
    </xf>
    <xf numFmtId="1" fontId="18" fillId="0" borderId="13" applyAlignment="1" pivotButton="0" quotePrefix="0" xfId="0">
      <alignment vertical="center"/>
    </xf>
    <xf numFmtId="2" fontId="18" fillId="0" borderId="0" applyAlignment="1" pivotButton="0" quotePrefix="0" xfId="0">
      <alignment horizontal="center" vertical="center"/>
    </xf>
    <xf numFmtId="0" fontId="18" fillId="18" borderId="6" applyAlignment="1" pivotButton="0" quotePrefix="0" xfId="0">
      <alignment horizontal="center" vertical="center"/>
    </xf>
    <xf numFmtId="0" fontId="18" fillId="18" borderId="3" applyAlignment="1" pivotButton="0" quotePrefix="0" xfId="0">
      <alignment horizontal="center" vertical="center"/>
    </xf>
    <xf numFmtId="0" fontId="18"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8"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8"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3"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4"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5" fillId="0" borderId="17" applyAlignment="1" pivotButton="0" quotePrefix="0" xfId="0">
      <alignment vertical="center"/>
    </xf>
    <xf numFmtId="0" fontId="0" fillId="23" borderId="1" applyAlignment="1" pivotButton="0" quotePrefix="0" xfId="0">
      <alignment horizontal="right"/>
    </xf>
    <xf numFmtId="0" fontId="18" fillId="0" borderId="0" applyAlignment="1" pivotButton="0" quotePrefix="0" xfId="0">
      <alignment horizontal="right" vertical="center"/>
    </xf>
    <xf numFmtId="2" fontId="27"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7" fillId="0" borderId="0" applyAlignment="1" pivotButton="0" quotePrefix="0" xfId="0">
      <alignment horizontal="right"/>
    </xf>
    <xf numFmtId="0" fontId="0" fillId="0" borderId="0" applyAlignment="1" pivotButton="0" quotePrefix="0" xfId="0">
      <alignment horizontal="right"/>
    </xf>
    <xf numFmtId="0" fontId="21" fillId="0" borderId="0" pivotButton="0" quotePrefix="0" xfId="0"/>
    <xf numFmtId="2" fontId="21"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8" fillId="0" borderId="0" applyAlignment="1" pivotButton="0" quotePrefix="0" xfId="0">
      <alignment horizontal="center" vertical="center"/>
    </xf>
    <xf numFmtId="0" fontId="18" fillId="0" borderId="1" applyAlignment="1" pivotButton="0" quotePrefix="0" xfId="0">
      <alignment vertical="center"/>
    </xf>
    <xf numFmtId="0" fontId="28" fillId="0" borderId="0" applyAlignment="1" pivotButton="0" quotePrefix="0" xfId="0">
      <alignment horizontal="center"/>
    </xf>
    <xf numFmtId="0" fontId="0" fillId="20" borderId="1" applyAlignment="1" pivotButton="0" quotePrefix="0" xfId="0">
      <alignment vertical="center"/>
    </xf>
    <xf numFmtId="0" fontId="28"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8" fillId="10" borderId="1" pivotButton="0" quotePrefix="0" xfId="0"/>
    <xf numFmtId="9" fontId="18" fillId="10" borderId="1" pivotButton="0" quotePrefix="0" xfId="0"/>
    <xf numFmtId="2" fontId="18" fillId="10" borderId="1" pivotButton="0" quotePrefix="0" xfId="0"/>
    <xf numFmtId="2" fontId="0" fillId="10" borderId="1" pivotButton="0" quotePrefix="0" xfId="0"/>
    <xf numFmtId="1" fontId="0" fillId="10" borderId="1" pivotButton="0" quotePrefix="0" xfId="0"/>
    <xf numFmtId="0" fontId="31" fillId="26" borderId="1" applyAlignment="1" pivotButton="0" quotePrefix="0" xfId="0">
      <alignment vertical="center" wrapText="1"/>
    </xf>
    <xf numFmtId="0" fontId="31" fillId="26" borderId="1" applyAlignment="1" pivotButton="0" quotePrefix="0" xfId="0">
      <alignment horizontal="center" vertical="center" wrapText="1"/>
    </xf>
    <xf numFmtId="2" fontId="18" fillId="18" borderId="1" pivotButton="0" quotePrefix="0" xfId="0"/>
    <xf numFmtId="0" fontId="18"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5" fillId="27" borderId="4" applyAlignment="1" pivotButton="0" quotePrefix="0" xfId="5">
      <alignment horizontal="center"/>
    </xf>
    <xf numFmtId="0" fontId="15" fillId="25" borderId="4" applyAlignment="1" pivotButton="0" quotePrefix="0" xfId="5">
      <alignment horizontal="center" vertical="center"/>
    </xf>
    <xf numFmtId="0" fontId="15"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1" fillId="29" borderId="1" pivotButton="0" quotePrefix="0" xfId="7"/>
    <xf numFmtId="2" fontId="0" fillId="0" borderId="0" applyAlignment="1" pivotButton="0" quotePrefix="0" xfId="0">
      <alignment horizontal="right" vertical="center"/>
    </xf>
    <xf numFmtId="2" fontId="41"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2" fillId="30" borderId="7" pivotButton="0" quotePrefix="0" xfId="0"/>
    <xf numFmtId="0" fontId="32" fillId="30" borderId="10" pivotButton="0" quotePrefix="0" xfId="0"/>
    <xf numFmtId="0" fontId="33" fillId="0" borderId="0" pivotButton="0" quotePrefix="0" xfId="0"/>
    <xf numFmtId="0" fontId="34" fillId="0" borderId="0" pivotButton="0" quotePrefix="0" xfId="0"/>
    <xf numFmtId="0" fontId="33"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8" fillId="11" borderId="6" applyAlignment="1" pivotButton="0" quotePrefix="0" xfId="0">
      <alignment horizontal="center" vertical="center"/>
    </xf>
    <xf numFmtId="0" fontId="18"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5" fillId="0" borderId="32" pivotButton="0" quotePrefix="0" xfId="0"/>
    <xf numFmtId="0" fontId="10" fillId="14" borderId="1" pivotButton="0" quotePrefix="0" xfId="0"/>
    <xf numFmtId="2" fontId="0" fillId="14" borderId="1" pivotButton="0" quotePrefix="0" xfId="0"/>
    <xf numFmtId="0" fontId="20" fillId="0" borderId="1" pivotButton="0" quotePrefix="0" xfId="0"/>
    <xf numFmtId="0" fontId="0" fillId="0" borderId="0" applyAlignment="1" pivotButton="0" quotePrefix="0" xfId="0">
      <alignment wrapText="1"/>
    </xf>
    <xf numFmtId="0" fontId="27" fillId="0" borderId="1" pivotButton="0" quotePrefix="0" xfId="0"/>
    <xf numFmtId="0" fontId="20" fillId="0" borderId="32" pivotButton="0" quotePrefix="0" xfId="0"/>
    <xf numFmtId="0" fontId="20" fillId="0" borderId="31" pivotButton="0" quotePrefix="0" xfId="0"/>
    <xf numFmtId="0" fontId="0" fillId="32" borderId="31" pivotButton="0" quotePrefix="0" xfId="0"/>
    <xf numFmtId="0" fontId="0" fillId="32" borderId="1" pivotButton="0" quotePrefix="0" xfId="0"/>
    <xf numFmtId="0" fontId="35" fillId="32" borderId="32" pivotButton="0" quotePrefix="0" xfId="0"/>
    <xf numFmtId="0" fontId="0" fillId="0" borderId="28" pivotButton="0" quotePrefix="0" xfId="0"/>
    <xf numFmtId="0" fontId="35"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7" fillId="16" borderId="39" applyAlignment="1" pivotButton="0" quotePrefix="0" xfId="0">
      <alignment vertical="center"/>
    </xf>
    <xf numFmtId="9" fontId="22"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40" fillId="7" borderId="0" pivotButton="0" quotePrefix="0" xfId="0"/>
    <xf numFmtId="0" fontId="18" fillId="0" borderId="5" applyAlignment="1" pivotButton="0" quotePrefix="0" xfId="0">
      <alignment horizontal="center" vertical="center" wrapText="1"/>
    </xf>
    <xf numFmtId="1" fontId="0" fillId="0" borderId="13" pivotButton="0" quotePrefix="0" xfId="0"/>
    <xf numFmtId="0" fontId="9" fillId="0" borderId="0" pivotButton="0" quotePrefix="0" xfId="0"/>
    <xf numFmtId="0" fontId="42" fillId="7" borderId="0" applyAlignment="1" pivotButton="0" quotePrefix="0" xfId="0">
      <alignment horizontal="left" vertical="center" wrapText="1"/>
    </xf>
    <xf numFmtId="0" fontId="42" fillId="7" borderId="17" applyAlignment="1" pivotButton="0" quotePrefix="0" xfId="0">
      <alignment horizontal="left" vertical="center" wrapText="1"/>
    </xf>
    <xf numFmtId="0" fontId="42" fillId="7" borderId="21" applyAlignment="1" pivotButton="0" quotePrefix="0" xfId="0">
      <alignment horizontal="left" vertical="center" wrapText="1"/>
    </xf>
    <xf numFmtId="0" fontId="42" fillId="7" borderId="17" applyAlignment="1" pivotButton="0" quotePrefix="0" xfId="0">
      <alignment horizontal="left" vertical="top" wrapText="1"/>
    </xf>
    <xf numFmtId="0" fontId="42" fillId="7" borderId="0" applyAlignment="1" pivotButton="0" quotePrefix="0" xfId="0">
      <alignment horizontal="left" vertical="top" wrapText="1"/>
    </xf>
    <xf numFmtId="0" fontId="42" fillId="7" borderId="21" applyAlignment="1" pivotButton="0" quotePrefix="0" xfId="0">
      <alignment horizontal="left" vertical="top" wrapText="1"/>
    </xf>
    <xf numFmtId="0" fontId="20" fillId="7" borderId="38" applyAlignment="1" pivotButton="0" quotePrefix="0" xfId="0">
      <alignment horizontal="center" vertical="center"/>
    </xf>
    <xf numFmtId="0" fontId="8" fillId="0" borderId="0" pivotButton="0" quotePrefix="0" xfId="0"/>
    <xf numFmtId="0" fontId="7" fillId="0" borderId="0" applyAlignment="1" pivotButton="0" quotePrefix="0" xfId="0">
      <alignment vertical="center"/>
    </xf>
    <xf numFmtId="0" fontId="18" fillId="17" borderId="10" applyAlignment="1" pivotButton="0" quotePrefix="0" xfId="0">
      <alignment horizontal="center" vertical="center" wrapText="1"/>
    </xf>
    <xf numFmtId="1" fontId="0" fillId="7" borderId="1" applyAlignment="1" pivotButton="0" quotePrefix="0" xfId="0">
      <alignment horizontal="center"/>
    </xf>
    <xf numFmtId="0" fontId="44" fillId="0" borderId="0" pivotButton="0" quotePrefix="0" xfId="0"/>
    <xf numFmtId="0" fontId="46" fillId="0" borderId="21" pivotButton="0" quotePrefix="0" xfId="6"/>
    <xf numFmtId="0" fontId="47" fillId="0" borderId="17" applyAlignment="1" pivotButton="0" quotePrefix="0" xfId="6">
      <alignment horizontal="center"/>
    </xf>
    <xf numFmtId="0" fontId="47" fillId="0" borderId="15" applyAlignment="1" pivotButton="0" quotePrefix="0" xfId="6">
      <alignment horizontal="left" vertical="center"/>
    </xf>
    <xf numFmtId="0" fontId="46" fillId="0" borderId="16" pivotButton="0" quotePrefix="0" xfId="6"/>
    <xf numFmtId="0" fontId="47" fillId="0" borderId="28" applyAlignment="1" pivotButton="0" quotePrefix="0" xfId="6">
      <alignment horizontal="center" vertical="center"/>
    </xf>
    <xf numFmtId="0" fontId="46" fillId="0" borderId="42" applyAlignment="1" pivotButton="0" quotePrefix="0" xfId="6">
      <alignment horizontal="center"/>
    </xf>
    <xf numFmtId="0" fontId="46" fillId="0" borderId="3" pivotButton="0" quotePrefix="0" xfId="6"/>
    <xf numFmtId="0" fontId="46" fillId="0" borderId="31" applyAlignment="1" pivotButton="0" quotePrefix="0" xfId="6">
      <alignment horizontal="center"/>
    </xf>
    <xf numFmtId="0" fontId="46" fillId="0" borderId="1" pivotButton="0" quotePrefix="0" xfId="6"/>
    <xf numFmtId="1" fontId="46" fillId="0" borderId="1" applyAlignment="1" pivotButton="0" quotePrefix="0" xfId="6">
      <alignment horizontal="center"/>
    </xf>
    <xf numFmtId="0" fontId="46" fillId="7" borderId="1" pivotButton="0" quotePrefix="0" xfId="6"/>
    <xf numFmtId="1" fontId="46" fillId="0" borderId="21" pivotButton="0" quotePrefix="0" xfId="6"/>
    <xf numFmtId="0" fontId="46" fillId="7" borderId="2" pivotButton="0" quotePrefix="0" xfId="6"/>
    <xf numFmtId="0" fontId="46" fillId="0" borderId="2" pivotButton="0" quotePrefix="0" xfId="6"/>
    <xf numFmtId="0" fontId="46" fillId="0" borderId="2" applyAlignment="1" pivotButton="0" quotePrefix="0" xfId="6">
      <alignment horizontal="center" vertical="center"/>
    </xf>
    <xf numFmtId="0" fontId="47" fillId="0" borderId="40" applyAlignment="1" pivotButton="0" quotePrefix="0" xfId="6">
      <alignment horizontal="center"/>
    </xf>
    <xf numFmtId="0" fontId="47" fillId="0" borderId="21" pivotButton="0" quotePrefix="0" xfId="6"/>
    <xf numFmtId="0" fontId="46" fillId="0" borderId="17" applyAlignment="1" pivotButton="0" quotePrefix="0" xfId="6">
      <alignment horizontal="center"/>
    </xf>
    <xf numFmtId="0" fontId="47" fillId="0" borderId="17" applyAlignment="1" pivotButton="0" quotePrefix="0" xfId="6">
      <alignment horizontal="left"/>
    </xf>
    <xf numFmtId="0" fontId="47" fillId="0" borderId="24" applyAlignment="1" pivotButton="0" quotePrefix="0" xfId="6">
      <alignment horizontal="center"/>
    </xf>
    <xf numFmtId="0" fontId="47" fillId="0" borderId="7" applyAlignment="1" pivotButton="0" quotePrefix="0" xfId="6">
      <alignment horizontal="center"/>
    </xf>
    <xf numFmtId="0" fontId="47" fillId="0" borderId="11" applyAlignment="1" pivotButton="0" quotePrefix="0" xfId="6">
      <alignment horizontal="center"/>
    </xf>
    <xf numFmtId="0" fontId="46" fillId="0" borderId="36" applyAlignment="1" pivotButton="0" quotePrefix="0" xfId="6">
      <alignment horizontal="center"/>
    </xf>
    <xf numFmtId="0" fontId="46" fillId="0" borderId="32" applyAlignment="1" pivotButton="0" quotePrefix="0" xfId="6">
      <alignment horizontal="center"/>
    </xf>
    <xf numFmtId="0" fontId="46" fillId="0" borderId="0" pivotButton="0" quotePrefix="0" xfId="6"/>
    <xf numFmtId="0" fontId="47" fillId="0" borderId="0" pivotButton="0" quotePrefix="0" xfId="6"/>
    <xf numFmtId="0" fontId="46" fillId="0" borderId="16" applyAlignment="1" pivotButton="0" quotePrefix="0" xfId="6">
      <alignment horizontal="center"/>
    </xf>
    <xf numFmtId="0" fontId="46" fillId="0" borderId="19" applyAlignment="1" pivotButton="0" quotePrefix="0" xfId="6">
      <alignment horizontal="center"/>
    </xf>
    <xf numFmtId="0" fontId="47" fillId="0" borderId="25" pivotButton="0" quotePrefix="0" xfId="6"/>
    <xf numFmtId="0" fontId="47" fillId="0" borderId="28" pivotButton="0" quotePrefix="0" xfId="6"/>
    <xf numFmtId="0" fontId="47" fillId="33" borderId="1" applyAlignment="1" pivotButton="0" quotePrefix="0" xfId="6">
      <alignment horizontal="center"/>
    </xf>
    <xf numFmtId="0" fontId="0" fillId="34" borderId="0" pivotButton="0" quotePrefix="0" xfId="0"/>
    <xf numFmtId="0" fontId="6" fillId="34" borderId="0" pivotButton="0" quotePrefix="0" xfId="0"/>
    <xf numFmtId="0" fontId="0" fillId="34" borderId="0" applyAlignment="1" pivotButton="0" quotePrefix="0" xfId="0">
      <alignment vertical="center"/>
    </xf>
    <xf numFmtId="0" fontId="6" fillId="0" borderId="7" pivotButton="0" quotePrefix="0" xfId="0"/>
    <xf numFmtId="1" fontId="46" fillId="7" borderId="3" applyAlignment="1" pivotButton="0" quotePrefix="0" xfId="6">
      <alignment horizontal="center"/>
    </xf>
    <xf numFmtId="0" fontId="47"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7" fillId="0" borderId="19" applyAlignment="1" pivotButton="0" quotePrefix="0" xfId="6">
      <alignment vertical="center"/>
    </xf>
    <xf numFmtId="0" fontId="47" fillId="0" borderId="19" applyAlignment="1" pivotButton="0" quotePrefix="0" xfId="6">
      <alignment horizontal="center" vertical="center"/>
    </xf>
    <xf numFmtId="0" fontId="48" fillId="0" borderId="1" pivotButton="0" quotePrefix="0" xfId="6"/>
    <xf numFmtId="0" fontId="46" fillId="0" borderId="1" applyAlignment="1" pivotButton="0" quotePrefix="0" xfId="6">
      <alignment horizontal="right" vertical="center"/>
    </xf>
    <xf numFmtId="0" fontId="47" fillId="0" borderId="1" pivotButton="0" quotePrefix="0" xfId="6"/>
    <xf numFmtId="0" fontId="47" fillId="0" borderId="20" applyAlignment="1" pivotButton="0" quotePrefix="0" xfId="6">
      <alignment horizontal="center"/>
    </xf>
    <xf numFmtId="0" fontId="48" fillId="0" borderId="25" pivotButton="0" quotePrefix="0" xfId="6"/>
    <xf numFmtId="0" fontId="52" fillId="35" borderId="16" applyAlignment="1" pivotButton="0" quotePrefix="0" xfId="6">
      <alignment horizontal="right"/>
    </xf>
    <xf numFmtId="0" fontId="0" fillId="0" borderId="25" pivotButton="0" quotePrefix="0" xfId="0"/>
    <xf numFmtId="0" fontId="47" fillId="0" borderId="25" applyAlignment="1" pivotButton="0" quotePrefix="0" xfId="6">
      <alignment horizontal="center"/>
    </xf>
    <xf numFmtId="14" fontId="47" fillId="0" borderId="30" pivotButton="0" quotePrefix="0" xfId="6"/>
    <xf numFmtId="0" fontId="47" fillId="0" borderId="31" applyAlignment="1" pivotButton="0" quotePrefix="0" xfId="6">
      <alignment vertical="center"/>
    </xf>
    <xf numFmtId="0" fontId="47" fillId="0" borderId="31" pivotButton="0" quotePrefix="0" xfId="6"/>
    <xf numFmtId="0" fontId="47" fillId="7" borderId="32" pivotButton="0" quotePrefix="0" xfId="6"/>
    <xf numFmtId="0" fontId="47" fillId="0" borderId="28" applyAlignment="1" pivotButton="0" quotePrefix="0" xfId="6">
      <alignment horizontal="left"/>
    </xf>
    <xf numFmtId="0" fontId="47" fillId="0" borderId="56" applyAlignment="1" pivotButton="0" quotePrefix="0" xfId="6">
      <alignment horizontal="center" vertical="center"/>
    </xf>
    <xf numFmtId="0" fontId="46" fillId="0" borderId="1" applyAlignment="1" pivotButton="0" quotePrefix="0" xfId="6">
      <alignment horizontal="center" wrapText="1"/>
    </xf>
    <xf numFmtId="0" fontId="46" fillId="0" borderId="1" applyAlignment="1" pivotButton="0" quotePrefix="0" xfId="6">
      <alignment horizontal="center" vertical="center" wrapText="1"/>
    </xf>
    <xf numFmtId="0" fontId="20" fillId="0" borderId="0" applyAlignment="1" pivotButton="0" quotePrefix="0" xfId="0">
      <alignment horizontal="center" vertical="center"/>
    </xf>
    <xf numFmtId="0" fontId="46" fillId="0" borderId="0" applyAlignment="1" pivotButton="0" quotePrefix="0" xfId="6">
      <alignment horizontal="left" vertical="center"/>
    </xf>
    <xf numFmtId="0" fontId="46" fillId="0" borderId="0" applyAlignment="1" pivotButton="0" quotePrefix="0" xfId="6">
      <alignment horizontal="center" vertical="center"/>
    </xf>
    <xf numFmtId="0" fontId="49" fillId="0" borderId="21" applyAlignment="1" pivotButton="0" quotePrefix="0" xfId="6">
      <alignment horizontal="left" readingOrder="1"/>
    </xf>
    <xf numFmtId="0" fontId="46" fillId="0" borderId="0" applyAlignment="1" pivotButton="0" quotePrefix="0" xfId="6">
      <alignment horizontal="center"/>
    </xf>
    <xf numFmtId="0" fontId="47" fillId="0" borderId="0" applyAlignment="1" pivotButton="0" quotePrefix="0" xfId="6">
      <alignment horizontal="center"/>
    </xf>
    <xf numFmtId="0" fontId="46" fillId="0" borderId="0" applyAlignment="1" pivotButton="0" quotePrefix="0" xfId="6">
      <alignment horizontal="left"/>
    </xf>
    <xf numFmtId="0" fontId="46" fillId="0" borderId="31" applyAlignment="1" pivotButton="0" quotePrefix="0" xfId="6">
      <alignment horizontal="center" vertical="center"/>
    </xf>
    <xf numFmtId="0" fontId="47" fillId="0" borderId="0" applyAlignment="1" pivotButton="0" quotePrefix="0" xfId="6">
      <alignment horizontal="left"/>
    </xf>
    <xf numFmtId="0" fontId="47" fillId="0" borderId="0" applyAlignment="1" pivotButton="0" quotePrefix="0" xfId="6">
      <alignment horizontal="center" vertical="center"/>
    </xf>
    <xf numFmtId="0" fontId="47" fillId="0" borderId="0" applyAlignment="1" pivotButton="0" quotePrefix="0" xfId="6">
      <alignment horizontal="center" vertical="top"/>
    </xf>
    <xf numFmtId="0" fontId="46" fillId="0" borderId="53" pivotButton="0" quotePrefix="0" xfId="6"/>
    <xf numFmtId="1" fontId="46" fillId="0" borderId="10" applyAlignment="1" pivotButton="0" quotePrefix="0" xfId="9">
      <alignment horizontal="center" vertical="center"/>
    </xf>
    <xf numFmtId="14" fontId="47" fillId="0" borderId="20" pivotButton="0" quotePrefix="0" xfId="6"/>
    <xf numFmtId="0" fontId="47" fillId="0" borderId="21" applyAlignment="1" pivotButton="0" quotePrefix="0" xfId="6">
      <alignment horizontal="center"/>
    </xf>
    <xf numFmtId="0" fontId="46" fillId="0" borderId="21" applyAlignment="1" pivotButton="0" quotePrefix="0" xfId="6">
      <alignment horizontal="center"/>
    </xf>
    <xf numFmtId="0" fontId="47" fillId="7" borderId="21" pivotButton="0" quotePrefix="0" xfId="6"/>
    <xf numFmtId="0" fontId="50" fillId="0" borderId="0" applyAlignment="1" pivotButton="0" quotePrefix="0" xfId="6">
      <alignment horizontal="center"/>
    </xf>
    <xf numFmtId="1" fontId="46" fillId="7" borderId="8" applyAlignment="1" pivotButton="0" quotePrefix="0" xfId="6">
      <alignment horizontal="right"/>
    </xf>
    <xf numFmtId="1" fontId="46" fillId="0" borderId="10" applyAlignment="1" pivotButton="0" quotePrefix="0" xfId="6">
      <alignment horizontal="right"/>
    </xf>
    <xf numFmtId="9" fontId="46" fillId="7" borderId="3" applyAlignment="1" pivotButton="0" quotePrefix="0" xfId="3">
      <alignment horizontal="right"/>
    </xf>
    <xf numFmtId="9" fontId="47" fillId="0" borderId="57" applyAlignment="1" pivotButton="0" quotePrefix="0" xfId="3">
      <alignment horizontal="center"/>
    </xf>
    <xf numFmtId="0" fontId="47" fillId="0" borderId="34" applyAlignment="1" pivotButton="0" quotePrefix="0" xfId="6">
      <alignment horizontal="center" vertical="center"/>
    </xf>
    <xf numFmtId="9" fontId="46" fillId="0" borderId="61" applyAlignment="1" pivotButton="0" quotePrefix="0" xfId="3">
      <alignment horizontal="center"/>
    </xf>
    <xf numFmtId="10" fontId="46" fillId="0" borderId="61" applyAlignment="1" pivotButton="0" quotePrefix="0" xfId="3">
      <alignment horizontal="center"/>
    </xf>
    <xf numFmtId="0" fontId="47" fillId="0" borderId="20" applyAlignment="1" pivotButton="0" quotePrefix="0" xfId="6">
      <alignment vertical="center"/>
    </xf>
    <xf numFmtId="0" fontId="4" fillId="0" borderId="0" applyAlignment="1" pivotButton="0" quotePrefix="0" xfId="0">
      <alignment horizontal="left"/>
    </xf>
    <xf numFmtId="0" fontId="36" fillId="0" borderId="0" applyAlignment="1" pivotButton="0" quotePrefix="0" xfId="0">
      <alignment vertical="center"/>
    </xf>
    <xf numFmtId="0" fontId="4" fillId="0" borderId="0" pivotButton="0" quotePrefix="0" xfId="0"/>
    <xf numFmtId="9" fontId="46" fillId="7" borderId="8" applyAlignment="1" pivotButton="0" quotePrefix="0" xfId="3">
      <alignment horizontal="right"/>
    </xf>
    <xf numFmtId="0" fontId="47" fillId="0" borderId="62" applyAlignment="1" pivotButton="0" quotePrefix="0" xfId="6">
      <alignment horizontal="center"/>
    </xf>
    <xf numFmtId="9" fontId="46" fillId="7" borderId="1" applyAlignment="1" pivotButton="0" quotePrefix="0" xfId="3">
      <alignment horizontal="right"/>
    </xf>
    <xf numFmtId="1" fontId="15" fillId="8" borderId="4" pivotButton="0" quotePrefix="0" xfId="5"/>
    <xf numFmtId="0" fontId="3" fillId="0" borderId="1" applyAlignment="1" pivotButton="0" quotePrefix="0" xfId="0">
      <alignment horizontal="center" vertical="center"/>
    </xf>
    <xf numFmtId="0" fontId="47" fillId="0" borderId="52" applyAlignment="1" pivotButton="0" quotePrefix="0" xfId="6">
      <alignment horizontal="center"/>
    </xf>
    <xf numFmtId="0" fontId="46"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8"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7" fillId="0" borderId="27" applyAlignment="1" pivotButton="0" quotePrefix="0" xfId="6">
      <alignment horizontal="left"/>
    </xf>
    <xf numFmtId="1" fontId="47" fillId="0" borderId="28" applyAlignment="1" pivotButton="0" quotePrefix="0" xfId="6">
      <alignment horizontal="right"/>
    </xf>
    <xf numFmtId="2" fontId="47" fillId="0" borderId="28" pivotButton="0" quotePrefix="0" xfId="6"/>
    <xf numFmtId="0" fontId="27" fillId="0" borderId="1" applyAlignment="1" pivotButton="0" quotePrefix="0" xfId="0">
      <alignment horizontal="center"/>
    </xf>
    <xf numFmtId="0" fontId="2" fillId="0" borderId="0" pivotButton="0" quotePrefix="0" xfId="0"/>
    <xf numFmtId="0" fontId="0" fillId="0" borderId="19" pivotButton="0" quotePrefix="0" xfId="0"/>
    <xf numFmtId="0" fontId="0" fillId="0" borderId="22" pivotButton="0" quotePrefix="0" xfId="0"/>
    <xf numFmtId="0" fontId="46" fillId="0" borderId="53" applyAlignment="1" pivotButton="0" quotePrefix="0" xfId="6">
      <alignment horizontal="center"/>
    </xf>
    <xf numFmtId="0" fontId="46" fillId="0" borderId="1" applyAlignment="1" pivotButton="0" quotePrefix="0" xfId="6">
      <alignment horizontal="center"/>
    </xf>
    <xf numFmtId="0" fontId="0" fillId="0" borderId="7" pivotButton="0" quotePrefix="0" xfId="0"/>
    <xf numFmtId="0" fontId="0" fillId="0" borderId="13" pivotButton="0" quotePrefix="0" xfId="0"/>
    <xf numFmtId="0" fontId="0" fillId="0" borderId="1" applyAlignment="1" pivotButton="0" quotePrefix="0" xfId="0">
      <alignment horizontal="center"/>
    </xf>
    <xf numFmtId="0" fontId="0" fillId="0" borderId="6" pivotButton="0" quotePrefix="0" xfId="0"/>
    <xf numFmtId="0" fontId="46" fillId="0" borderId="3" applyAlignment="1" pivotButton="0" quotePrefix="0" xfId="6">
      <alignment horizontal="center"/>
    </xf>
    <xf numFmtId="0" fontId="47" fillId="0" borderId="25" applyAlignment="1" pivotButton="0" quotePrefix="0" xfId="6">
      <alignment horizontal="center" vertical="center"/>
    </xf>
    <xf numFmtId="0" fontId="0" fillId="0" borderId="3" pivotButton="0" quotePrefix="0" xfId="0"/>
    <xf numFmtId="0" fontId="0" fillId="0" borderId="16" pivotButton="0" quotePrefix="0" xfId="0"/>
    <xf numFmtId="0" fontId="0" fillId="0" borderId="18" pivotButton="0" quotePrefix="0" xfId="0"/>
    <xf numFmtId="0" fontId="47" fillId="0" borderId="55" applyAlignment="1" pivotButton="0" quotePrefix="0" xfId="6">
      <alignment horizontal="center" vertical="center"/>
    </xf>
    <xf numFmtId="0" fontId="50" fillId="0" borderId="2" applyAlignment="1" pivotButton="0" quotePrefix="0" xfId="6">
      <alignment horizontal="center"/>
    </xf>
    <xf numFmtId="0" fontId="0" fillId="0" borderId="11" pivotButton="0" quotePrefix="0" xfId="0"/>
    <xf numFmtId="0" fontId="46" fillId="0" borderId="2" applyAlignment="1" pivotButton="0" quotePrefix="0" xfId="6">
      <alignment horizontal="center"/>
    </xf>
    <xf numFmtId="0" fontId="0" fillId="0" borderId="20" pivotButton="0" quotePrefix="0" xfId="0"/>
    <xf numFmtId="0" fontId="0" fillId="0" borderId="21" pivotButton="0" quotePrefix="0" xfId="0"/>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center" vertical="center"/>
    </xf>
    <xf numFmtId="0" fontId="0" fillId="17" borderId="1" applyAlignment="1" pivotButton="0" quotePrefix="0" xfId="0">
      <alignment horizontal="center" vertical="center"/>
    </xf>
    <xf numFmtId="0" fontId="0" fillId="0" borderId="1" applyAlignment="1" pivotButton="0" quotePrefix="0" xfId="0">
      <alignment horizontal="left" vertical="center"/>
    </xf>
    <xf numFmtId="0" fontId="18" fillId="0" borderId="1" applyAlignment="1" pivotButton="0" quotePrefix="0" xfId="0">
      <alignment horizontal="center" vertical="center" wrapText="1"/>
    </xf>
    <xf numFmtId="2" fontId="18" fillId="13" borderId="1" applyAlignment="1" pivotButton="0" quotePrefix="0" xfId="0">
      <alignment horizontal="center" vertical="center"/>
    </xf>
    <xf numFmtId="0" fontId="30" fillId="26" borderId="1" applyAlignment="1" pivotButton="0" quotePrefix="0" xfId="0">
      <alignment horizontal="center" vertical="center" wrapText="1"/>
    </xf>
    <xf numFmtId="0" fontId="18"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8" fillId="0" borderId="0" applyAlignment="1" pivotButton="0" quotePrefix="0" xfId="0">
      <alignment horizontal="left" vertical="center"/>
    </xf>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0" applyAlignment="1" pivotButton="0" quotePrefix="0" xfId="9">
      <alignment horizontal="left" vertical="center"/>
    </xf>
    <xf numFmtId="166" fontId="47" fillId="0" borderId="0" applyAlignment="1" pivotButton="0" quotePrefix="0" xfId="9">
      <alignment horizontal="right" vertical="center"/>
    </xf>
    <xf numFmtId="166" fontId="47" fillId="0" borderId="17" applyAlignment="1" pivotButton="0" quotePrefix="0" xfId="9">
      <alignment horizontal="center"/>
    </xf>
    <xf numFmtId="165" fontId="47" fillId="0" borderId="57" applyAlignment="1" pivotButton="0" quotePrefix="0" xfId="9">
      <alignment horizontal="center"/>
    </xf>
    <xf numFmtId="166" fontId="51" fillId="17" borderId="21" applyAlignment="1" pivotButton="0" quotePrefix="0" xfId="9">
      <alignment horizontal="center" vertic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xf numFmtId="0" fontId="47"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0" fillId="0" borderId="19" pivotButton="0" quotePrefix="0" xfId="0"/>
    <xf numFmtId="0" fontId="0" fillId="0" borderId="22" pivotButton="0" quotePrefix="0" xfId="0"/>
    <xf numFmtId="0" fontId="47" fillId="0" borderId="1" applyAlignment="1" pivotButton="0" quotePrefix="0" xfId="6">
      <alignment horizontal="center"/>
    </xf>
    <xf numFmtId="0" fontId="0" fillId="0" borderId="9" pivotButton="0" quotePrefix="0" xfId="0"/>
    <xf numFmtId="0" fontId="0" fillId="0" borderId="7" pivotButton="0" quotePrefix="0" xfId="0"/>
    <xf numFmtId="0" fontId="47" fillId="0" borderId="57" applyAlignment="1" pivotButton="0" quotePrefix="0" xfId="6">
      <alignment horizontal="center"/>
    </xf>
    <xf numFmtId="0" fontId="0" fillId="0" borderId="54" pivotButton="0" quotePrefix="0" xfId="0"/>
    <xf numFmtId="0" fontId="0" fillId="0" borderId="1" applyAlignment="1" pivotButton="0" quotePrefix="0" xfId="0">
      <alignment horizontal="center"/>
    </xf>
    <xf numFmtId="0" fontId="46" fillId="0" borderId="1" applyAlignment="1" pivotButton="0" quotePrefix="0" xfId="6">
      <alignment horizontal="center"/>
    </xf>
    <xf numFmtId="0" fontId="47"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6" fillId="0" borderId="3" applyAlignment="1" pivotButton="0" quotePrefix="0" xfId="6">
      <alignment horizontal="center"/>
    </xf>
    <xf numFmtId="0" fontId="0" fillId="0" borderId="6" pivotButton="0" quotePrefix="0" xfId="0"/>
    <xf numFmtId="0" fontId="47" fillId="0" borderId="18" applyAlignment="1" pivotButton="0" quotePrefix="0" xfId="6">
      <alignment horizontal="center"/>
    </xf>
    <xf numFmtId="0" fontId="46" fillId="0" borderId="3" applyAlignment="1" pivotButton="0" quotePrefix="0" xfId="6">
      <alignment horizontal="center"/>
    </xf>
    <xf numFmtId="0" fontId="0" fillId="0" borderId="3" applyAlignment="1" pivotButton="0" quotePrefix="0" xfId="0">
      <alignment horizontal="center"/>
    </xf>
    <xf numFmtId="166" fontId="51" fillId="17" borderId="68" applyAlignment="1" pivotButton="0" quotePrefix="0" xfId="9">
      <alignment horizontal="center" vertical="center"/>
    </xf>
    <xf numFmtId="9" fontId="46" fillId="0" borderId="1" applyAlignment="1" pivotButton="0" quotePrefix="0" xfId="6">
      <alignment horizontal="center"/>
    </xf>
    <xf numFmtId="0" fontId="47" fillId="17" borderId="81" applyAlignment="1" pivotButton="0" quotePrefix="0" xfId="6">
      <alignment horizontal="center" vertical="center"/>
    </xf>
    <xf numFmtId="0" fontId="0" fillId="0" borderId="16" pivotButton="0" quotePrefix="0" xfId="0"/>
    <xf numFmtId="0" fontId="0" fillId="0" borderId="18" pivotButton="0" quotePrefix="0" xfId="0"/>
    <xf numFmtId="166" fontId="47" fillId="0" borderId="1" applyAlignment="1" pivotButton="0" quotePrefix="0" xfId="9">
      <alignment horizontal="left" vertical="center"/>
    </xf>
    <xf numFmtId="0" fontId="50" fillId="0" borderId="2" applyAlignment="1" pivotButton="0" quotePrefix="0" xfId="6">
      <alignment horizontal="center"/>
    </xf>
    <xf numFmtId="0" fontId="0" fillId="0" borderId="11" pivotButton="0" quotePrefix="0" xfId="0"/>
    <xf numFmtId="0" fontId="46" fillId="0" borderId="53" applyAlignment="1" pivotButton="0" quotePrefix="0" xfId="6">
      <alignment horizontal="center"/>
    </xf>
    <xf numFmtId="0" fontId="0" fillId="0" borderId="53" pivotButton="0" quotePrefix="0" xfId="0"/>
    <xf numFmtId="0" fontId="46" fillId="0" borderId="57" applyAlignment="1" pivotButton="0" quotePrefix="0" xfId="6">
      <alignment horizontal="center"/>
    </xf>
    <xf numFmtId="166" fontId="46" fillId="0" borderId="51" applyAlignment="1" pivotButton="0" quotePrefix="0" xfId="6">
      <alignment horizontal="center"/>
    </xf>
    <xf numFmtId="0" fontId="0" fillId="0" borderId="51" pivotButton="0" quotePrefix="0" xfId="0"/>
    <xf numFmtId="0" fontId="47" fillId="0" borderId="24" applyAlignment="1" pivotButton="0" quotePrefix="0" xfId="6">
      <alignment horizontal="center" vertical="center"/>
    </xf>
    <xf numFmtId="0" fontId="0" fillId="0" borderId="42" pivotButton="0" quotePrefix="0" xfId="0"/>
    <xf numFmtId="0" fontId="47"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6" fontId="47" fillId="0" borderId="3" applyAlignment="1" pivotButton="0" quotePrefix="0" xfId="9">
      <alignment horizontal="left" vertical="center"/>
    </xf>
    <xf numFmtId="0" fontId="46" fillId="0" borderId="39" applyAlignment="1" pivotButton="0" quotePrefix="0" xfId="6">
      <alignment horizontal="center"/>
    </xf>
    <xf numFmtId="0" fontId="0" fillId="0" borderId="59" pivotButton="0" quotePrefix="0" xfId="0"/>
    <xf numFmtId="0" fontId="46" fillId="0" borderId="2" applyAlignment="1" pivotButton="0" quotePrefix="0" xfId="6">
      <alignment horizontal="center"/>
    </xf>
    <xf numFmtId="0" fontId="0" fillId="0" borderId="70" pivotButton="0" quotePrefix="0" xfId="0"/>
    <xf numFmtId="0" fontId="46" fillId="0" borderId="54" applyAlignment="1" pivotButton="0" quotePrefix="0" xfId="6">
      <alignment horizontal="center"/>
    </xf>
    <xf numFmtId="166" fontId="47" fillId="17" borderId="74" applyAlignment="1" pivotButton="0" quotePrefix="0" xfId="9">
      <alignment horizontal="center" vertical="center"/>
    </xf>
    <xf numFmtId="0" fontId="0" fillId="0" borderId="20" pivotButton="0" quotePrefix="0" xfId="0"/>
    <xf numFmtId="0" fontId="47" fillId="0" borderId="71" applyAlignment="1" pivotButton="0" quotePrefix="0" xfId="6">
      <alignment horizontal="center" vertical="center"/>
    </xf>
    <xf numFmtId="0" fontId="0" fillId="0" borderId="72" pivotButton="0" quotePrefix="0" xfId="0"/>
    <xf numFmtId="0" fontId="47" fillId="0" borderId="25" applyAlignment="1" pivotButton="0" quotePrefix="0" xfId="6">
      <alignment horizontal="center" vertical="center"/>
    </xf>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6" fontId="47" fillId="0" borderId="57" applyAlignment="1" pivotButton="0" quotePrefix="0" xfId="9">
      <alignment horizontal="center"/>
    </xf>
    <xf numFmtId="0" fontId="0" fillId="0" borderId="67" pivotButton="0" quotePrefix="0" xfId="0"/>
    <xf numFmtId="0" fontId="0" fillId="0" borderId="3" pivotButton="0" quotePrefix="0" xfId="0"/>
    <xf numFmtId="0" fontId="46" fillId="0" borderId="65" applyAlignment="1" pivotButton="0" quotePrefix="0" xfId="6">
      <alignment horizontal="center"/>
    </xf>
    <xf numFmtId="0" fontId="0" fillId="0" borderId="66" pivotButton="0" quotePrefix="0" xfId="0"/>
    <xf numFmtId="0" fontId="5" fillId="0" borderId="1" applyAlignment="1" pivotButton="0" quotePrefix="0" xfId="0">
      <alignment horizontal="center"/>
    </xf>
    <xf numFmtId="166" fontId="47" fillId="0" borderId="1" applyAlignment="1" pivotButton="0" quotePrefix="0" xfId="9">
      <alignment horizontal="right" vertical="center"/>
    </xf>
    <xf numFmtId="0" fontId="47" fillId="0" borderId="25" applyAlignment="1" pivotButton="0" quotePrefix="0" xfId="6">
      <alignment horizontal="center" vertical="top" wrapText="1"/>
    </xf>
    <xf numFmtId="0" fontId="45" fillId="0" borderId="74" applyAlignment="1" pivotButton="0" quotePrefix="0" xfId="6">
      <alignment horizontal="center" vertical="center"/>
    </xf>
    <xf numFmtId="0" fontId="46" fillId="0" borderId="68" applyAlignment="1" pivotButton="0" quotePrefix="0" xfId="6">
      <alignment horizontal="center" wrapText="1"/>
    </xf>
    <xf numFmtId="0" fontId="0" fillId="0" borderId="21" pivotButton="0" quotePrefix="0" xfId="0"/>
    <xf numFmtId="1" fontId="47" fillId="0" borderId="19" applyAlignment="1" pivotButton="0" quotePrefix="0" xfId="6">
      <alignment horizontal="center" vertical="center"/>
    </xf>
    <xf numFmtId="0" fontId="47" fillId="0" borderId="55" applyAlignment="1" pivotButton="0" quotePrefix="0" xfId="6">
      <alignment horizontal="center" vertical="center"/>
    </xf>
    <xf numFmtId="0" fontId="0" fillId="0" borderId="55" pivotButton="0" quotePrefix="0" xfId="0"/>
    <xf numFmtId="0" fontId="47" fillId="0" borderId="18" applyAlignment="1" pivotButton="0" quotePrefix="0" xfId="6">
      <alignment horizontal="left" vertical="center" wrapText="1"/>
    </xf>
    <xf numFmtId="0" fontId="46" fillId="0" borderId="22" applyAlignment="1" pivotButton="0" quotePrefix="0" xfId="6">
      <alignment horizontal="center" vertical="center"/>
    </xf>
    <xf numFmtId="0" fontId="0" fillId="0" borderId="10" applyAlignment="1" pivotButton="0" quotePrefix="0" xfId="0">
      <alignment horizontal="left" vertical="center"/>
    </xf>
    <xf numFmtId="0" fontId="17" fillId="0" borderId="5" applyAlignment="1" pivotButton="0" quotePrefix="0" xfId="0">
      <alignment horizontal="center" vertical="center"/>
    </xf>
    <xf numFmtId="0" fontId="0" fillId="0" borderId="1" applyAlignment="1" pivotButton="0" quotePrefix="0" xfId="0">
      <alignment horizontal="center" vertical="center"/>
    </xf>
    <xf numFmtId="0" fontId="21" fillId="15" borderId="1" applyAlignment="1" pivotButton="0" quotePrefix="0" xfId="0">
      <alignment horizontal="center" vertical="center"/>
    </xf>
    <xf numFmtId="0" fontId="0" fillId="17" borderId="1" applyAlignment="1" pivotButton="0" quotePrefix="0" xfId="0">
      <alignment horizontal="center" vertical="center"/>
    </xf>
    <xf numFmtId="0" fontId="17" fillId="0" borderId="1" applyAlignment="1" pivotButton="0" quotePrefix="0" xfId="0">
      <alignment horizontal="center" vertical="center"/>
    </xf>
    <xf numFmtId="0" fontId="18" fillId="0" borderId="1" applyAlignment="1" pivotButton="0" quotePrefix="0" xfId="0">
      <alignment horizontal="left" vertical="center"/>
    </xf>
    <xf numFmtId="0" fontId="0" fillId="0" borderId="1" applyAlignment="1" pivotButton="0" quotePrefix="0" xfId="0">
      <alignment horizontal="left" vertical="center"/>
    </xf>
    <xf numFmtId="0" fontId="16" fillId="10" borderId="0" applyAlignment="1" pivotButton="0" quotePrefix="0" xfId="0">
      <alignment horizontal="center"/>
    </xf>
    <xf numFmtId="0" fontId="0" fillId="0" borderId="9" applyAlignment="1" pivotButton="0" quotePrefix="0" xfId="0">
      <alignment horizontal="center"/>
    </xf>
    <xf numFmtId="0" fontId="18" fillId="0" borderId="1" applyAlignment="1" pivotButton="0" quotePrefix="0" xfId="0">
      <alignment horizontal="center" vertical="center" wrapText="1"/>
    </xf>
    <xf numFmtId="0" fontId="18" fillId="13" borderId="1" applyAlignment="1" pivotButton="0" quotePrefix="0" xfId="0">
      <alignment horizontal="center" vertical="center"/>
    </xf>
    <xf numFmtId="2" fontId="18" fillId="13" borderId="1" applyAlignment="1" pivotButton="0" quotePrefix="0" xfId="0">
      <alignment horizontal="center" vertical="center"/>
    </xf>
    <xf numFmtId="0" fontId="0" fillId="17" borderId="1" applyAlignment="1" pivotButton="0" quotePrefix="0" xfId="0">
      <alignment horizontal="left" vertical="center"/>
    </xf>
    <xf numFmtId="0" fontId="18" fillId="17" borderId="1" applyAlignment="1" pivotButton="0" quotePrefix="0" xfId="0">
      <alignment horizontal="center" vertical="center"/>
    </xf>
    <xf numFmtId="0" fontId="5" fillId="0" borderId="10" applyAlignment="1" pivotButton="0" quotePrefix="0" xfId="0">
      <alignment horizontal="left" vertical="center"/>
    </xf>
    <xf numFmtId="0" fontId="0" fillId="14" borderId="1" applyAlignment="1" pivotButton="0" quotePrefix="0" xfId="0">
      <alignment horizontal="center" vertical="center"/>
    </xf>
    <xf numFmtId="0" fontId="18" fillId="17" borderId="7" applyAlignment="1" pivotButton="0" quotePrefix="0" xfId="0">
      <alignment horizontal="center" vertical="center" wrapText="1"/>
    </xf>
    <xf numFmtId="0" fontId="8" fillId="0" borderId="25" applyAlignment="1" pivotButton="0" quotePrefix="0" xfId="0">
      <alignment horizontal="center"/>
    </xf>
    <xf numFmtId="0" fontId="0" fillId="0" borderId="82" pivotButton="0" quotePrefix="0" xfId="0"/>
    <xf numFmtId="0" fontId="7" fillId="0" borderId="34" applyAlignment="1" pivotButton="0" quotePrefix="0" xfId="0">
      <alignment horizontal="center" vertical="center"/>
    </xf>
    <xf numFmtId="0" fontId="0" fillId="0" borderId="83" pivotButton="0" quotePrefix="0" xfId="0"/>
    <xf numFmtId="0" fontId="0" fillId="0" borderId="61" pivotButton="0" quotePrefix="0" xfId="0"/>
    <xf numFmtId="0" fontId="20" fillId="7" borderId="20" applyAlignment="1" pivotButton="0" quotePrefix="0" xfId="0">
      <alignment horizontal="center"/>
    </xf>
    <xf numFmtId="177" fontId="44" fillId="0" borderId="0" applyAlignment="1" pivotButton="0" quotePrefix="0" xfId="0">
      <alignment horizontal="center"/>
    </xf>
    <xf numFmtId="0" fontId="18" fillId="18" borderId="1" applyAlignment="1" pivotButton="0" quotePrefix="0" xfId="0">
      <alignment horizontal="center" vertical="center" wrapText="1"/>
    </xf>
    <xf numFmtId="0" fontId="29" fillId="0" borderId="1" applyAlignment="1" pivotButton="0" quotePrefix="0" xfId="0">
      <alignment horizontal="left" vertical="center" readingOrder="1"/>
    </xf>
    <xf numFmtId="0" fontId="30" fillId="26" borderId="1" applyAlignment="1" pivotButton="0" quotePrefix="0" xfId="0">
      <alignment horizontal="center" vertical="center" wrapText="1"/>
    </xf>
    <xf numFmtId="0" fontId="18"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9"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42" fillId="7" borderId="86" applyAlignment="1" pivotButton="0" quotePrefix="0" xfId="0">
      <alignment horizontal="left" vertical="top" wrapText="1"/>
    </xf>
    <xf numFmtId="0" fontId="0" fillId="0" borderId="47" pivotButton="0" quotePrefix="0" xfId="0"/>
    <xf numFmtId="0" fontId="18" fillId="7" borderId="84" applyAlignment="1" pivotButton="0" quotePrefix="0" xfId="0">
      <alignment horizontal="left" vertical="center"/>
    </xf>
    <xf numFmtId="0" fontId="0" fillId="0" borderId="46" pivotButton="0" quotePrefix="0" xfId="0"/>
    <xf numFmtId="0" fontId="17" fillId="7" borderId="85" applyAlignment="1" pivotButton="0" quotePrefix="0" xfId="0">
      <alignment horizontal="center" vertical="center"/>
    </xf>
    <xf numFmtId="0" fontId="0" fillId="0" borderId="44" pivotButton="0" quotePrefix="0" xfId="0"/>
    <xf numFmtId="0" fontId="0" fillId="0" borderId="45" pivotButton="0" quotePrefix="0" xfId="0"/>
    <xf numFmtId="0" fontId="18"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8" fillId="16" borderId="0" applyAlignment="1" pivotButton="0" quotePrefix="0" xfId="0">
      <alignment horizontal="center"/>
    </xf>
    <xf numFmtId="0" fontId="0" fillId="0" borderId="0" applyAlignment="1" pivotButton="0" quotePrefix="0" xfId="0">
      <alignment horizontal="center"/>
    </xf>
    <xf numFmtId="0" fontId="26" fillId="0" borderId="1" applyAlignment="1" pivotButton="0" quotePrefix="0" xfId="0">
      <alignment horizontal="center"/>
    </xf>
    <xf numFmtId="0" fontId="18" fillId="19" borderId="1" applyAlignment="1" pivotButton="0" quotePrefix="0" xfId="0">
      <alignment horizontal="center"/>
    </xf>
    <xf numFmtId="0" fontId="18" fillId="20" borderId="1" applyAlignment="1" pivotButton="0" quotePrefix="0" xfId="0">
      <alignment horizontal="center"/>
    </xf>
    <xf numFmtId="0" fontId="0" fillId="13" borderId="1" applyAlignment="1" pivotButton="0" quotePrefix="0" xfId="0">
      <alignment horizontal="center" vertical="center"/>
    </xf>
    <xf numFmtId="0" fontId="0" fillId="13" borderId="1" applyAlignment="1" pivotButton="0" quotePrefix="0" xfId="0">
      <alignment horizontal="center" wrapText="1"/>
    </xf>
    <xf numFmtId="0" fontId="18" fillId="11" borderId="1" applyAlignment="1" pivotButton="0" quotePrefix="0" xfId="0">
      <alignment horizontal="center"/>
    </xf>
    <xf numFmtId="0" fontId="18" fillId="0" borderId="0" applyAlignment="1" pivotButton="0" quotePrefix="0" xfId="0">
      <alignment horizontal="left" vertical="center"/>
    </xf>
    <xf numFmtId="0" fontId="15" fillId="8" borderId="4" applyAlignment="1" pivotButton="0" quotePrefix="0" xfId="5">
      <alignment horizontal="center"/>
    </xf>
    <xf numFmtId="0" fontId="0" fillId="0" borderId="87" pivotButton="0" quotePrefix="0" xfId="0"/>
    <xf numFmtId="0" fontId="0" fillId="0" borderId="88" pivotButton="0" quotePrefix="0" xfId="0"/>
    <xf numFmtId="0" fontId="1" fillId="0" borderId="0" pivotButton="0" quotePrefix="0" xfId="0"/>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3" applyAlignment="1" pivotButton="0" quotePrefix="0" xfId="9">
      <alignment horizontal="left" vertical="center"/>
    </xf>
    <xf numFmtId="166" fontId="47" fillId="0" borderId="0" applyAlignment="1" pivotButton="0" quotePrefix="0" xfId="9">
      <alignment horizontal="left" vertical="center"/>
    </xf>
    <xf numFmtId="166" fontId="47" fillId="0" borderId="1" applyAlignment="1" pivotButton="0" quotePrefix="0" xfId="9">
      <alignment horizontal="left" vertical="center"/>
    </xf>
    <xf numFmtId="166" fontId="47" fillId="0" borderId="1" applyAlignment="1" pivotButton="0" quotePrefix="0" xfId="9">
      <alignment horizontal="right" vertical="center"/>
    </xf>
    <xf numFmtId="166" fontId="47" fillId="0" borderId="0" applyAlignment="1" pivotButton="0" quotePrefix="0" xfId="9">
      <alignment horizontal="right" vertical="center"/>
    </xf>
    <xf numFmtId="166" fontId="47" fillId="0" borderId="57" applyAlignment="1" pivotButton="0" quotePrefix="0" xfId="9">
      <alignment horizontal="center"/>
    </xf>
    <xf numFmtId="166" fontId="47" fillId="0" borderId="17" applyAlignment="1" pivotButton="0" quotePrefix="0" xfId="9">
      <alignment horizontal="center"/>
    </xf>
    <xf numFmtId="165" fontId="47" fillId="0" borderId="57" applyAlignment="1" pivotButton="0" quotePrefix="0" xfId="9">
      <alignment horizontal="center"/>
    </xf>
    <xf numFmtId="166" fontId="47" fillId="17" borderId="74" applyAlignment="1" pivotButton="0" quotePrefix="0" xfId="9">
      <alignment horizontal="center" vertical="center"/>
    </xf>
    <xf numFmtId="166" fontId="51" fillId="17" borderId="68" applyAlignment="1" pivotButton="0" quotePrefix="0" xfId="9">
      <alignment horizontal="center" vertical="center"/>
    </xf>
    <xf numFmtId="166" fontId="51" fillId="17" borderId="21" applyAlignment="1" pivotButton="0" quotePrefix="0" xfId="9">
      <alignment horizontal="center" vertical="center"/>
    </xf>
    <xf numFmtId="166" fontId="46" fillId="0" borderId="51" applyAlignment="1" pivotButton="0" quotePrefix="0" xfId="6">
      <alignment horizont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7" fontId="44" fillId="0" borderId="0" applyAlignment="1" pivotButton="0" quotePrefix="0" xfId="0">
      <alignment horizontal="center"/>
    </xf>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Dev%20Gyan%20Priyadarshi/Desktop/TVSM%20OFFICE/Tool%20Cost%20Estimator%20Program/Excel%20Files/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zoomScale="31" zoomScaleNormal="48" workbookViewId="0">
      <selection activeCell="H78" sqref="H78"/>
    </sheetView>
  </sheetViews>
  <sheetFormatPr baseColWidth="8" defaultRowHeight="14.5"/>
  <cols>
    <col width="35.08984375" customWidth="1" style="477" min="1" max="1"/>
    <col width="67.26953125" customWidth="1" style="477" min="2" max="2"/>
    <col width="52.453125" customWidth="1" style="477" min="3" max="3"/>
    <col width="53.6328125" customWidth="1" style="477" min="4" max="5"/>
    <col width="45.08984375" customWidth="1" style="477" min="6" max="6"/>
    <col width="40.90625" customWidth="1" style="477" min="7" max="8"/>
    <col width="17.81640625" customWidth="1" style="477" min="9" max="9"/>
    <col width="71.90625" customWidth="1" style="477" min="10" max="10"/>
  </cols>
  <sheetData>
    <row r="1" ht="52" customHeight="1" s="477">
      <c r="A1" s="490" t="inlineStr">
        <is>
          <t xml:space="preserve">  TOOLING COST BREAK - UP ESTIMATE          </t>
        </is>
      </c>
      <c r="B1" s="449" t="n"/>
      <c r="C1" s="449" t="n"/>
      <c r="D1" s="449" t="n"/>
      <c r="E1" s="449" t="n"/>
      <c r="F1" s="449" t="n"/>
      <c r="G1" s="449" t="n"/>
      <c r="H1" s="449" t="n"/>
      <c r="I1" s="449" t="n"/>
      <c r="J1" s="471" t="n"/>
    </row>
    <row r="2" ht="52.5" customHeight="1" s="477" thickBot="1">
      <c r="A2" s="450" t="n"/>
      <c r="B2" s="426" t="n"/>
      <c r="C2" s="426" t="n"/>
      <c r="D2" s="426" t="n"/>
      <c r="E2" s="426" t="n"/>
      <c r="F2" s="426" t="n"/>
      <c r="G2" s="426" t="n"/>
      <c r="H2" s="426" t="n"/>
      <c r="I2" s="426" t="n"/>
      <c r="J2" s="427" t="n"/>
    </row>
    <row r="3" ht="35.5" customHeight="1" s="477" thickBot="1">
      <c r="A3" s="245" t="inlineStr">
        <is>
          <t>DATABSE NO.</t>
        </is>
      </c>
      <c r="B3" s="274">
        <f>VLOOKUP(D4,'[1]K06 DATA_V1.0'!$B$2:$J$9,9,FALSE)</f>
        <v/>
      </c>
      <c r="C3" s="275" t="inlineStr">
        <is>
          <t>Last modified at:</t>
        </is>
      </c>
      <c r="D3" s="556">
        <f>IF($D$4&lt;&gt;0,NOW(),NOW())</f>
        <v/>
      </c>
      <c r="E3" s="276" t="n"/>
      <c r="F3" s="277" t="n"/>
      <c r="G3" s="254" t="inlineStr">
        <is>
          <t xml:space="preserve">      DATE : </t>
        </is>
      </c>
      <c r="H3" s="278">
        <f>TODAY()</f>
        <v/>
      </c>
      <c r="I3" s="299" t="n"/>
      <c r="J3" s="273" t="inlineStr">
        <is>
          <t>PART IMAGE</t>
        </is>
      </c>
    </row>
    <row r="4" ht="35" customHeight="1" s="477">
      <c r="A4" s="279" t="inlineStr">
        <is>
          <t xml:space="preserve">PART NAME :- </t>
        </is>
      </c>
      <c r="B4" s="270">
        <f>VLOOKUP(D4,'[1]K06 DATA_V1.0'!$B$2:$J$9,2,FALSE)</f>
        <v/>
      </c>
      <c r="C4" s="272" t="inlineStr">
        <is>
          <t xml:space="preserve">PART NO :- </t>
        </is>
      </c>
      <c r="D4" s="256" t="inlineStr">
        <is>
          <t>NB223320</t>
        </is>
      </c>
      <c r="E4" s="272" t="inlineStr">
        <is>
          <t>CUSTOMER NAME : -</t>
        </is>
      </c>
      <c r="F4" s="428" t="inlineStr">
        <is>
          <t>TVSM</t>
        </is>
      </c>
      <c r="G4" s="429" t="n"/>
      <c r="H4" s="430" t="n"/>
      <c r="I4" s="300" t="n"/>
      <c r="J4" s="491" t="n"/>
    </row>
    <row r="5" ht="35" customHeight="1" s="477">
      <c r="A5" s="181" t="n"/>
      <c r="B5" s="271" t="inlineStr">
        <is>
          <t>LENGTH</t>
        </is>
      </c>
      <c r="C5" s="271" t="inlineStr">
        <is>
          <t>WIDTH</t>
        </is>
      </c>
      <c r="D5" s="271" t="inlineStr">
        <is>
          <t>HEIGHT</t>
        </is>
      </c>
      <c r="E5" s="272" t="inlineStr">
        <is>
          <t>TOOL MAKER NAME : -</t>
        </is>
      </c>
      <c r="F5" s="428" t="n"/>
      <c r="G5" s="429" t="n"/>
      <c r="H5" s="430" t="n"/>
      <c r="I5" s="300" t="n"/>
      <c r="J5" s="492" t="n"/>
    </row>
    <row r="6" ht="35" customHeight="1" s="477">
      <c r="A6" s="280" t="inlineStr">
        <is>
          <t>PART SIZE :-</t>
        </is>
      </c>
      <c r="B6" s="272">
        <f>'INJ. MOULDING ESTIMATION'!C6</f>
        <v/>
      </c>
      <c r="C6" s="272">
        <f>'INJ. MOULDING ESTIMATION'!C7</f>
        <v/>
      </c>
      <c r="D6" s="272">
        <f>'INJ. MOULDING ESTIMATION'!C8</f>
        <v/>
      </c>
      <c r="E6" s="266" t="n"/>
      <c r="F6" s="434" t="inlineStr">
        <is>
          <t>No of Gate</t>
        </is>
      </c>
      <c r="G6" s="434" t="inlineStr">
        <is>
          <t>HRS PRICE</t>
        </is>
      </c>
      <c r="H6" s="249" t="inlineStr">
        <is>
          <t>TOTAL HRS COST</t>
        </is>
      </c>
      <c r="I6" s="301" t="n"/>
      <c r="J6" s="492" t="n"/>
    </row>
    <row r="7" ht="35" customHeight="1" s="477">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92" t="n"/>
    </row>
    <row r="8" ht="35.5" customHeight="1" s="477"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7" t="n"/>
      <c r="I8" s="558" t="n"/>
      <c r="J8" s="427" t="n"/>
    </row>
    <row r="9" ht="35.5" customHeight="1" s="477" thickBot="1">
      <c r="A9" s="496" t="inlineStr">
        <is>
          <t xml:space="preserve">I) DESIGN COST +MOULD FLOW   : </t>
        </is>
      </c>
      <c r="B9" s="426" t="n"/>
      <c r="C9" s="493">
        <f>'Mould Costing'!K60</f>
        <v/>
      </c>
      <c r="D9" s="426" t="n"/>
      <c r="E9" s="268" t="inlineStr">
        <is>
          <t>PART DESIGN (RE)</t>
        </is>
      </c>
      <c r="F9" s="269" t="n">
        <v>0</v>
      </c>
      <c r="G9" s="497" t="inlineStr">
        <is>
          <t>(PART 3D SCANNIG+3D DATA RE)</t>
        </is>
      </c>
      <c r="H9" s="427" t="n"/>
      <c r="I9" s="288" t="n"/>
      <c r="J9" s="311" t="inlineStr">
        <is>
          <t xml:space="preserve"> ( A )</t>
        </is>
      </c>
    </row>
    <row r="10" ht="35.5" customHeight="1" s="477" thickBot="1">
      <c r="A10" s="227" t="n"/>
      <c r="B10" s="287" t="n"/>
      <c r="C10" s="287" t="n"/>
      <c r="D10" s="288" t="n"/>
      <c r="E10" s="251" t="n"/>
      <c r="F10" s="288" t="n"/>
      <c r="G10" s="288" t="n"/>
      <c r="H10" s="559" t="n"/>
      <c r="I10" s="559" t="n"/>
      <c r="J10" s="226" t="n"/>
    </row>
    <row r="11" ht="35.5" customHeight="1" s="477" thickBot="1">
      <c r="A11" s="228" t="inlineStr">
        <is>
          <t>II) RAW MATERIAL COST :</t>
        </is>
      </c>
      <c r="B11" s="229" t="n"/>
      <c r="C11" s="229" t="n"/>
      <c r="D11" s="252" t="n"/>
      <c r="E11" s="252" t="n"/>
      <c r="F11" s="252" t="n"/>
      <c r="G11" s="252" t="n"/>
      <c r="H11" s="560" t="n"/>
      <c r="I11" s="560" t="n"/>
      <c r="J11" s="316" t="inlineStr">
        <is>
          <t>FACTORS</t>
        </is>
      </c>
    </row>
    <row r="12" ht="35.5" customHeight="1" s="477" thickBot="1">
      <c r="A12" s="459" t="inlineStr">
        <is>
          <t>S.No.</t>
        </is>
      </c>
      <c r="B12" s="472" t="inlineStr">
        <is>
          <t>SUB PART NAME</t>
        </is>
      </c>
      <c r="C12" s="461" t="inlineStr">
        <is>
          <t>MATERIAL SPEC.</t>
        </is>
      </c>
      <c r="D12" s="459" t="inlineStr">
        <is>
          <t>REMARKS</t>
        </is>
      </c>
      <c r="E12" s="475" t="n"/>
      <c r="F12" s="494" t="inlineStr">
        <is>
          <t xml:space="preserve">RM WEIGHT </t>
        </is>
      </c>
      <c r="G12" s="474" t="inlineStr">
        <is>
          <t>UNIT PRICE</t>
        </is>
      </c>
      <c r="H12" s="561" t="inlineStr">
        <is>
          <t>TOTAL VALUE</t>
        </is>
      </c>
      <c r="I12" s="562" t="n"/>
      <c r="J12" s="234" t="n"/>
    </row>
    <row r="13" ht="35.5" customHeight="1" s="477" thickBot="1">
      <c r="A13" s="460" t="n"/>
      <c r="B13" s="473" t="n"/>
      <c r="C13" s="462" t="n"/>
      <c r="D13" s="481" t="n"/>
      <c r="E13" s="442" t="n"/>
      <c r="F13" s="283" t="inlineStr">
        <is>
          <t>Kg ( 1 )</t>
        </is>
      </c>
      <c r="G13" s="230" t="inlineStr">
        <is>
          <t>Rs/Kg ( 2 )</t>
        </is>
      </c>
      <c r="H13" s="563" t="inlineStr">
        <is>
          <t>Rs.  ( 1X2 )</t>
        </is>
      </c>
      <c r="I13" s="562" t="n"/>
      <c r="J13" s="234" t="n"/>
    </row>
    <row r="14" ht="35" customHeight="1" s="477">
      <c r="A14" s="231" t="n">
        <v>1</v>
      </c>
      <c r="B14" s="232" t="inlineStr">
        <is>
          <t>MOULD BASE</t>
        </is>
      </c>
      <c r="C14" s="444">
        <f>'Mould Costing'!B16</f>
        <v/>
      </c>
      <c r="D14" s="445" t="n"/>
      <c r="E14" s="442" t="n"/>
      <c r="F14" s="261">
        <f>'Mould Costing'!K16</f>
        <v/>
      </c>
      <c r="G14" s="261">
        <f>'Mould Costing'!L16</f>
        <v/>
      </c>
      <c r="H14" s="304">
        <f>'Mould Costing'!M16</f>
        <v/>
      </c>
      <c r="I14" s="315">
        <f>H14/$H$28</f>
        <v/>
      </c>
      <c r="J14" s="317" t="inlineStr">
        <is>
          <t>MOULD FLOW</t>
        </is>
      </c>
    </row>
    <row r="15" ht="35" customHeight="1" s="477">
      <c r="A15" s="233" t="n">
        <v>2</v>
      </c>
      <c r="B15" s="234" t="inlineStr">
        <is>
          <t xml:space="preserve">CORE </t>
        </is>
      </c>
      <c r="C15" s="444">
        <f>Table4[[#This Row],[Material]]</f>
        <v/>
      </c>
      <c r="D15" s="433" t="n"/>
      <c r="E15" s="430" t="n"/>
      <c r="F15" s="235">
        <f>Table4[[#This Row],[Total weight]]</f>
        <v/>
      </c>
      <c r="G15" s="235">
        <f>Table4[[#This Row],[Price/kg]]</f>
        <v/>
      </c>
      <c r="H15" s="305">
        <f>Table4[[#This Row],[Total Price]]</f>
        <v/>
      </c>
      <c r="I15" s="315">
        <f>H15/$H$28</f>
        <v/>
      </c>
      <c r="J15" s="317" t="inlineStr">
        <is>
          <t>HOT RUNNER</t>
        </is>
      </c>
    </row>
    <row r="16" ht="35" customHeight="1" s="477">
      <c r="A16" s="233" t="n">
        <v>3</v>
      </c>
      <c r="B16" s="234" t="inlineStr">
        <is>
          <t>CAVITY</t>
        </is>
      </c>
      <c r="C16" s="444">
        <f>'Mould Costing'!B14</f>
        <v/>
      </c>
      <c r="D16" s="433" t="n"/>
      <c r="E16" s="430" t="n"/>
      <c r="F16" s="235">
        <f>'Mould Costing'!K14</f>
        <v/>
      </c>
      <c r="G16" s="235">
        <f>'Mould Costing'!L14</f>
        <v/>
      </c>
      <c r="H16" s="305">
        <f>'Mould Costing'!M14</f>
        <v/>
      </c>
      <c r="I16" s="315">
        <f>H16/$H$28</f>
        <v/>
      </c>
      <c r="J16" s="317" t="inlineStr">
        <is>
          <t>SERVICE CHARGE</t>
        </is>
      </c>
    </row>
    <row r="17" ht="35" customHeight="1" s="477">
      <c r="A17" s="233" t="n">
        <v>4</v>
      </c>
      <c r="B17" s="236" t="inlineStr">
        <is>
          <t>ELECTRODES</t>
        </is>
      </c>
      <c r="C17" s="434">
        <f>'Mould Costing'!B17</f>
        <v/>
      </c>
      <c r="D17" s="433" t="n"/>
      <c r="E17" s="430" t="n"/>
      <c r="F17" s="235">
        <f>'Mould Costing'!K17+'Mould Costing'!K18</f>
        <v/>
      </c>
      <c r="G17" s="235">
        <f>'Mould Costing'!L17</f>
        <v/>
      </c>
      <c r="H17" s="305">
        <f>'Mould Costing'!M17+'Mould Costing'!M18</f>
        <v/>
      </c>
      <c r="I17" s="315">
        <f>H17/$H$28</f>
        <v/>
      </c>
      <c r="J17" s="317" t="inlineStr">
        <is>
          <t>TEXTURING</t>
        </is>
      </c>
    </row>
    <row r="18" ht="35" customHeight="1" s="477">
      <c r="A18" s="233" t="n">
        <v>5</v>
      </c>
      <c r="B18" s="234" t="inlineStr">
        <is>
          <t>SPACER BLOCK</t>
        </is>
      </c>
      <c r="C18" s="434">
        <f>'Mould Costing'!B11</f>
        <v/>
      </c>
      <c r="D18" s="433" t="n"/>
      <c r="E18" s="430" t="n"/>
      <c r="F18" s="235">
        <f>'Mould Costing'!K11</f>
        <v/>
      </c>
      <c r="G18" s="235">
        <f>'Mould Costing'!L11</f>
        <v/>
      </c>
      <c r="H18" s="305">
        <f>'Mould Costing'!M11</f>
        <v/>
      </c>
      <c r="I18" s="315">
        <f>H18/$H$28</f>
        <v/>
      </c>
      <c r="J18" s="317" t="inlineStr">
        <is>
          <t>DIMENSION CHANGE</t>
        </is>
      </c>
    </row>
    <row r="19" ht="35" customHeight="1" s="477">
      <c r="A19" s="233" t="n">
        <v>6</v>
      </c>
      <c r="B19" s="234" t="inlineStr">
        <is>
          <t>EJECTOR PLATE</t>
        </is>
      </c>
      <c r="C19" s="444">
        <f>'Mould Costing'!B12</f>
        <v/>
      </c>
      <c r="D19" s="433" t="n"/>
      <c r="E19" s="430" t="n"/>
      <c r="F19" s="235">
        <f>'Mould Costing'!K12+'Mould Costing'!K13</f>
        <v/>
      </c>
      <c r="G19" s="235">
        <f>'Mould Costing'!L12+'Mould Costing'!L13</f>
        <v/>
      </c>
      <c r="H19" s="564">
        <f>F19*G19</f>
        <v/>
      </c>
      <c r="I19" s="315">
        <f>H19/$H$28</f>
        <v/>
      </c>
      <c r="J19" s="317" t="n"/>
    </row>
    <row r="20" ht="35" customHeight="1" s="477">
      <c r="A20" s="233" t="n">
        <v>7</v>
      </c>
      <c r="B20" s="234" t="inlineStr">
        <is>
          <t>OTHER PARTS</t>
        </is>
      </c>
      <c r="C20" s="434" t="inlineStr">
        <is>
          <t>-</t>
        </is>
      </c>
      <c r="D20" s="487" t="n"/>
      <c r="E20" s="430" t="n"/>
      <c r="F20" s="434" t="n"/>
      <c r="G20" s="434" t="n"/>
      <c r="H20" s="564">
        <f>'Mould Costing'!M19:M21</f>
        <v/>
      </c>
      <c r="I20" s="315">
        <f>H20/$H$28</f>
        <v/>
      </c>
      <c r="J20" s="317" t="n"/>
    </row>
    <row r="21" ht="35" customHeight="1" s="477">
      <c r="A21" s="233" t="n">
        <v>8</v>
      </c>
      <c r="B21" s="234" t="inlineStr">
        <is>
          <t>STANDARD ITEMS</t>
        </is>
      </c>
      <c r="C21" s="434" t="inlineStr">
        <is>
          <t>-</t>
        </is>
      </c>
      <c r="D21" s="433" t="n"/>
      <c r="E21" s="430" t="n"/>
      <c r="F21" s="434" t="n"/>
      <c r="G21" s="434" t="n"/>
      <c r="H21" s="564">
        <f>'Mould Costing'!K50</f>
        <v/>
      </c>
      <c r="I21" s="306">
        <f>H21/$H$28</f>
        <v/>
      </c>
      <c r="J21" s="289" t="n"/>
    </row>
    <row r="22" ht="35" customHeight="1" s="477">
      <c r="A22" s="233" t="n">
        <v>9</v>
      </c>
      <c r="B22" s="234" t="inlineStr">
        <is>
          <t>TEXTURING</t>
        </is>
      </c>
      <c r="C22" s="434" t="n"/>
      <c r="D22" s="433" t="n"/>
      <c r="E22" s="430" t="n"/>
      <c r="F22" s="434" t="n"/>
      <c r="G22" s="434" t="n"/>
      <c r="H22" s="564">
        <f>'Mould Costing'!L98</f>
        <v/>
      </c>
      <c r="I22" s="306">
        <f>H22/$H$28</f>
        <v/>
      </c>
      <c r="J22" s="226" t="n"/>
    </row>
    <row r="23" ht="35" customHeight="1" s="477">
      <c r="A23" s="233" t="n">
        <v>10</v>
      </c>
      <c r="B23" s="236" t="inlineStr">
        <is>
          <t>CLAMPING PLATE</t>
        </is>
      </c>
      <c r="C23" s="434">
        <f>'Mould Costing'!B9</f>
        <v/>
      </c>
      <c r="D23" s="433" t="n"/>
      <c r="E23" s="430" t="n"/>
      <c r="F23" s="235">
        <f>'Mould Costing'!K9+'Mould Costing'!K10</f>
        <v/>
      </c>
      <c r="G23" s="235">
        <f>'Mould Costing'!L9+'Mould Costing'!L10</f>
        <v/>
      </c>
      <c r="H23" s="565">
        <f>'Mould Costing'!M9+'Mould Costing'!M10</f>
        <v/>
      </c>
      <c r="I23" s="306">
        <f>H23/$H$28</f>
        <v/>
      </c>
      <c r="J23" s="226" t="n"/>
    </row>
    <row r="24" ht="35" customHeight="1" s="477">
      <c r="A24" s="233" t="n">
        <v>11</v>
      </c>
      <c r="B24" s="236" t="inlineStr">
        <is>
          <t>HRS</t>
        </is>
      </c>
      <c r="C24" s="434" t="n"/>
      <c r="D24" s="433" t="n"/>
      <c r="E24" s="430" t="n"/>
      <c r="F24" s="434" t="n"/>
      <c r="G24" s="434" t="n"/>
      <c r="H24" s="564">
        <f>IF('Mould Costing'!K97,H7,0)</f>
        <v/>
      </c>
      <c r="I24" s="306">
        <f>H24/$H$28</f>
        <v/>
      </c>
      <c r="J24" s="237" t="n"/>
    </row>
    <row r="25" ht="35" customHeight="1" s="477">
      <c r="A25" s="233" t="n">
        <v>12</v>
      </c>
      <c r="B25" s="238" t="inlineStr">
        <is>
          <t>HARDENING + POLISHING</t>
        </is>
      </c>
      <c r="C25" s="467" t="n"/>
      <c r="D25" s="433" t="n"/>
      <c r="E25" s="430" t="n"/>
      <c r="F25" s="467" t="n"/>
      <c r="G25" s="467" t="n"/>
      <c r="H25" s="564">
        <f>'Mould Costing'!K89</f>
        <v/>
      </c>
      <c r="I25" s="306">
        <f>H25/$H$28</f>
        <v/>
      </c>
      <c r="J25" s="237" t="n"/>
    </row>
    <row r="26" ht="35" customHeight="1" s="477">
      <c r="A26" s="233" t="n"/>
      <c r="B26" s="238" t="n"/>
      <c r="C26" s="467" t="n"/>
      <c r="D26" s="433" t="n"/>
      <c r="E26" s="430" t="n"/>
      <c r="F26" s="467" t="n"/>
      <c r="G26" s="467" t="n"/>
      <c r="H26" s="564" t="n"/>
      <c r="I26" s="566" t="n"/>
      <c r="J26" s="237" t="n"/>
    </row>
    <row r="27" ht="35.5" customHeight="1" s="477" thickBot="1">
      <c r="A27" s="248" t="n"/>
      <c r="B27" s="238" t="n"/>
      <c r="C27" s="467" t="n"/>
      <c r="D27" s="463" t="n"/>
      <c r="E27" s="453" t="n"/>
      <c r="F27" s="240" t="n"/>
      <c r="G27" s="467" t="n"/>
      <c r="H27" s="567" t="n"/>
      <c r="I27" s="568" t="n"/>
      <c r="J27" s="226" t="n"/>
    </row>
    <row r="28" ht="35.5" customHeight="1" s="477" thickBot="1">
      <c r="A28" s="485" t="n"/>
      <c r="B28" s="455" t="n"/>
      <c r="C28" s="455" t="n"/>
      <c r="D28" s="455" t="n"/>
      <c r="E28" s="455" t="n"/>
      <c r="F28" s="486" t="n"/>
      <c r="G28" s="241" t="inlineStr">
        <is>
          <t>TOTAL IN Rs.</t>
        </is>
      </c>
      <c r="H28" s="569">
        <f>SUM(H14:H27)</f>
        <v/>
      </c>
      <c r="I28" s="307">
        <f>SUM(I14:I27)</f>
        <v/>
      </c>
      <c r="J28" s="242" t="inlineStr">
        <is>
          <t xml:space="preserve">         ( B )</t>
        </is>
      </c>
    </row>
    <row r="29" ht="35" customHeight="1" s="477">
      <c r="A29" s="243" t="n"/>
      <c r="B29" s="250" t="n"/>
      <c r="C29" s="250" t="n"/>
      <c r="D29" s="290" t="n"/>
      <c r="E29" s="290" t="n"/>
      <c r="F29" s="288" t="n"/>
      <c r="G29" s="291" t="n"/>
      <c r="H29" s="570" t="n"/>
      <c r="I29" s="570" t="n"/>
      <c r="J29" s="242" t="n"/>
    </row>
    <row r="30" ht="35.5" customHeight="1" s="477" thickBot="1">
      <c r="A30" s="244" t="inlineStr">
        <is>
          <t>III) PROCESS COST :</t>
        </is>
      </c>
      <c r="B30" s="292" t="n"/>
      <c r="C30" s="292" t="n"/>
      <c r="D30" s="292" t="n"/>
      <c r="E30" s="290" t="n"/>
      <c r="F30" s="290" t="n"/>
      <c r="G30" s="290" t="n"/>
      <c r="H30" s="570" t="n"/>
      <c r="I30" s="570" t="n"/>
      <c r="J30" s="226" t="n"/>
    </row>
    <row r="31" ht="35" customHeight="1" s="477">
      <c r="A31" s="459" t="inlineStr">
        <is>
          <t>S.No.</t>
        </is>
      </c>
      <c r="B31" s="474" t="inlineStr">
        <is>
          <t>OPERATION</t>
        </is>
      </c>
      <c r="C31" s="474" t="n"/>
      <c r="D31" s="449" t="n"/>
      <c r="E31" s="475" t="n"/>
      <c r="F31" s="489" t="inlineStr">
        <is>
          <t>MACHINE/ MAN HOUR RATE Rs / Hr ( 3 )</t>
        </is>
      </c>
      <c r="G31" s="494" t="inlineStr">
        <is>
          <t>CAVITY</t>
        </is>
      </c>
      <c r="H31" s="495" t="n"/>
      <c r="I31" s="308" t="n"/>
      <c r="J31" s="226" t="n"/>
    </row>
    <row r="32" ht="35" customHeight="1" s="477">
      <c r="A32" s="468" t="n"/>
      <c r="B32" s="483" t="n"/>
      <c r="C32" s="476" t="n"/>
      <c r="E32" s="478" t="n"/>
      <c r="F32" s="483" t="n"/>
      <c r="G32" s="246" t="inlineStr">
        <is>
          <t>TIME REQD.</t>
        </is>
      </c>
      <c r="H32" s="571" t="inlineStr">
        <is>
          <t>TOTAL COST</t>
        </is>
      </c>
      <c r="I32" s="572" t="n"/>
      <c r="J32" s="226" t="n"/>
    </row>
    <row r="33" ht="35.5" customHeight="1" s="477" thickBot="1">
      <c r="A33" s="460" t="n"/>
      <c r="B33" s="484" t="n"/>
      <c r="C33" s="479" t="n"/>
      <c r="D33" s="480" t="n"/>
      <c r="E33" s="442" t="n"/>
      <c r="F33" s="484" t="n"/>
      <c r="G33" s="247" t="inlineStr">
        <is>
          <t xml:space="preserve"> Hr ( 5 )</t>
        </is>
      </c>
      <c r="H33" s="573" t="inlineStr">
        <is>
          <t xml:space="preserve"> Rs ( 3X5 )</t>
        </is>
      </c>
      <c r="I33" s="574" t="n"/>
      <c r="J33" s="226" t="n"/>
    </row>
    <row r="34" ht="35" customHeight="1" s="477">
      <c r="A34" s="233" t="n">
        <v>1</v>
      </c>
      <c r="B34" s="284" t="inlineStr">
        <is>
          <t>Conv Milling - Facing</t>
        </is>
      </c>
      <c r="C34" s="434" t="n"/>
      <c r="D34" s="429" t="n"/>
      <c r="E34" s="430" t="n"/>
      <c r="F34" s="298">
        <f>'Mould Costing'!$B$81</f>
        <v/>
      </c>
      <c r="G34" s="575">
        <f>'Mould Costing'!B$80</f>
        <v/>
      </c>
      <c r="H34" s="576">
        <f>F34*G34*'Mould Costing'!$C$83</f>
        <v/>
      </c>
      <c r="I34" s="309">
        <f>H34/$H$50</f>
        <v/>
      </c>
      <c r="J34" s="226" t="n"/>
    </row>
    <row r="35" ht="35" customHeight="1" s="477">
      <c r="A35" s="293" t="n">
        <v>2</v>
      </c>
      <c r="B35" s="285" t="inlineStr">
        <is>
          <t>Conv Milling - End Milling</t>
        </is>
      </c>
      <c r="C35" s="434" t="n"/>
      <c r="D35" s="429" t="n"/>
      <c r="E35" s="430" t="n"/>
      <c r="F35" s="298">
        <f>'Mould Costing'!$C$81</f>
        <v/>
      </c>
      <c r="G35" s="575">
        <f>'Mould Costing'!C$80</f>
        <v/>
      </c>
      <c r="H35" s="576">
        <f>F35*G35*'Mould Costing'!$C$83</f>
        <v/>
      </c>
      <c r="I35" s="577">
        <f>H35/$H$50</f>
        <v/>
      </c>
      <c r="J35" s="226" t="n"/>
    </row>
    <row r="36" ht="35" customHeight="1" s="477">
      <c r="A36" s="293" t="n">
        <v>3</v>
      </c>
      <c r="B36" s="285" t="inlineStr">
        <is>
          <t>Conv Lathe - Facing / Turning</t>
        </is>
      </c>
      <c r="C36" s="434" t="n"/>
      <c r="D36" s="429" t="n"/>
      <c r="E36" s="430" t="n"/>
      <c r="F36" s="298">
        <f>'Mould Costing'!$D$81</f>
        <v/>
      </c>
      <c r="G36" s="575">
        <f>'Mould Costing'!D$80</f>
        <v/>
      </c>
      <c r="H36" s="576">
        <f>F36*G36*'Mould Costing'!$C$83</f>
        <v/>
      </c>
      <c r="I36" s="577">
        <f>H36/$H$50</f>
        <v/>
      </c>
      <c r="J36" s="492" t="n"/>
    </row>
    <row r="37" ht="35" customHeight="1" s="477">
      <c r="A37" s="293" t="n">
        <v>4</v>
      </c>
      <c r="B37" s="285" t="inlineStr">
        <is>
          <t>Surface Grinding</t>
        </is>
      </c>
      <c r="C37" s="434" t="n"/>
      <c r="D37" s="429" t="n"/>
      <c r="E37" s="430" t="n"/>
      <c r="F37" s="298">
        <f>'Mould Costing'!$E$81</f>
        <v/>
      </c>
      <c r="G37" s="575">
        <f>'Mould Costing'!E$80</f>
        <v/>
      </c>
      <c r="H37" s="576">
        <f>F37*G37*'Mould Costing'!$C$83</f>
        <v/>
      </c>
      <c r="I37" s="309">
        <f>H37/$H$50</f>
        <v/>
      </c>
      <c r="J37" s="492" t="n"/>
    </row>
    <row r="38" ht="35" customHeight="1" s="477">
      <c r="A38" s="293" t="n">
        <v>5</v>
      </c>
      <c r="B38" s="285" t="inlineStr">
        <is>
          <t>Cylindrical Grinding</t>
        </is>
      </c>
      <c r="C38" s="434" t="n"/>
      <c r="D38" s="429" t="n"/>
      <c r="E38" s="430" t="n"/>
      <c r="F38" s="298">
        <f>'Mould Costing'!$F$81</f>
        <v/>
      </c>
      <c r="G38" s="575">
        <f>'Mould Costing'!F$80</f>
        <v/>
      </c>
      <c r="H38" s="576">
        <f>F38*G38*'Mould Costing'!$C$83</f>
        <v/>
      </c>
      <c r="I38" s="310">
        <f>H38/$H$50</f>
        <v/>
      </c>
      <c r="J38" s="492" t="n"/>
    </row>
    <row r="39" ht="35" customHeight="1" s="477">
      <c r="A39" s="293" t="n">
        <v>6</v>
      </c>
      <c r="B39" s="285" t="inlineStr">
        <is>
          <t>Radial Drilling - Hole drilling</t>
        </is>
      </c>
      <c r="C39" s="434" t="n"/>
      <c r="D39" s="429" t="n"/>
      <c r="E39" s="430" t="n"/>
      <c r="F39" s="298">
        <f>'Mould Costing'!$G$81</f>
        <v/>
      </c>
      <c r="G39" s="575">
        <f>'Mould Costing'!G$80</f>
        <v/>
      </c>
      <c r="H39" s="576">
        <f>F39*G39*'Mould Costing'!$C$83</f>
        <v/>
      </c>
      <c r="I39" s="309">
        <f>H39/$H$50</f>
        <v/>
      </c>
      <c r="J39" s="492" t="n"/>
    </row>
    <row r="40" ht="70" customHeight="1" s="477">
      <c r="A40" s="293" t="n">
        <v>7</v>
      </c>
      <c r="B40" s="285" t="inlineStr">
        <is>
          <t>Radial Drilling - Reaming / Tapping</t>
        </is>
      </c>
      <c r="C40" s="434" t="n"/>
      <c r="D40" s="429" t="n"/>
      <c r="E40" s="430" t="n"/>
      <c r="F40" s="298">
        <f>'Mould Costing'!$H$81</f>
        <v/>
      </c>
      <c r="G40" s="575">
        <f>'Mould Costing'!H$80</f>
        <v/>
      </c>
      <c r="H40" s="576">
        <f>F40*G40*'Mould Costing'!$C$83</f>
        <v/>
      </c>
      <c r="I40" s="577">
        <f>H40/$H$50</f>
        <v/>
      </c>
      <c r="J40" s="492" t="n"/>
    </row>
    <row r="41" ht="35" customHeight="1" s="477">
      <c r="A41" s="233" t="n">
        <v>8</v>
      </c>
      <c r="B41" s="284" t="inlineStr">
        <is>
          <t>Pillar Drilling</t>
        </is>
      </c>
      <c r="C41" s="434" t="n"/>
      <c r="D41" s="429" t="n"/>
      <c r="E41" s="430" t="n"/>
      <c r="F41" s="298">
        <f>'Mould Costing'!$I$81</f>
        <v/>
      </c>
      <c r="G41" s="575">
        <f>'Mould Costing'!I$80</f>
        <v/>
      </c>
      <c r="H41" s="576">
        <f>F41*G41*'Mould Costing'!$C$83</f>
        <v/>
      </c>
      <c r="I41" s="310">
        <f>H41/$H$50</f>
        <v/>
      </c>
      <c r="J41" s="492" t="n"/>
    </row>
    <row r="42" ht="35" customHeight="1" s="477">
      <c r="A42" s="233" t="n">
        <v>9</v>
      </c>
      <c r="B42" s="284" t="inlineStr">
        <is>
          <t>Gun Drilling</t>
        </is>
      </c>
      <c r="C42" s="434" t="n"/>
      <c r="D42" s="429" t="n"/>
      <c r="E42" s="430" t="n"/>
      <c r="F42" s="298">
        <f>'Mould Costing'!$J$81</f>
        <v/>
      </c>
      <c r="G42" s="575">
        <f>'Mould Costing'!J$80</f>
        <v/>
      </c>
      <c r="H42" s="576">
        <f>F42*G42*'Mould Costing'!$C$83</f>
        <v/>
      </c>
      <c r="I42" s="578">
        <f>H42/$H$50</f>
        <v/>
      </c>
      <c r="J42" s="492" t="n"/>
    </row>
    <row r="43" ht="35" customHeight="1" s="477">
      <c r="A43" s="233" t="n">
        <v>10</v>
      </c>
      <c r="B43" s="284" t="inlineStr">
        <is>
          <t>NC EDM</t>
        </is>
      </c>
      <c r="C43" s="434" t="n"/>
      <c r="D43" s="429" t="n"/>
      <c r="E43" s="430" t="n"/>
      <c r="F43" s="298">
        <f>'Mould Costing'!K$81</f>
        <v/>
      </c>
      <c r="G43" s="575">
        <f>'Mould Costing'!K$80</f>
        <v/>
      </c>
      <c r="H43" s="576">
        <f>F43*G43*'Mould Costing'!$C$83</f>
        <v/>
      </c>
      <c r="I43" s="310">
        <f>H43/$H$50</f>
        <v/>
      </c>
      <c r="J43" s="492" t="n"/>
    </row>
    <row r="44" ht="35" customHeight="1" s="477">
      <c r="A44" s="233" t="n">
        <v>11</v>
      </c>
      <c r="B44" s="284" t="inlineStr">
        <is>
          <t>Wirecut EDM</t>
        </is>
      </c>
      <c r="C44" s="434" t="n"/>
      <c r="D44" s="429" t="n"/>
      <c r="E44" s="430" t="n"/>
      <c r="F44" s="298">
        <f>'Mould Costing'!$L$81</f>
        <v/>
      </c>
      <c r="G44" s="575">
        <f>'Mould Costing'!L$80</f>
        <v/>
      </c>
      <c r="H44" s="576">
        <f>F44*G44*'Mould Costing'!$C$83</f>
        <v/>
      </c>
      <c r="I44" s="310">
        <f>H44/$H$50</f>
        <v/>
      </c>
      <c r="J44" s="492" t="n"/>
    </row>
    <row r="45" ht="35" customHeight="1" s="477">
      <c r="A45" s="293" t="n">
        <v>12</v>
      </c>
      <c r="B45" s="285" t="inlineStr">
        <is>
          <t>Jig Boring</t>
        </is>
      </c>
      <c r="C45" s="434" t="n"/>
      <c r="D45" s="429" t="n"/>
      <c r="E45" s="430" t="n"/>
      <c r="F45" s="298">
        <f>'Mould Costing'!$M$81</f>
        <v/>
      </c>
      <c r="G45" s="575">
        <f>'Mould Costing'!M$80</f>
        <v/>
      </c>
      <c r="H45" s="576">
        <f>F45*G45*'Mould Costing'!$C$83</f>
        <v/>
      </c>
      <c r="I45" s="310">
        <f>H45/$H$50</f>
        <v/>
      </c>
      <c r="J45" s="492" t="n"/>
    </row>
    <row r="46" ht="35" customHeight="1" s="477">
      <c r="A46" s="293" t="n">
        <v>13</v>
      </c>
      <c r="B46" s="285" t="inlineStr">
        <is>
          <t>CNC Lathe</t>
        </is>
      </c>
      <c r="C46" s="434" t="n"/>
      <c r="D46" s="429" t="n"/>
      <c r="E46" s="430" t="n"/>
      <c r="F46" s="298">
        <f>'Mould Costing'!$N$81</f>
        <v/>
      </c>
      <c r="G46" s="575">
        <f>'Mould Costing'!N$80</f>
        <v/>
      </c>
      <c r="H46" s="576">
        <f>F46*G46*'Mould Costing'!$C$83</f>
        <v/>
      </c>
      <c r="I46" s="309">
        <f>H46/$H$50</f>
        <v/>
      </c>
      <c r="J46" s="492" t="n"/>
    </row>
    <row r="47" ht="35" customHeight="1" s="477">
      <c r="A47" s="293" t="n">
        <v>14</v>
      </c>
      <c r="B47" s="285" t="inlineStr">
        <is>
          <t>CNC Milling</t>
        </is>
      </c>
      <c r="C47" s="434" t="n"/>
      <c r="D47" s="429" t="n"/>
      <c r="E47" s="430" t="n"/>
      <c r="F47" s="298">
        <f>'Mould Costing'!$O$81</f>
        <v/>
      </c>
      <c r="G47" s="575">
        <f>'Mould Costing'!O$80</f>
        <v/>
      </c>
      <c r="H47" s="576">
        <f>F47*G47*'Mould Costing'!$C$83</f>
        <v/>
      </c>
      <c r="I47" s="309">
        <f>H47/$H$50</f>
        <v/>
      </c>
      <c r="J47" s="492" t="n"/>
    </row>
    <row r="48" ht="35" customHeight="1" s="477">
      <c r="A48" s="293" t="n">
        <v>15</v>
      </c>
      <c r="B48" s="285" t="inlineStr">
        <is>
          <t>CNC EDM</t>
        </is>
      </c>
      <c r="C48" s="434" t="n"/>
      <c r="D48" s="429" t="n"/>
      <c r="E48" s="430" t="n"/>
      <c r="F48" s="298">
        <f>'Mould Costing'!$P$81</f>
        <v/>
      </c>
      <c r="G48" s="575">
        <f>'Mould Costing'!P$80</f>
        <v/>
      </c>
      <c r="H48" s="576">
        <f>F48*G48*'Mould Costing'!$C$83</f>
        <v/>
      </c>
      <c r="I48" s="309">
        <f>H48/$H$50</f>
        <v/>
      </c>
      <c r="J48" s="492" t="n"/>
    </row>
    <row r="49" ht="35.5" customHeight="1" s="477" thickBot="1">
      <c r="A49" s="293" t="n">
        <v>16</v>
      </c>
      <c r="B49" s="285" t="inlineStr">
        <is>
          <t>Bench Work</t>
        </is>
      </c>
      <c r="C49" s="434" t="n"/>
      <c r="D49" s="429" t="n"/>
      <c r="E49" s="430" t="n"/>
      <c r="F49" s="298">
        <f>'Mould Costing'!$Q$81</f>
        <v/>
      </c>
      <c r="G49" s="575">
        <f>'Mould Costing'!Q$80</f>
        <v/>
      </c>
      <c r="H49" s="576">
        <f>F49*G49*'Mould Costing'!$C$83</f>
        <v/>
      </c>
      <c r="I49" s="310">
        <f>H49/$H$50</f>
        <v/>
      </c>
      <c r="J49" s="492" t="n"/>
    </row>
    <row r="50" ht="35.5" customHeight="1" s="477" thickBot="1">
      <c r="A50" s="443" t="inlineStr">
        <is>
          <t>TOTAL IN Rs.</t>
        </is>
      </c>
      <c r="B50" s="426" t="n"/>
      <c r="C50" s="426" t="n"/>
      <c r="D50" s="426" t="n"/>
      <c r="E50" s="320" t="n"/>
      <c r="F50" s="579" t="n"/>
      <c r="G50" s="579">
        <f>SUM(G34:G49)</f>
        <v/>
      </c>
      <c r="H50" s="580">
        <f>SUM(H34:H49)</f>
        <v/>
      </c>
      <c r="I50" s="581" t="n"/>
      <c r="J50" s="226" t="n"/>
    </row>
    <row r="51" ht="35" customHeight="1" s="477">
      <c r="A51" s="243" t="n"/>
      <c r="B51" s="250" t="n"/>
      <c r="C51" s="250" t="n"/>
      <c r="D51" s="290" t="n"/>
      <c r="E51" s="290" t="n"/>
      <c r="F51" s="290" t="n"/>
      <c r="G51" s="290" t="n"/>
      <c r="H51" s="570" t="n"/>
      <c r="I51" s="570" t="n"/>
      <c r="J51" s="226" t="n"/>
    </row>
    <row r="52" ht="35" customHeight="1" s="477">
      <c r="A52" s="244" t="inlineStr">
        <is>
          <t xml:space="preserve">TOTAL PROCESS COST :-                                                            </t>
        </is>
      </c>
      <c r="B52" s="294" t="n"/>
      <c r="C52" s="294" t="n"/>
      <c r="D52" s="251" t="n"/>
      <c r="E52" s="251" t="n"/>
      <c r="F52" s="291" t="n"/>
      <c r="G52" s="251" t="n"/>
      <c r="H52" s="582">
        <f>H50</f>
        <v/>
      </c>
      <c r="I52" s="582" t="n"/>
      <c r="J52" s="242" t="inlineStr">
        <is>
          <t xml:space="preserve">         ( C )</t>
        </is>
      </c>
    </row>
    <row r="53" ht="35" customHeight="1" s="477">
      <c r="A53" s="227" t="n"/>
      <c r="B53" s="294" t="n"/>
      <c r="C53" s="294" t="n"/>
      <c r="D53" s="291" t="n"/>
      <c r="E53" s="291" t="n"/>
      <c r="F53" s="291" t="n"/>
      <c r="G53" s="291" t="n"/>
      <c r="H53" s="582" t="n"/>
      <c r="I53" s="582" t="n"/>
      <c r="J53" s="226" t="n"/>
    </row>
    <row r="54" ht="35" customHeight="1" s="477">
      <c r="A54" s="244" t="inlineStr">
        <is>
          <t>IV) PROFIT &amp; OVERHEADS COST :</t>
        </is>
      </c>
      <c r="B54" s="292" t="n"/>
      <c r="C54" s="292" t="n"/>
      <c r="D54" s="290" t="n"/>
      <c r="E54" s="290" t="n"/>
      <c r="F54" s="290" t="n"/>
      <c r="G54" s="290" t="n"/>
      <c r="H54" s="570" t="n"/>
      <c r="I54" s="570" t="n"/>
      <c r="J54" s="226" t="n"/>
    </row>
    <row r="55" ht="35.5" customHeight="1" s="477" thickBot="1">
      <c r="A55" s="227" t="n"/>
      <c r="B55" s="250" t="n"/>
      <c r="C55" s="250" t="n"/>
      <c r="D55" s="290" t="n"/>
      <c r="E55" s="290" t="n"/>
      <c r="F55" s="290" t="n"/>
      <c r="G55" s="290" t="n"/>
      <c r="H55" s="570" t="n"/>
      <c r="I55" s="570" t="n"/>
      <c r="J55" s="226" t="n"/>
    </row>
    <row r="56" ht="35.5" customHeight="1" s="477" thickBot="1">
      <c r="A56" s="465" t="n"/>
      <c r="B56" s="466" t="n"/>
      <c r="C56" s="469" t="inlineStr">
        <is>
          <t>REMARKS</t>
        </is>
      </c>
      <c r="D56" s="432" t="n"/>
      <c r="E56" s="454" t="inlineStr">
        <is>
          <t xml:space="preserve">       %AGE RATE </t>
        </is>
      </c>
      <c r="F56" s="455" t="n"/>
      <c r="G56" s="456" t="inlineStr">
        <is>
          <t xml:space="preserve">TOTAL COST </t>
        </is>
      </c>
      <c r="H56" s="432" t="n"/>
      <c r="I56" s="243" t="n"/>
      <c r="J56" s="226" t="n"/>
    </row>
    <row r="57" ht="35" customHeight="1" s="477">
      <c r="A57" s="444" t="inlineStr">
        <is>
          <t>Material Movement &amp; Mold Forwarding</t>
        </is>
      </c>
      <c r="B57" s="442" t="n"/>
      <c r="C57" s="444" t="n"/>
      <c r="D57" s="442" t="n"/>
      <c r="E57" s="441" t="n"/>
      <c r="F57" s="442" t="n"/>
      <c r="G57" s="583">
        <f>'Mould Costing'!L96</f>
        <v/>
      </c>
      <c r="H57" s="442" t="n"/>
      <c r="I57" s="584" t="n"/>
      <c r="J57" s="226" t="n"/>
    </row>
    <row r="58" ht="35" customHeight="1" s="477">
      <c r="A58" s="434" t="inlineStr">
        <is>
          <t>SERVICE CHARGE</t>
        </is>
      </c>
      <c r="B58" s="430" t="n"/>
      <c r="C58" s="434" t="n"/>
      <c r="D58" s="430" t="n"/>
      <c r="E58" s="447" t="n"/>
      <c r="F58" s="430" t="n"/>
      <c r="G58" s="585">
        <f>'Mould Costing'!L99</f>
        <v/>
      </c>
      <c r="H58" s="430" t="n"/>
      <c r="I58" s="584" t="n"/>
      <c r="J58" s="226" t="n"/>
    </row>
    <row r="59" ht="35" customHeight="1" s="477">
      <c r="A59" s="434" t="inlineStr">
        <is>
          <t>PROFIT &amp; OVERHEADS</t>
        </is>
      </c>
      <c r="B59" s="430" t="n"/>
      <c r="C59" s="434" t="n"/>
      <c r="D59" s="430" t="n"/>
      <c r="E59" s="447" t="n"/>
      <c r="F59" s="430" t="n"/>
      <c r="G59" s="586">
        <f>'Mould Costing'!L95</f>
        <v/>
      </c>
      <c r="H59" s="430" t="n"/>
      <c r="I59" s="587" t="n"/>
      <c r="J59" s="226" t="n"/>
    </row>
    <row r="60" ht="35.5" customHeight="1" s="477" thickBot="1">
      <c r="A60" s="452" t="n"/>
      <c r="B60" s="239" t="n"/>
      <c r="C60" s="239" t="n"/>
      <c r="D60" s="467" t="n"/>
      <c r="E60" s="467" t="n"/>
      <c r="F60" s="453" t="n"/>
      <c r="G60" s="452" t="n"/>
      <c r="H60" s="453" t="n"/>
      <c r="I60" s="303" t="n"/>
      <c r="J60" s="237" t="n"/>
    </row>
    <row r="61" ht="35.5" customHeight="1" s="477" thickBot="1">
      <c r="A61" s="321" t="n"/>
      <c r="B61" s="297" t="n"/>
      <c r="C61" s="297" t="n"/>
      <c r="D61" s="454" t="n"/>
      <c r="E61" s="431" t="inlineStr">
        <is>
          <t>TOTAL IN Rs.</t>
        </is>
      </c>
      <c r="F61" s="432" t="n"/>
      <c r="G61" s="588">
        <f>+G57+G58+G59</f>
        <v/>
      </c>
      <c r="H61" s="432" t="n"/>
      <c r="I61" s="589" t="n"/>
      <c r="J61" s="242" t="inlineStr">
        <is>
          <t xml:space="preserve">         ( D )</t>
        </is>
      </c>
    </row>
    <row r="62" ht="35.5" customHeight="1" s="477" thickBot="1">
      <c r="A62" s="243" t="n"/>
      <c r="B62" s="250" t="n"/>
      <c r="C62" s="250" t="n"/>
      <c r="D62" s="288" t="n"/>
      <c r="E62" s="290" t="n"/>
      <c r="F62" s="290" t="n"/>
      <c r="G62" s="290" t="n"/>
      <c r="H62" s="570" t="n"/>
      <c r="I62" s="570" t="n"/>
      <c r="J62" s="226" t="n"/>
    </row>
    <row r="63" ht="35.5" customHeight="1" s="477" thickBot="1">
      <c r="A63" s="244" t="inlineStr">
        <is>
          <t xml:space="preserve">V) OTHER EXPENSES :   Rs.                            </t>
        </is>
      </c>
      <c r="B63" s="287" t="n"/>
      <c r="C63" s="287" t="n"/>
      <c r="D63" s="288" t="n"/>
      <c r="E63" s="295" t="n"/>
      <c r="F63" s="290" t="n"/>
      <c r="G63" s="290" t="n"/>
      <c r="H63" s="590" t="n">
        <v>0</v>
      </c>
      <c r="I63" s="582" t="n"/>
      <c r="J63" s="242" t="inlineStr">
        <is>
          <t xml:space="preserve">         ( E )</t>
        </is>
      </c>
    </row>
    <row r="64" ht="35.5" customHeight="1" s="477" thickBot="1">
      <c r="A64" s="227" t="n"/>
      <c r="B64" s="250" t="n"/>
      <c r="C64" s="250" t="n"/>
      <c r="D64" s="290" t="n"/>
      <c r="E64" s="296" t="n"/>
      <c r="F64" s="290" t="n"/>
      <c r="G64" s="290" t="n"/>
      <c r="H64" s="570" t="n"/>
      <c r="I64" s="570" t="n"/>
      <c r="J64" s="226" t="n"/>
    </row>
    <row r="65" ht="40.5" customHeight="1" s="477">
      <c r="A65" s="448" t="inlineStr">
        <is>
          <t>OVERALL  COST : ( A+B+C+D+E )    -  Rs</t>
        </is>
      </c>
      <c r="B65" s="449" t="n"/>
      <c r="C65" s="449" t="n"/>
      <c r="D65" s="591" t="n"/>
      <c r="E65" s="449" t="n"/>
      <c r="F65" s="449" t="n"/>
      <c r="G65" s="471" t="n"/>
      <c r="H65" s="592">
        <f>C9+H28+H52+G61+H63+F9</f>
        <v/>
      </c>
      <c r="I65" s="593" t="n"/>
      <c r="J65" s="594" t="n"/>
    </row>
    <row r="66" ht="41" customHeight="1" s="477" thickBot="1">
      <c r="A66" s="450" t="n"/>
      <c r="B66" s="426" t="n"/>
      <c r="C66" s="426" t="n"/>
      <c r="D66" s="450" t="n"/>
      <c r="E66" s="426" t="n"/>
      <c r="F66" s="426" t="n"/>
      <c r="G66" s="427" t="n"/>
      <c r="H66" s="427" t="n"/>
      <c r="I66" s="593" t="n"/>
      <c r="J66" s="458" t="n"/>
    </row>
    <row r="67" ht="35" customHeight="1" s="477">
      <c r="A67" s="243" t="n"/>
      <c r="B67" s="250" t="n"/>
      <c r="C67" s="250" t="n"/>
      <c r="D67" s="290" t="n"/>
      <c r="E67" s="290" t="n"/>
      <c r="F67" s="290" t="n"/>
      <c r="G67" s="290" t="n"/>
      <c r="H67" s="570" t="n"/>
      <c r="I67" s="570" t="n"/>
      <c r="J67" s="226" t="n"/>
    </row>
    <row r="68" ht="35" customHeight="1" s="477">
      <c r="A68" s="435" t="inlineStr">
        <is>
          <t xml:space="preserve">( PREPARED BY )  </t>
        </is>
      </c>
      <c r="B68" s="436" t="n"/>
      <c r="C68" s="436" t="n"/>
      <c r="D68" s="437" t="n"/>
      <c r="E68" s="291" t="n"/>
      <c r="F68" s="422" t="inlineStr">
        <is>
          <t xml:space="preserve">( APPROVED BY )  </t>
        </is>
      </c>
      <c r="G68" s="423" t="n"/>
      <c r="H68" s="423" t="n"/>
      <c r="I68" s="423" t="n"/>
      <c r="J68" s="424" t="n"/>
    </row>
    <row r="69" ht="35.5" customHeight="1" s="477" thickBot="1">
      <c r="A69" s="438" t="n"/>
      <c r="B69" s="439" t="n"/>
      <c r="C69" s="439" t="n"/>
      <c r="D69" s="440" t="n"/>
      <c r="E69" s="253" t="n"/>
      <c r="F69" s="425" t="n"/>
      <c r="G69" s="426" t="n"/>
      <c r="H69" s="426" t="n"/>
      <c r="I69" s="426" t="n"/>
      <c r="J69" s="427" t="n"/>
    </row>
    <row r="78">
      <c r="H78">
        <f>VALUE(H65)</f>
        <v/>
      </c>
    </row>
  </sheetData>
  <mergeCells count="74">
    <mergeCell ref="D20:E20"/>
    <mergeCell ref="G59:H59"/>
    <mergeCell ref="A1:J2"/>
    <mergeCell ref="C44:E44"/>
    <mergeCell ref="C41:E41"/>
    <mergeCell ref="A59:B59"/>
    <mergeCell ref="F5:H5"/>
    <mergeCell ref="J4:J8"/>
    <mergeCell ref="B12:B13"/>
    <mergeCell ref="D19:E19"/>
    <mergeCell ref="F31:F33"/>
    <mergeCell ref="D65:G66"/>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B31:B33"/>
    <mergeCell ref="D16:E16"/>
    <mergeCell ref="E59:F59"/>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C35:E35"/>
    <mergeCell ref="A9:B9"/>
    <mergeCell ref="G9:H9"/>
    <mergeCell ref="E56:F56"/>
    <mergeCell ref="G60:H60"/>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F1:F6"/>
  <sheetViews>
    <sheetView workbookViewId="0">
      <selection activeCell="G6" sqref="G6"/>
    </sheetView>
  </sheetViews>
  <sheetFormatPr baseColWidth="8" defaultRowHeight="14.5"/>
  <sheetData>
    <row r="1">
      <c r="F1" s="60">
        <f>INT(DASHBOARD!C9)</f>
        <v/>
      </c>
    </row>
    <row r="2">
      <c r="F2">
        <f>INT(DASHBOARD!H28)</f>
        <v/>
      </c>
    </row>
    <row r="3">
      <c r="F3">
        <f>INT(DASHBOARD!H52)</f>
        <v/>
      </c>
    </row>
    <row r="4">
      <c r="F4">
        <f>INT(DASHBOARD!G61)</f>
        <v/>
      </c>
    </row>
    <row r="5">
      <c r="F5">
        <f>INT(DASHBOARD!H65)</f>
        <v/>
      </c>
    </row>
    <row r="6">
      <c r="F6">
        <f>DASHBOARD!D4</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4"/>
    <col width="8.7265625" customWidth="1" style="206" min="5" max="16384"/>
  </cols>
  <sheetData>
    <row r="1" ht="21" customHeight="1" s="477">
      <c r="A1" s="207" t="inlineStr">
        <is>
          <t>Assumptions</t>
        </is>
      </c>
    </row>
    <row r="2" ht="21" customHeight="1" s="477">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7" min="1" max="1"/>
    <col width="12.54296875" customWidth="1" style="477" min="2" max="2"/>
    <col width="14.90625" customWidth="1" style="477" min="3" max="3"/>
    <col width="13.26953125" customWidth="1" style="477" min="4" max="4"/>
    <col width="14.54296875" customWidth="1" style="477" min="5" max="5"/>
    <col width="15.08984375" customWidth="1" style="477" min="6" max="6"/>
    <col width="16.81640625" customWidth="1" style="477" min="7" max="7"/>
    <col width="12.453125" customWidth="1" style="477" min="8" max="8"/>
    <col width="16.08984375" customWidth="1" style="477" min="9" max="9"/>
    <col width="18.26953125" customWidth="1" style="477" min="10" max="10"/>
    <col width="12.81640625" customWidth="1" style="477" min="11" max="11"/>
    <col width="16.453125" customWidth="1" style="477" min="12" max="12"/>
    <col width="11.36328125" customWidth="1" style="477" min="13" max="13"/>
    <col width="13.6328125" customWidth="1" style="477" min="14" max="14"/>
    <col width="16" customWidth="1" style="477" min="15" max="15"/>
    <col width="12.36328125" customWidth="1" style="477" min="16" max="16"/>
    <col width="9.453125" customWidth="1" style="477" min="17" max="17"/>
    <col width="14.54296875" customWidth="1" style="477" min="18" max="18"/>
  </cols>
  <sheetData>
    <row r="1" ht="23.5" customHeight="1" s="477">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7">
      <c r="A7" s="499" t="inlineStr">
        <is>
          <t>Mould Base Cost</t>
        </is>
      </c>
    </row>
    <row r="8" ht="58" customHeight="1" s="477">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5" t="n"/>
      <c r="E17" s="595" t="n"/>
      <c r="F17" s="595"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5" t="n"/>
      <c r="E18" s="595" t="n"/>
      <c r="F18" s="595"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7">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7">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2" t="inlineStr">
        <is>
          <t>Material</t>
        </is>
      </c>
      <c r="B23" s="479" t="inlineStr">
        <is>
          <t>Total(in KG)</t>
        </is>
      </c>
      <c r="C23" s="484" t="inlineStr">
        <is>
          <t>Price/kg</t>
        </is>
      </c>
      <c r="D23" s="484"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23"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23" t="n"/>
      <c r="C50" s="423" t="n"/>
      <c r="D50" s="423" t="n"/>
      <c r="E50" s="423" t="n"/>
      <c r="F50" s="423" t="n"/>
      <c r="G50" s="423" t="n"/>
      <c r="H50" s="423" t="n"/>
      <c r="I50" s="423" t="n"/>
      <c r="J50" t="inlineStr">
        <is>
          <t>Total (A2)</t>
        </is>
      </c>
      <c r="K50" s="59">
        <f>IF('INJ. MOULDING ESTIMATION'!C16&lt;1,SUM(K42:K49)*COMPLEXITY!B2,SUM(K42:K49))</f>
        <v/>
      </c>
    </row>
    <row r="51">
      <c r="A51" s="480" t="n"/>
      <c r="B51" s="480" t="n"/>
      <c r="C51" s="480" t="n"/>
      <c r="D51" s="480" t="n"/>
      <c r="E51" s="480" t="n"/>
      <c r="F51" s="480" t="n"/>
      <c r="G51" s="480" t="n"/>
      <c r="H51" s="480" t="n"/>
      <c r="I51" s="480" t="n"/>
      <c r="J51" s="56" t="inlineStr">
        <is>
          <t>Total (A1+A2)</t>
        </is>
      </c>
      <c r="K51" s="60">
        <f>K50+M22</f>
        <v/>
      </c>
    </row>
    <row r="52" ht="18.5" customHeight="1" s="477">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7">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7">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7">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6">
        <f>SUMIF('Machining Time'!$C$4:$C$18,'Mould Costing'!B66,'Machining Time'!$L$4:$L$18)</f>
        <v/>
      </c>
      <c r="C67" s="596">
        <f>SUMIF('Machining Time'!$C$4:$C$18,'Mould Costing'!C66,'Machining Time'!$L$4:$L$18)</f>
        <v/>
      </c>
      <c r="D67" s="596">
        <f>SUMIF('Machining Time'!$C$4:$C$18,'Mould Costing'!D66,'Machining Time'!$L$4:$L$18)</f>
        <v/>
      </c>
      <c r="E67" s="596">
        <f>SUMIF('Machining Time'!$C$4:$C$18,'Mould Costing'!E66,'Machining Time'!$L$4:$L$18)</f>
        <v/>
      </c>
      <c r="F67" s="596">
        <f>SUMIF('Machining Time'!$C$4:$C$18,'Mould Costing'!F66,'Machining Time'!$L$4:$L$18)</f>
        <v/>
      </c>
      <c r="G67" s="596">
        <f>SUMIF('Machining Time'!$C$4:$C$18,'Mould Costing'!G66,'Machining Time'!$L$4:$L$18)</f>
        <v/>
      </c>
      <c r="H67" s="596">
        <f>SUMIF('Machining Time'!$C$4:$C$18,'Mould Costing'!H66,'Machining Time'!$L$4:$L$18)</f>
        <v/>
      </c>
      <c r="I67" s="596">
        <f>SUMIF('Machining Time'!$C$4:$C$18,'Mould Costing'!I66,'Machining Time'!$L$4:$L$18)</f>
        <v/>
      </c>
      <c r="J67" s="596">
        <f>SUMIF('Machining Time'!$C$4:$C$18,'Mould Costing'!J66,'Machining Time'!$L$4:$L$18)</f>
        <v/>
      </c>
      <c r="K67" s="596">
        <f>SUMIF('Machining Time'!$C$4:$C$18,'Mould Costing'!K66,'Machining Time'!$L$4:$L$18)</f>
        <v/>
      </c>
      <c r="L67" s="596">
        <f>SUMIF('Machining Time'!$C$4:$C$18,'Mould Costing'!L66,'Machining Time'!$L$4:$L$18)</f>
        <v/>
      </c>
      <c r="M67" s="596">
        <f>SUMIF('Machining Time'!$C$4:$C$18,'Mould Costing'!M66,'Machining Time'!$L$4:$L$18)</f>
        <v/>
      </c>
      <c r="N67" s="596">
        <f>SUMIF('Machining Time'!$C$4:$C$18,'Mould Costing'!N66,'Machining Time'!$L$4:$L$18)</f>
        <v/>
      </c>
      <c r="O67" s="596">
        <f>SUMIF('Machining Time'!$C$4:$C$18,'Mould Costing'!O66,'Machining Time'!$L$4:$L$18)</f>
        <v/>
      </c>
      <c r="P67" s="596">
        <f>SUMIF('Machining Time'!$C$4:$C$18,'Mould Costing'!P66,'Machining Time'!$L$4:$L$18)</f>
        <v/>
      </c>
      <c r="Q67" s="597" t="n">
        <v>4</v>
      </c>
    </row>
    <row r="68">
      <c r="A68" t="inlineStr">
        <is>
          <t>Bottom Clamp Plate</t>
        </is>
      </c>
      <c r="B68" s="596">
        <f>SUMIF('Machining Time'!$C$23:$C$37,'Mould Costing'!B$66,'Machining Time'!$L$23:$L$37)</f>
        <v/>
      </c>
      <c r="C68" s="596">
        <f>SUMIF('Machining Time'!$C$23:$C$37,'Mould Costing'!C66,'Machining Time'!$L$23:$L$37)</f>
        <v/>
      </c>
      <c r="D68" s="596">
        <f>SUMIF('Machining Time'!$C$23:$C$37,'Mould Costing'!D66,'Machining Time'!$L$23:$L$37)</f>
        <v/>
      </c>
      <c r="E68" s="596">
        <f>SUMIF('Machining Time'!$C$23:$C$37,'Mould Costing'!E66,'Machining Time'!$L$23:$L$37)</f>
        <v/>
      </c>
      <c r="F68" s="596">
        <f>SUMIF('Machining Time'!$C$23:$C$37,'Mould Costing'!F66,'Machining Time'!$L$23:$L$37)</f>
        <v/>
      </c>
      <c r="G68" s="596">
        <f>SUMIF('Machining Time'!$C$23:$C$37,'Mould Costing'!G66,'Machining Time'!$L$23:$L$37)</f>
        <v/>
      </c>
      <c r="H68" s="596">
        <f>SUMIF('Machining Time'!$C$23:$C$37,'Mould Costing'!H66,'Machining Time'!$L$23:$L$37)</f>
        <v/>
      </c>
      <c r="I68" s="596">
        <f>SUMIF('Machining Time'!$C$23:$C$37,'Mould Costing'!I66,'Machining Time'!$L$23:$L$37)</f>
        <v/>
      </c>
      <c r="J68" s="596">
        <f>SUMIF('Machining Time'!$C$23:$C$37,'Mould Costing'!J66,'Machining Time'!$L$23:$L$37)</f>
        <v/>
      </c>
      <c r="K68" s="596">
        <f>SUMIF('Machining Time'!$C$23:$C$37,'Mould Costing'!K66,'Machining Time'!$L$23:$L$37)</f>
        <v/>
      </c>
      <c r="L68" s="596">
        <f>SUMIF('Machining Time'!$C$23:$C$37,'Mould Costing'!L66,'Machining Time'!$L$23:$L$37)</f>
        <v/>
      </c>
      <c r="M68" s="596">
        <f>SUMIF('Machining Time'!$C$23:$C$37,'Mould Costing'!M66,'Machining Time'!$L$23:$L$37)</f>
        <v/>
      </c>
      <c r="N68" s="596">
        <f>SUMIF('Machining Time'!$C$23:$C$37,'Mould Costing'!N66,'Machining Time'!$L$23:$L$37)</f>
        <v/>
      </c>
      <c r="O68" s="596">
        <f>SUMIF('Machining Time'!$C$23:$C$37,'Mould Costing'!O66,'Machining Time'!$L$23:$L$37)</f>
        <v/>
      </c>
      <c r="P68" s="596">
        <f>SUMIF('Machining Time'!$C$23:$C$37,'Mould Costing'!P66,'Machining Time'!$L$23:$L$37)</f>
        <v/>
      </c>
      <c r="Q68" s="597" t="n">
        <v>4</v>
      </c>
    </row>
    <row r="69">
      <c r="A69" t="inlineStr">
        <is>
          <t>Spacer Block</t>
        </is>
      </c>
      <c r="B69" s="596">
        <f>SUMIF('Machining Time'!$C$42:$C$57,'Mould Costing'!B$66,'Machining Time'!$L$42:$L$57)</f>
        <v/>
      </c>
      <c r="C69" s="596">
        <f>SUMIF('Machining Time'!$C$42:$C$57,'Mould Costing'!C$66,'Machining Time'!$L$42:$L$57)</f>
        <v/>
      </c>
      <c r="D69" s="596">
        <f>SUMIF('Machining Time'!$C$42:$C$57,'Mould Costing'!D$66,'Machining Time'!$L$42:$L$57)</f>
        <v/>
      </c>
      <c r="E69" s="596">
        <f>SUMIF('Machining Time'!$C$42:$C$57,'Mould Costing'!E$66,'Machining Time'!$L$42:$L$57)</f>
        <v/>
      </c>
      <c r="F69" s="596">
        <f>SUMIF('Machining Time'!$C$42:$C$57,'Mould Costing'!F$66,'Machining Time'!$L$42:$L$57)</f>
        <v/>
      </c>
      <c r="G69" s="596">
        <f>SUMIF('Machining Time'!$C$42:$C$57,'Mould Costing'!G$66,'Machining Time'!$L$42:$L$57)</f>
        <v/>
      </c>
      <c r="H69" s="596">
        <f>SUMIF('Machining Time'!$C$42:$C$57,'Mould Costing'!H$66,'Machining Time'!$L$42:$L$57)</f>
        <v/>
      </c>
      <c r="I69" s="596">
        <f>SUMIF('Machining Time'!$C$42:$C$57,'Mould Costing'!I$66,'Machining Time'!$L$42:$L$57)</f>
        <v/>
      </c>
      <c r="J69" s="596">
        <f>SUMIF('Machining Time'!$C$42:$C$57,'Mould Costing'!J$66,'Machining Time'!$L$42:$L$57)</f>
        <v/>
      </c>
      <c r="K69" s="596">
        <f>SUMIF('Machining Time'!$C$42:$C$57,'Mould Costing'!K$66,'Machining Time'!$L$42:$L$57)</f>
        <v/>
      </c>
      <c r="L69" s="596">
        <f>SUMIF('Machining Time'!$C$42:$C$57,'Mould Costing'!L$66,'Machining Time'!$L$42:$L$57)</f>
        <v/>
      </c>
      <c r="M69" s="596">
        <f>SUMIF('Machining Time'!$C$42:$C$57,'Mould Costing'!M$66,'Machining Time'!$L$42:$L$57)</f>
        <v/>
      </c>
      <c r="N69" s="596">
        <f>SUMIF('Machining Time'!$C$42:$C$57,'Mould Costing'!N$66,'Machining Time'!$L$42:$L$57)</f>
        <v/>
      </c>
      <c r="O69" s="596">
        <f>SUMIF('Machining Time'!$C$42:$C$57,'Mould Costing'!O$66,'Machining Time'!$L$42:$L$57)</f>
        <v/>
      </c>
      <c r="P69" s="596">
        <f>SUMIF('Machining Time'!$C$42:$C$57,'Mould Costing'!P$66,'Machining Time'!$L$42:$L$57)</f>
        <v/>
      </c>
      <c r="Q69" s="597" t="n">
        <v>4</v>
      </c>
    </row>
    <row r="70">
      <c r="A70" t="inlineStr">
        <is>
          <t>Ejector Retainer Plate</t>
        </is>
      </c>
      <c r="B70" s="596">
        <f>SUMIF('Machining Time'!$C$61:$C$76,'Mould Costing'!B$66,'Machining Time'!$L$61:$L$76)</f>
        <v/>
      </c>
      <c r="C70" s="596">
        <f>SUMIF('Machining Time'!$C$61:$C$76,'Mould Costing'!C$66,'Machining Time'!$L$61:$L$76)</f>
        <v/>
      </c>
      <c r="D70" s="596">
        <f>SUMIF('Machining Time'!$C$61:$C$76,'Mould Costing'!D$66,'Machining Time'!$L$61:$L$76)</f>
        <v/>
      </c>
      <c r="E70" s="596">
        <f>SUMIF('Machining Time'!$C$61:$C$76,'Mould Costing'!E$66,'Machining Time'!$L$61:$L$76)</f>
        <v/>
      </c>
      <c r="F70" s="596">
        <f>SUMIF('Machining Time'!$C$61:$C$76,'Mould Costing'!F$66,'Machining Time'!$L$61:$L$76)</f>
        <v/>
      </c>
      <c r="G70" s="596">
        <f>SUMIF('Machining Time'!$C$61:$C$76,'Mould Costing'!G$66,'Machining Time'!$L$61:$L$76)</f>
        <v/>
      </c>
      <c r="H70" s="596">
        <f>SUMIF('Machining Time'!$C$61:$C$76,'Mould Costing'!H$66,'Machining Time'!$L$61:$L$76)</f>
        <v/>
      </c>
      <c r="I70" s="596">
        <f>SUMIF('Machining Time'!$C$61:$C$76,'Mould Costing'!I$66,'Machining Time'!$L$61:$L$76)</f>
        <v/>
      </c>
      <c r="J70" s="596">
        <f>SUMIF('Machining Time'!$C$61:$C$76,'Mould Costing'!J$66,'Machining Time'!$L$61:$L$76)</f>
        <v/>
      </c>
      <c r="K70" s="596">
        <f>SUMIF('Machining Time'!$C$61:$C$76,'Mould Costing'!K$66,'Machining Time'!$L$61:$L$76)</f>
        <v/>
      </c>
      <c r="L70" s="596">
        <f>SUMIF('Machining Time'!$C$61:$C$76,'Mould Costing'!L$66,'Machining Time'!$L$61:$L$76)</f>
        <v/>
      </c>
      <c r="M70" s="596">
        <f>SUMIF('Machining Time'!$C$61:$C$76,'Mould Costing'!M$66,'Machining Time'!$L$61:$L$76)</f>
        <v/>
      </c>
      <c r="N70" s="596">
        <f>SUMIF('Machining Time'!$C$61:$C$76,'Mould Costing'!N$66,'Machining Time'!$L$61:$L$76)</f>
        <v/>
      </c>
      <c r="O70" s="596">
        <f>SUMIF('Machining Time'!$C$61:$C$76,'Mould Costing'!O$66,'Machining Time'!$L$61:$L$76)</f>
        <v/>
      </c>
      <c r="P70" s="596">
        <f>SUMIF('Machining Time'!$C$61:$C$76,'Mould Costing'!P$66,'Machining Time'!$L$61:$L$76)</f>
        <v/>
      </c>
      <c r="Q70" s="597" t="n">
        <v>2</v>
      </c>
    </row>
    <row r="71">
      <c r="A71" t="inlineStr">
        <is>
          <t>Ejector Back Plate</t>
        </is>
      </c>
      <c r="B71" s="596">
        <f>SUMIF('Machining Time'!$C$80:$C$95,'Mould Costing'!B$66,'Machining Time'!$L$80:$L$95)</f>
        <v/>
      </c>
      <c r="C71" s="596">
        <f>SUMIF('Machining Time'!$C$80:$C$95,'Mould Costing'!C$66,'Machining Time'!$L$80:$L$95)</f>
        <v/>
      </c>
      <c r="D71" s="596">
        <f>SUMIF('Machining Time'!$C$80:$C$95,'Mould Costing'!D$66,'Machining Time'!$L$80:$L$95)</f>
        <v/>
      </c>
      <c r="E71" s="596">
        <f>SUMIF('Machining Time'!$C$80:$C$95,'Mould Costing'!E$66,'Machining Time'!$L$80:$L$95)</f>
        <v/>
      </c>
      <c r="F71" s="596">
        <f>SUMIF('Machining Time'!$C$80:$C$95,'Mould Costing'!F$66,'Machining Time'!$L$80:$L$95)</f>
        <v/>
      </c>
      <c r="G71" s="596">
        <f>SUMIF('Machining Time'!$C$80:$C$95,'Mould Costing'!G$66,'Machining Time'!$L$80:$L$95)</f>
        <v/>
      </c>
      <c r="H71" s="596">
        <f>SUMIF('Machining Time'!$C$80:$C$95,'Mould Costing'!H$66,'Machining Time'!$L$80:$L$95)</f>
        <v/>
      </c>
      <c r="I71" s="596">
        <f>SUMIF('Machining Time'!$C$80:$C$95,'Mould Costing'!I$66,'Machining Time'!$L$80:$L$95)</f>
        <v/>
      </c>
      <c r="J71" s="596">
        <f>SUMIF('Machining Time'!$C$80:$C$95,'Mould Costing'!J$66,'Machining Time'!$L$80:$L$95)</f>
        <v/>
      </c>
      <c r="K71" s="596">
        <f>SUMIF('Machining Time'!$C$80:$C$95,'Mould Costing'!K$66,'Machining Time'!$L$80:$L$95)</f>
        <v/>
      </c>
      <c r="L71" s="596">
        <f>SUMIF('Machining Time'!$C$80:$C$95,'Mould Costing'!L$66,'Machining Time'!$L$80:$L$95)</f>
        <v/>
      </c>
      <c r="M71" s="596">
        <f>SUMIF('Machining Time'!$C$80:$C$95,'Mould Costing'!M$66,'Machining Time'!$L$80:$L$95)</f>
        <v/>
      </c>
      <c r="N71" s="596">
        <f>SUMIF('Machining Time'!$C$80:$C$95,'Mould Costing'!N$66,'Machining Time'!$L$80:$L$95)</f>
        <v/>
      </c>
      <c r="O71" s="596">
        <f>SUMIF('Machining Time'!$C$80:$C$95,'Mould Costing'!O$66,'Machining Time'!$L$80:$L$95)</f>
        <v/>
      </c>
      <c r="P71" s="596">
        <f>SUMIF('Machining Time'!$C$80:$C$95,'Mould Costing'!P$66,'Machining Time'!$L$80:$L$95)</f>
        <v/>
      </c>
      <c r="Q71" s="597" t="n">
        <v>2</v>
      </c>
    </row>
    <row r="72">
      <c r="A72" t="inlineStr">
        <is>
          <t>Cavity Plate</t>
        </is>
      </c>
      <c r="B72" s="596">
        <f>SUMIF('Machining Time'!$C$99:$C$115,'Mould Costing'!B$66,'Machining Time'!$L$99:$L$115)</f>
        <v/>
      </c>
      <c r="C72" s="596">
        <f>SUMIF('Machining Time'!$C$99:$C$115,'Mould Costing'!C$66,'Machining Time'!$L$99:$L$115)</f>
        <v/>
      </c>
      <c r="D72" s="596">
        <f>SUMIF('Machining Time'!$C$99:$C$115,'Mould Costing'!D$66,'Machining Time'!$L$99:$L$115)</f>
        <v/>
      </c>
      <c r="E72" s="596">
        <f>SUMIF('Machining Time'!$C$99:$C$115,'Mould Costing'!E$66,'Machining Time'!$L$99:$L$115)</f>
        <v/>
      </c>
      <c r="F72" s="596">
        <f>SUMIF('Machining Time'!$C$99:$C$115,'Mould Costing'!F$66,'Machining Time'!$L$99:$L$115)</f>
        <v/>
      </c>
      <c r="G72" s="596">
        <f>SUMIF('Machining Time'!$C$99:$C$115,'Mould Costing'!G$66,'Machining Time'!$L$99:$L$115)</f>
        <v/>
      </c>
      <c r="H72" s="596">
        <f>SUMIF('Machining Time'!$C$99:$C$115,'Mould Costing'!H$66,'Machining Time'!$L$99:$L$115)</f>
        <v/>
      </c>
      <c r="I72" s="596">
        <f>SUMIF('Machining Time'!$C$99:$C$115,'Mould Costing'!I$66,'Machining Time'!$L$99:$L$115)</f>
        <v/>
      </c>
      <c r="J72" s="596">
        <f>SUMIF('Machining Time'!$C$99:$C$115,'Mould Costing'!J$66,'Machining Time'!$L$99:$L$115)</f>
        <v/>
      </c>
      <c r="K72" s="596">
        <f>SUMIF('Machining Time'!$C$99:$C$115,'Mould Costing'!K$66,'Machining Time'!$L$99:$L$115)</f>
        <v/>
      </c>
      <c r="L72" s="596">
        <f>SUMIF('Machining Time'!$C$99:$C$115,'Mould Costing'!L$66,'Machining Time'!$L$99:$L$115)</f>
        <v/>
      </c>
      <c r="M72" s="596">
        <f>SUMIF('Machining Time'!$C$99:$C$115,'Mould Costing'!M$66,'Machining Time'!$L$99:$L$115)</f>
        <v/>
      </c>
      <c r="N72" s="596">
        <f>SUMIF('Machining Time'!$C$99:$C$115,'Mould Costing'!N$66,'Machining Time'!$L$99:$L$115)</f>
        <v/>
      </c>
      <c r="O72" s="596">
        <f>SUMIF('Machining Time'!$C$99:$C$115,'Mould Costing'!O$66,'Machining Time'!$L$99:$L$115)</f>
        <v/>
      </c>
      <c r="P72" s="596">
        <f>SUMIF('Machining Time'!$C$99:$C$115,'Mould Costing'!P$66,'Machining Time'!$L$99:$L$115)</f>
        <v/>
      </c>
      <c r="Q72" s="597" t="n">
        <v>8</v>
      </c>
    </row>
    <row r="73">
      <c r="A73" t="inlineStr">
        <is>
          <t>Core Plate</t>
        </is>
      </c>
      <c r="B73" s="596">
        <f>SUMIF('Machining Time'!$C$120:$C$136,'Mould Costing'!B$66,'Machining Time'!$L$120:$L$136)</f>
        <v/>
      </c>
      <c r="C73" s="596">
        <f>SUMIF('Machining Time'!$C$120:$C$136,'Mould Costing'!C$66,'Machining Time'!$L$120:$L$136)</f>
        <v/>
      </c>
      <c r="D73" s="596">
        <f>SUMIF('Machining Time'!$C$120:$C$136,'Mould Costing'!D$66,'Machining Time'!$L$120:$L$136)</f>
        <v/>
      </c>
      <c r="E73" s="596">
        <f>SUMIF('Machining Time'!$C$120:$C$136,'Mould Costing'!E$66,'Machining Time'!$L$120:$L$136)</f>
        <v/>
      </c>
      <c r="F73" s="596">
        <f>SUMIF('Machining Time'!$C$120:$C$136,'Mould Costing'!F$66,'Machining Time'!$L$120:$L$136)</f>
        <v/>
      </c>
      <c r="G73" s="596">
        <f>SUMIF('Machining Time'!$C$120:$C$136,'Mould Costing'!G$66,'Machining Time'!$L$120:$L$136)</f>
        <v/>
      </c>
      <c r="H73" s="596">
        <f>SUMIF('Machining Time'!$C$120:$C$136,'Mould Costing'!H$66,'Machining Time'!$L$120:$L$136)</f>
        <v/>
      </c>
      <c r="I73" s="596">
        <f>SUMIF('Machining Time'!$C$120:$C$136,'Mould Costing'!I$66,'Machining Time'!$L$120:$L$136)</f>
        <v/>
      </c>
      <c r="J73" s="596">
        <f>SUMIF('Machining Time'!$C$120:$C$136,'Mould Costing'!J$66,'Machining Time'!$L$120:$L$136)</f>
        <v/>
      </c>
      <c r="K73" s="596">
        <f>SUMIF('Machining Time'!$C$120:$C$136,'Mould Costing'!K$66,'Machining Time'!$L$120:$L$136)</f>
        <v/>
      </c>
      <c r="L73" s="596">
        <f>SUMIF('Machining Time'!$C$120:$C$136,'Mould Costing'!L$66,'Machining Time'!$L$120:$L$136)</f>
        <v/>
      </c>
      <c r="M73" s="596">
        <f>SUMIF('Machining Time'!$C$120:$C$136,'Mould Costing'!M$66,'Machining Time'!$L$120:$L$136)</f>
        <v/>
      </c>
      <c r="N73" s="596">
        <f>SUMIF('Machining Time'!$C$120:$C$136,'Mould Costing'!N$66,'Machining Time'!$L$120:$L$136)</f>
        <v/>
      </c>
      <c r="O73" s="596">
        <f>SUMIF('Machining Time'!$C$120:$C$136,'Mould Costing'!O$66,'Machining Time'!$L$120:$L$136)</f>
        <v/>
      </c>
      <c r="P73" s="596">
        <f>SUMIF('Machining Time'!$C$120:$C$136,'Mould Costing'!P$66,'Machining Time'!$L$120:$L$136)</f>
        <v/>
      </c>
      <c r="Q73" s="597" t="n">
        <v>8</v>
      </c>
    </row>
    <row r="74">
      <c r="A74" t="inlineStr">
        <is>
          <t>Guide Pillar</t>
        </is>
      </c>
      <c r="B74" s="596">
        <f>SUMIF('Machining Time'!$C$140:$C$156,'Mould Costing'!B$66,'Machining Time'!$L$140:$L$156)</f>
        <v/>
      </c>
      <c r="C74" s="596">
        <f>SUMIF('Machining Time'!$C$140:$C$156,'Mould Costing'!C$66,'Machining Time'!$L$140:$L$156)</f>
        <v/>
      </c>
      <c r="D74" s="596">
        <f>SUMIF('Machining Time'!$C$140:$C$156,'Mould Costing'!D$66,'Machining Time'!$L$140:$L$156)</f>
        <v/>
      </c>
      <c r="E74" s="596">
        <f>SUMIF('Machining Time'!$C$140:$C$156,'Mould Costing'!E$66,'Machining Time'!$L$140:$L$156)</f>
        <v/>
      </c>
      <c r="F74" s="596">
        <f>SUMIF('Machining Time'!$C$140:$C$156,'Mould Costing'!F$66,'Machining Time'!$L$140:$L$156)</f>
        <v/>
      </c>
      <c r="G74" s="596">
        <f>SUMIF('Machining Time'!$C$140:$C$156,'Mould Costing'!G$66,'Machining Time'!$L$140:$L$156)</f>
        <v/>
      </c>
      <c r="H74" s="596">
        <f>SUMIF('Machining Time'!$C$140:$C$156,'Mould Costing'!H$66,'Machining Time'!$L$140:$L$156)</f>
        <v/>
      </c>
      <c r="I74" s="596">
        <f>SUMIF('Machining Time'!$C$140:$C$156,'Mould Costing'!I$66,'Machining Time'!$L$140:$L$156)</f>
        <v/>
      </c>
      <c r="J74" s="596">
        <f>SUMIF('Machining Time'!$C$140:$C$156,'Mould Costing'!J$66,'Machining Time'!$L$140:$L$156)</f>
        <v/>
      </c>
      <c r="K74" s="596">
        <f>SUMIF('Machining Time'!$C$140:$C$156,'Mould Costing'!K$66,'Machining Time'!$L$140:$L$156)</f>
        <v/>
      </c>
      <c r="L74" s="596">
        <f>SUMIF('Machining Time'!$C$140:$C$156,'Mould Costing'!L$66,'Machining Time'!$L$140:$L$156)</f>
        <v/>
      </c>
      <c r="M74" s="596">
        <f>SUMIF('Machining Time'!$C$140:$C$156,'Mould Costing'!M$66,'Machining Time'!$L$140:$L$156)</f>
        <v/>
      </c>
      <c r="N74" s="596">
        <f>SUMIF('Machining Time'!$C$140:$C$156,'Mould Costing'!N$66,'Machining Time'!$L$140:$L$156)</f>
        <v/>
      </c>
      <c r="O74" s="596">
        <f>SUMIF('Machining Time'!$C$140:$C$156,'Mould Costing'!O$66,'Machining Time'!$L$140:$L$156)</f>
        <v/>
      </c>
      <c r="P74" s="596">
        <f>SUMIF('Machining Time'!$C$140:$C$156,'Mould Costing'!P$66,'Machining Time'!$L$140:$L$156)</f>
        <v/>
      </c>
      <c r="Q74" s="596" t="n"/>
    </row>
    <row r="75">
      <c r="A75" t="inlineStr">
        <is>
          <t>Guide Bush</t>
        </is>
      </c>
      <c r="B75" s="596">
        <f>SUMIF('Machining Time'!$C$159:$C$174,'Mould Costing'!B$66,'Machining Time'!$L$159:$L$174)</f>
        <v/>
      </c>
      <c r="C75" s="596">
        <f>SUMIF('Machining Time'!$C$159:$C$174,'Mould Costing'!C$66,'Machining Time'!$L$159:$L$174)</f>
        <v/>
      </c>
      <c r="D75" s="596">
        <f>SUMIF('Machining Time'!$C$159:$C$174,'Mould Costing'!D$66,'Machining Time'!$L$159:$L$174)</f>
        <v/>
      </c>
      <c r="E75" s="596">
        <f>SUMIF('Machining Time'!$C$159:$C$174,'Mould Costing'!E$66,'Machining Time'!$L$159:$L$174)</f>
        <v/>
      </c>
      <c r="F75" s="596">
        <f>SUMIF('Machining Time'!$C$159:$C$174,'Mould Costing'!F$66,'Machining Time'!$L$159:$L$174)</f>
        <v/>
      </c>
      <c r="G75" s="596">
        <f>SUMIF('Machining Time'!$C$159:$C$174,'Mould Costing'!G$66,'Machining Time'!$L$159:$L$174)</f>
        <v/>
      </c>
      <c r="H75" s="596">
        <f>SUMIF('Machining Time'!$C$159:$C$174,'Mould Costing'!H$66,'Machining Time'!$L$159:$L$174)</f>
        <v/>
      </c>
      <c r="I75" s="596">
        <f>SUMIF('Machining Time'!$C$159:$C$174,'Mould Costing'!I$66,'Machining Time'!$L$159:$L$174)</f>
        <v/>
      </c>
      <c r="J75" s="596">
        <f>SUMIF('Machining Time'!$C$159:$C$174,'Mould Costing'!J$66,'Machining Time'!$L$159:$L$174)</f>
        <v/>
      </c>
      <c r="K75" s="596">
        <f>SUMIF('Machining Time'!$C$159:$C$174,'Mould Costing'!K$66,'Machining Time'!$L$159:$L$174)</f>
        <v/>
      </c>
      <c r="L75" s="596">
        <f>SUMIF('Machining Time'!$C$159:$C$174,'Mould Costing'!L$66,'Machining Time'!$L$159:$L$174)</f>
        <v/>
      </c>
      <c r="M75" s="596">
        <f>SUMIF('Machining Time'!$C$159:$C$174,'Mould Costing'!M$66,'Machining Time'!$L$159:$L$174)</f>
        <v/>
      </c>
      <c r="N75" s="596">
        <f>SUMIF('Machining Time'!$C$159:$C$174,'Mould Costing'!N$66,'Machining Time'!$L$159:$L$174)</f>
        <v/>
      </c>
      <c r="O75" s="596">
        <f>SUMIF('Machining Time'!$C$159:$C$174,'Mould Costing'!O$66,'Machining Time'!$L$159:$L$174)</f>
        <v/>
      </c>
      <c r="P75" s="596">
        <f>SUMIF('Machining Time'!$C$159:$C$174,'Mould Costing'!P$66,'Machining Time'!$L$159:$L$174)</f>
        <v/>
      </c>
      <c r="Q75" s="597" t="n">
        <v>2</v>
      </c>
    </row>
    <row r="76">
      <c r="B76" s="596" t="n"/>
      <c r="C76" s="596" t="n"/>
      <c r="D76" s="596" t="n"/>
      <c r="E76" s="596" t="n"/>
      <c r="F76" s="596" t="n"/>
      <c r="G76" s="596" t="n"/>
      <c r="H76" s="596" t="n"/>
      <c r="I76" s="596" t="n"/>
      <c r="J76" s="596" t="n"/>
      <c r="K76" s="596" t="n"/>
      <c r="L76" s="596" t="n"/>
      <c r="M76" s="596" t="n"/>
      <c r="N76" s="596" t="n"/>
      <c r="O76" s="596" t="n"/>
      <c r="P76" s="596" t="n"/>
      <c r="Q76" s="597" t="n">
        <v>2</v>
      </c>
    </row>
    <row r="77">
      <c r="B77" s="596" t="n"/>
      <c r="C77" s="596" t="n"/>
      <c r="D77" s="596" t="n"/>
      <c r="E77" s="596" t="n"/>
      <c r="F77" s="596" t="n"/>
      <c r="G77" s="596" t="n"/>
      <c r="H77" s="596" t="n"/>
      <c r="I77" s="596" t="n"/>
      <c r="J77" s="596" t="n"/>
      <c r="K77" s="596" t="n"/>
      <c r="L77" s="596" t="n"/>
      <c r="M77" s="596" t="n"/>
      <c r="N77" s="596" t="n"/>
      <c r="O77" s="596" t="n"/>
      <c r="P77" s="596" t="n"/>
      <c r="Q77" s="597" t="n">
        <v>4</v>
      </c>
    </row>
    <row r="78">
      <c r="B78" s="596" t="n"/>
      <c r="C78" s="596" t="n"/>
      <c r="D78" s="596" t="n"/>
      <c r="E78" s="596" t="n"/>
      <c r="F78" s="596" t="n"/>
      <c r="G78" s="596" t="n"/>
      <c r="H78" s="596" t="n"/>
      <c r="I78" s="596" t="n"/>
      <c r="J78" s="596" t="n"/>
      <c r="K78" s="596" t="n"/>
      <c r="L78" s="596" t="n"/>
      <c r="M78" s="596" t="n"/>
      <c r="N78" s="596" t="n"/>
      <c r="O78" s="596" t="n"/>
      <c r="P78" s="596" t="n"/>
      <c r="Q78" s="597" t="n">
        <v>4</v>
      </c>
    </row>
    <row r="79">
      <c r="B79" s="596" t="n"/>
      <c r="C79" s="596" t="n"/>
      <c r="D79" s="596" t="n"/>
      <c r="E79" s="596" t="n"/>
      <c r="F79" s="596" t="n"/>
      <c r="G79" s="596" t="n"/>
      <c r="H79" s="596" t="n"/>
      <c r="I79" s="596" t="n"/>
      <c r="J79" s="596" t="n"/>
      <c r="K79" s="596" t="n"/>
      <c r="L79" s="596" t="n"/>
      <c r="M79" s="596" t="n"/>
      <c r="N79" s="596" t="n"/>
      <c r="O79" s="596" t="n"/>
      <c r="P79" s="596" t="n"/>
      <c r="Q79" s="596" t="n"/>
      <c r="R79" s="113" t="inlineStr">
        <is>
          <t>TOTAL HOUR</t>
        </is>
      </c>
    </row>
    <row r="80">
      <c r="B80" s="598">
        <f>SUM(B67:B79)</f>
        <v/>
      </c>
      <c r="C80" s="598">
        <f>SUM(C67:C79)</f>
        <v/>
      </c>
      <c r="D80" s="598">
        <f>SUM(D67:D79)</f>
        <v/>
      </c>
      <c r="E80" s="598">
        <f>SUM(E67:E79)</f>
        <v/>
      </c>
      <c r="F80" s="598">
        <f>SUM(F67:F79)</f>
        <v/>
      </c>
      <c r="G80" s="598">
        <f>SUM(G67:G79)</f>
        <v/>
      </c>
      <c r="H80" s="598">
        <f>SUM(H67:H79)</f>
        <v/>
      </c>
      <c r="I80" s="598">
        <f>SUM(I67:I79)</f>
        <v/>
      </c>
      <c r="J80" s="598">
        <f>SUM(J67:J79)</f>
        <v/>
      </c>
      <c r="K80" s="598">
        <f>SUM(K67:K79)</f>
        <v/>
      </c>
      <c r="L80" s="598">
        <f>SUM(L67:L79)</f>
        <v/>
      </c>
      <c r="M80" s="598">
        <f>SUM(M67:M79)</f>
        <v/>
      </c>
      <c r="N80" s="598">
        <f>SUM(N67:N79)</f>
        <v/>
      </c>
      <c r="O80" s="598">
        <f>SUM(O67:O79)</f>
        <v/>
      </c>
      <c r="P80" s="598">
        <f>SUM(P67:P79)</f>
        <v/>
      </c>
      <c r="Q80" s="598">
        <f>SUM(Q67:Q79)</f>
        <v/>
      </c>
      <c r="R80" s="599">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600">
        <f>B80*B81*$C$83</f>
        <v/>
      </c>
      <c r="C82" s="600">
        <f>C80*C81*$C$83</f>
        <v/>
      </c>
      <c r="D82" s="600">
        <f>D80*D81*$C$83</f>
        <v/>
      </c>
      <c r="E82" s="600">
        <f>E80*E81*$C$83</f>
        <v/>
      </c>
      <c r="F82" s="600">
        <f>F80*F81*$C$83</f>
        <v/>
      </c>
      <c r="G82" s="600">
        <f>G80*G81*$C$83</f>
        <v/>
      </c>
      <c r="H82" s="600">
        <f>H80*H81*$C$83</f>
        <v/>
      </c>
      <c r="I82" s="600">
        <f>I80*I81*$C$83</f>
        <v/>
      </c>
      <c r="J82" s="600">
        <f>J80*J81*$C$83</f>
        <v/>
      </c>
      <c r="K82" s="600">
        <f>K80*K81*$C$83</f>
        <v/>
      </c>
      <c r="L82" s="600">
        <f>L80*L81*$C$83</f>
        <v/>
      </c>
      <c r="M82" s="600">
        <f>M80*M81*$C$83</f>
        <v/>
      </c>
      <c r="N82" s="600">
        <f>N80*N81*$C$83</f>
        <v/>
      </c>
      <c r="O82" s="600">
        <f>O80*O81*$C$83</f>
        <v/>
      </c>
      <c r="P82" s="600">
        <f>P80*P81*$C$83</f>
        <v/>
      </c>
      <c r="Q82" s="600">
        <f>Q80*Q81*$C$83</f>
        <v/>
      </c>
    </row>
    <row r="83">
      <c r="B83" t="inlineStr">
        <is>
          <t>CF</t>
        </is>
      </c>
      <c r="C83">
        <f>VLOOKUP('INJ. MOULDING ESTIMATION'!C16,Table6[],2,FALSE)</f>
        <v/>
      </c>
    </row>
    <row r="84">
      <c r="B84" s="62" t="inlineStr">
        <is>
          <t>Total(D)</t>
        </is>
      </c>
      <c r="C84" s="598">
        <f>SUM(B82:Q82)</f>
        <v/>
      </c>
    </row>
    <row r="86" ht="30" customHeight="1" s="477">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7">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7" min="1" max="1"/>
    <col width="13.36328125" customWidth="1" style="477" min="10" max="10"/>
    <col width="31.54296875" customWidth="1" style="477" min="11" max="11"/>
    <col width="13.26953125" customWidth="1" style="477" min="12" max="12"/>
    <col width="29.7265625" customWidth="1" style="477" min="13" max="13"/>
    <col width="9.08984375" bestFit="1" customWidth="1" style="477" min="14" max="14"/>
  </cols>
  <sheetData>
    <row r="1" ht="17" customHeight="1" s="477">
      <c r="M1" s="313" t="n"/>
      <c r="N1" s="313" t="n"/>
      <c r="O1" s="313" t="n"/>
      <c r="P1" s="313" t="n"/>
      <c r="Q1" s="313" t="n"/>
    </row>
    <row r="2" ht="14.5" customHeight="1" s="477">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7" min="2" max="2"/>
    <col width="10.36328125" customWidth="1" style="477" min="3" max="3"/>
    <col width="16.453125" customWidth="1" style="477" min="4" max="4"/>
    <col width="31.90625" customWidth="1" style="477" min="5" max="5"/>
    <col width="4" customWidth="1" style="477" min="6" max="6"/>
    <col width="12.08984375" customWidth="1" style="477" min="7" max="7"/>
    <col width="18.1796875" customWidth="1" style="477" min="8" max="8"/>
    <col width="52.1796875" customWidth="1" style="477" min="9" max="9"/>
    <col width="16.36328125" customWidth="1" style="477" min="10" max="11"/>
    <col width="22.54296875" customWidth="1" style="477" min="12" max="15"/>
    <col width="2.54296875" customWidth="1" style="477" min="16" max="16"/>
  </cols>
  <sheetData>
    <row r="1">
      <c r="G1" t="inlineStr">
        <is>
          <t>index</t>
        </is>
      </c>
      <c r="I1" t="inlineStr">
        <is>
          <t>Index</t>
        </is>
      </c>
      <c r="J1" s="601">
        <f>D25</f>
        <v/>
      </c>
      <c r="L1" s="602" t="n"/>
      <c r="O1" s="601" t="n"/>
    </row>
    <row r="2" ht="14.5" customHeight="1" s="477" thickBot="1">
      <c r="B2" s="173" t="inlineStr">
        <is>
          <t>PART NO</t>
        </is>
      </c>
      <c r="C2" s="516">
        <f>DASHBOARD!D4</f>
        <v/>
      </c>
      <c r="D2" s="517" t="n"/>
      <c r="E2" s="174" t="inlineStr">
        <is>
          <t>Don’t edit Value in RED</t>
        </is>
      </c>
      <c r="G2" s="267">
        <f>DASHBOARD!B3</f>
        <v/>
      </c>
      <c r="I2" t="n">
        <v>1</v>
      </c>
      <c r="J2">
        <f t="dataTable" ref="J2:J14" dt2D="0" dtr="0" r1="G2"/>
        <v/>
      </c>
    </row>
    <row r="3" ht="14.5" customHeight="1" s="477" thickBot="1">
      <c r="B3" s="175" t="inlineStr">
        <is>
          <t>PART DESCRIPTION</t>
        </is>
      </c>
      <c r="C3" s="516">
        <f>DASHBOARD!B4</f>
        <v/>
      </c>
      <c r="D3" s="517" t="n"/>
      <c r="E3" s="176" t="n"/>
      <c r="I3" t="n">
        <v>2</v>
      </c>
      <c r="J3" t="n">
        <v>7591265.932151763</v>
      </c>
    </row>
    <row r="4" ht="15" customHeight="1" s="477"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7">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7">
      <c r="B13" s="181" t="inlineStr">
        <is>
          <t>Injection Pressure</t>
        </is>
      </c>
      <c r="C13" s="187">
        <f>VLOOKUP(C12,Table11[],3,FALSE)*1000</f>
        <v/>
      </c>
      <c r="D13" s="266" t="inlineStr">
        <is>
          <t>kg/cm2</t>
        </is>
      </c>
      <c r="E13" s="182" t="inlineStr">
        <is>
          <t xml:space="preserve">Based on Tonnage </t>
        </is>
      </c>
      <c r="G13" s="221" t="inlineStr">
        <is>
          <t>Daily expense</t>
        </is>
      </c>
      <c r="H13" s="603">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4" t="n"/>
    </row>
    <row r="17">
      <c r="B17" s="181" t="inlineStr">
        <is>
          <t>Part Projection</t>
        </is>
      </c>
      <c r="C17" s="266" t="n">
        <v>80</v>
      </c>
      <c r="D17" s="266" t="inlineStr">
        <is>
          <t>in %</t>
        </is>
      </c>
      <c r="E17" s="182" t="n"/>
      <c r="G17" s="257" t="n">
        <v>1</v>
      </c>
      <c r="H17" s="257">
        <f t="dataTable" ref="H17:H21" dt2D="0" dtr="0" r1="C14" ca="1"/>
        <v/>
      </c>
    </row>
    <row r="18">
      <c r="B18" s="181" t="inlineStr">
        <is>
          <t>No of machine</t>
        </is>
      </c>
      <c r="C18" s="266" t="n">
        <v>1</v>
      </c>
      <c r="D18" s="266" t="n"/>
      <c r="E18" s="182" t="n"/>
      <c r="G18" s="257" t="n">
        <v>2</v>
      </c>
      <c r="H18" s="258" t="n">
        <v>120.7937794523696</v>
      </c>
      <c r="I18" s="605" t="n"/>
    </row>
    <row r="19">
      <c r="B19" s="181" t="inlineStr">
        <is>
          <t>Daily Production</t>
        </is>
      </c>
      <c r="C19" s="82" t="n">
        <v>1000</v>
      </c>
      <c r="D19" s="266" t="inlineStr">
        <is>
          <t>in nos</t>
        </is>
      </c>
      <c r="E19" s="182" t="n"/>
      <c r="G19" s="257" t="n">
        <v>4</v>
      </c>
      <c r="H19" s="257" t="n">
        <v>176.2493125583527</v>
      </c>
    </row>
    <row r="20" ht="15" customHeight="1" s="477"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7" thickBot="1">
      <c r="G21" s="257" t="n">
        <v>8</v>
      </c>
      <c r="H21" s="259" t="n">
        <v>397.9818304441247</v>
      </c>
      <c r="J21" s="213" t="inlineStr">
        <is>
          <t>Complexity fact</t>
        </is>
      </c>
      <c r="K21" t="n">
        <v>0.5</v>
      </c>
      <c r="L21" t="n">
        <v>0.5</v>
      </c>
      <c r="M21">
        <f t="dataTable" ref="M21:M26" dt2D="0" dtr="0" r1="K21" ca="1"/>
        <v/>
      </c>
    </row>
    <row r="22" ht="15" customHeight="1" s="477"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92"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7">
      <c r="B25" s="198" t="inlineStr">
        <is>
          <t>Total Mould Cost</t>
        </is>
      </c>
      <c r="C25" s="199">
        <f>SUM(C26:C35)</f>
        <v/>
      </c>
      <c r="D25" s="606">
        <f>SUM(D26:D35)</f>
        <v/>
      </c>
      <c r="E25" s="607">
        <f>SUM(E26:E35)</f>
        <v/>
      </c>
      <c r="K25" s="602" t="n"/>
      <c r="L25" t="n">
        <v>4</v>
      </c>
      <c r="M25" t="n">
        <v>2.119276122502322</v>
      </c>
    </row>
    <row r="26">
      <c r="B26" s="200" t="inlineStr">
        <is>
          <t>Material Cost</t>
        </is>
      </c>
      <c r="C26" s="201">
        <f>D26/$D$25</f>
        <v/>
      </c>
      <c r="D26" s="608">
        <f>'Mould Costing'!M22</f>
        <v/>
      </c>
      <c r="E26" s="609">
        <f>D26</f>
        <v/>
      </c>
      <c r="K26" s="602" t="n"/>
      <c r="L26" t="n">
        <v>5</v>
      </c>
      <c r="M26" t="n">
        <v>2.119276122502322</v>
      </c>
    </row>
    <row r="27">
      <c r="B27" s="202" t="inlineStr">
        <is>
          <t>Conversion Cost</t>
        </is>
      </c>
      <c r="C27" s="201">
        <f>D27/$D$25</f>
        <v/>
      </c>
      <c r="D27" s="610">
        <f>'Mould Costing'!C84</f>
        <v/>
      </c>
      <c r="E27" s="609">
        <f>VLOOKUP($C$16,COMPLEXITY!$A$2:$B$7,2,TRUE)*D27</f>
        <v/>
      </c>
      <c r="K27" s="602" t="n"/>
    </row>
    <row r="28">
      <c r="B28" s="202" t="inlineStr">
        <is>
          <t>Standard Items</t>
        </is>
      </c>
      <c r="C28" s="201">
        <f>D28/$D$25</f>
        <v/>
      </c>
      <c r="D28" s="610">
        <f>'Mould Costing'!K50</f>
        <v/>
      </c>
      <c r="E28" s="609">
        <f>D28</f>
        <v/>
      </c>
      <c r="K28" s="602" t="n"/>
    </row>
    <row r="29">
      <c r="B29" s="202" t="inlineStr">
        <is>
          <t>Hot Runner</t>
        </is>
      </c>
      <c r="C29" s="201">
        <f>D29/$D$25</f>
        <v/>
      </c>
      <c r="D29" s="610">
        <f>'Mould Costing'!L97</f>
        <v/>
      </c>
      <c r="E29" s="611">
        <f>'Mould Costing'!L97</f>
        <v/>
      </c>
      <c r="K29" s="602" t="n"/>
    </row>
    <row r="30">
      <c r="B30" s="202" t="inlineStr">
        <is>
          <t>Texturizing</t>
        </is>
      </c>
      <c r="C30" s="201">
        <f>D30/$D$25</f>
        <v/>
      </c>
      <c r="D30" s="610">
        <f>'Mould Costing'!$L$98</f>
        <v/>
      </c>
      <c r="E30" s="611">
        <f>'Mould Costing'!$L$98</f>
        <v/>
      </c>
      <c r="K30" s="602" t="n"/>
    </row>
    <row r="31">
      <c r="B31" s="202" t="inlineStr">
        <is>
          <t>Design &amp; Mould Flow</t>
        </is>
      </c>
      <c r="C31" s="201">
        <f>D31/$D$25</f>
        <v/>
      </c>
      <c r="D31" s="610">
        <f>'Mould Costing'!K60</f>
        <v/>
      </c>
      <c r="E31" s="609">
        <f>D32</f>
        <v/>
      </c>
      <c r="K31" s="602" t="n"/>
    </row>
    <row r="32">
      <c r="B32" s="202" t="inlineStr">
        <is>
          <t>Polishing &amp; Treatment</t>
        </is>
      </c>
      <c r="C32" s="201">
        <f>D32/$D$25</f>
        <v/>
      </c>
      <c r="D32" s="610">
        <f>'Mould Costing'!K89</f>
        <v/>
      </c>
      <c r="E32" s="609">
        <f>VLOOKUP($C$16,COMPLEXITY!$A$2:$B$7,2,TRUE)*D32</f>
        <v/>
      </c>
      <c r="K32" s="602" t="n"/>
    </row>
    <row r="33">
      <c r="B33" s="202" t="inlineStr">
        <is>
          <t>Packaging &amp; Movement</t>
        </is>
      </c>
      <c r="C33" s="201">
        <f>D33/$D$25</f>
        <v/>
      </c>
      <c r="D33" s="610">
        <f>'Mould Costing'!L96</f>
        <v/>
      </c>
      <c r="E33" s="609">
        <f>VLOOKUP($C$16,COMPLEXITY!$A$2:$B$7,2,TRUE)*D33</f>
        <v/>
      </c>
      <c r="K33" s="602" t="n"/>
    </row>
    <row r="34">
      <c r="B34" s="202" t="inlineStr">
        <is>
          <t>Service Charges</t>
        </is>
      </c>
      <c r="C34" s="201">
        <f>D34/$D$25</f>
        <v/>
      </c>
      <c r="D34" s="610">
        <f>'Mould Costing'!$L$99</f>
        <v/>
      </c>
      <c r="E34" s="611">
        <f>'Mould Costing'!$L$99</f>
        <v/>
      </c>
      <c r="K34" s="602" t="n"/>
    </row>
    <row r="35">
      <c r="A35" s="203" t="n">
        <v>0.15</v>
      </c>
      <c r="B35" s="204" t="inlineStr">
        <is>
          <t>Profit &amp; Overhead</t>
        </is>
      </c>
      <c r="C35" s="205">
        <f>D35/$D$25</f>
        <v/>
      </c>
      <c r="D35" s="612">
        <f>'Mould Costing'!L95</f>
        <v/>
      </c>
      <c r="E35" s="613">
        <f>'Mould Costing'!L95</f>
        <v/>
      </c>
      <c r="K35" s="602"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abSelected="1" zoomScale="85" zoomScaleNormal="85" workbookViewId="0">
      <selection activeCell="G19" sqref="G19"/>
    </sheetView>
  </sheetViews>
  <sheetFormatPr baseColWidth="8" defaultColWidth="9" defaultRowHeight="14.5"/>
  <cols>
    <col width="20.6328125" customWidth="1" style="477" min="1" max="1"/>
    <col width="15.90625" customWidth="1" style="477" min="2" max="2"/>
    <col width="38.08984375" customWidth="1" style="477" min="3" max="3"/>
    <col width="10.90625" customWidth="1" style="477" min="4" max="4"/>
    <col width="23.08984375" customWidth="1" style="477" min="5" max="5"/>
    <col width="6.08984375" customWidth="1" style="477" min="8" max="8"/>
    <col width="30.26953125" customWidth="1" style="477" min="9" max="9"/>
    <col width="19.36328125" customWidth="1" style="477" min="10" max="10"/>
    <col width="19.36328125" customWidth="1" style="477" min="15" max="15"/>
  </cols>
  <sheetData>
    <row r="1">
      <c r="A1" s="225" t="n"/>
      <c r="B1" s="614" t="n"/>
    </row>
    <row r="2" ht="16.5" customHeight="1" s="477">
      <c r="A2" t="inlineStr">
        <is>
          <t>Various Tool Steel</t>
        </is>
      </c>
      <c r="B2" t="inlineStr">
        <is>
          <t>Density(g/cc3)</t>
        </is>
      </c>
      <c r="C2" t="inlineStr">
        <is>
          <t>Uses</t>
        </is>
      </c>
      <c r="D2" s="555" t="inlineStr">
        <is>
          <t>Price/Kg</t>
        </is>
      </c>
      <c r="E2" t="inlineStr">
        <is>
          <t>Column1</t>
        </is>
      </c>
      <c r="F2" t="inlineStr">
        <is>
          <t>Column2</t>
        </is>
      </c>
      <c r="G2" t="inlineStr">
        <is>
          <t>Column3</t>
        </is>
      </c>
      <c r="I2" s="169" t="inlineStr">
        <is>
          <t>Machining Process</t>
        </is>
      </c>
      <c r="J2" s="170" t="inlineStr">
        <is>
          <t>MRR in cm3/min</t>
        </is>
      </c>
      <c r="K2" s="480" t="inlineStr">
        <is>
          <t>MHR</t>
        </is>
      </c>
      <c r="L2" t="inlineStr">
        <is>
          <t>Column1</t>
        </is>
      </c>
    </row>
    <row r="3" ht="27.5" customFormat="1" customHeight="1" s="186">
      <c r="A3" s="165" t="inlineStr">
        <is>
          <t>C-45</t>
        </is>
      </c>
      <c r="B3" s="186" t="n">
        <v>7.8</v>
      </c>
      <c r="C3" s="165" t="inlineStr">
        <is>
          <t>Top &amp; Bottom Bolster, Housing, Ejector Plate, Spacers, Locating Ring</t>
        </is>
      </c>
      <c r="D3" s="166" t="n">
        <v>128</v>
      </c>
      <c r="E3" s="167" t="n"/>
      <c r="F3" s="167" t="n"/>
      <c r="G3" s="167" t="n"/>
      <c r="I3" s="171" t="inlineStr">
        <is>
          <t>Conv Milling - Facing</t>
        </is>
      </c>
      <c r="J3" s="186" t="n">
        <v>3</v>
      </c>
      <c r="K3" s="186" t="n">
        <v>400</v>
      </c>
    </row>
    <row r="4" ht="26" customHeight="1" s="477">
      <c r="A4" s="63" t="inlineStr">
        <is>
          <t>Case Hardening Steel</t>
        </is>
      </c>
      <c r="B4" t="n">
        <v>7.85</v>
      </c>
      <c r="C4" s="165" t="inlineStr">
        <is>
          <t>Pillar &amp; Bush, Stripper Bolts, wear plates, Finger cams, Etc</t>
        </is>
      </c>
      <c r="D4" s="5" t="inlineStr">
        <is>
          <t>NB223320</t>
        </is>
      </c>
      <c r="E4" s="167" t="n"/>
      <c r="F4" s="167" t="n"/>
      <c r="G4" s="167" t="n"/>
      <c r="I4" s="171" t="inlineStr">
        <is>
          <t>Conv Milling - End Milling</t>
        </is>
      </c>
      <c r="J4" t="n">
        <v>5</v>
      </c>
      <c r="K4" s="186" t="n">
        <v>400</v>
      </c>
    </row>
    <row r="5" ht="20.5" customHeight="1" s="477">
      <c r="A5" s="63" t="inlineStr">
        <is>
          <t>Silver Steel</t>
        </is>
      </c>
      <c r="B5" t="n">
        <v>7.8</v>
      </c>
      <c r="C5" s="63" t="inlineStr">
        <is>
          <t>Ejector pins</t>
        </is>
      </c>
      <c r="D5" s="5" t="n">
        <v>150</v>
      </c>
      <c r="E5" s="167" t="n"/>
      <c r="F5" s="167" t="n"/>
      <c r="G5" s="167" t="n"/>
      <c r="I5" s="171" t="inlineStr">
        <is>
          <t>Conv Lathe - Facing / Turning</t>
        </is>
      </c>
      <c r="J5" t="n">
        <v>4</v>
      </c>
      <c r="K5" s="186" t="n">
        <v>400</v>
      </c>
    </row>
    <row r="6" ht="27" customHeight="1" s="477">
      <c r="A6" s="63" t="inlineStr">
        <is>
          <t>OHNS</t>
        </is>
      </c>
      <c r="B6" t="n">
        <v>8.67</v>
      </c>
      <c r="C6" s="165" t="inlineStr">
        <is>
          <t>Push back pin, Ejector pin, Sprue Bush, Wear plates, Pillar and Bush, Forming Punches</t>
        </is>
      </c>
      <c r="D6" s="5" t="n">
        <v>125</v>
      </c>
      <c r="E6" s="167" t="n"/>
      <c r="F6" s="167" t="n"/>
      <c r="G6" s="167" t="n"/>
      <c r="I6" s="171" t="inlineStr">
        <is>
          <t>Surface Grinding</t>
        </is>
      </c>
      <c r="J6" t="n">
        <v>0.175</v>
      </c>
      <c r="K6" t="n">
        <v>500</v>
      </c>
    </row>
    <row r="7">
      <c r="A7" s="63" t="inlineStr">
        <is>
          <t>HCHCr</t>
        </is>
      </c>
      <c r="B7" t="n">
        <v>7.7</v>
      </c>
      <c r="C7" s="63" t="inlineStr">
        <is>
          <t>Punch, Die, Inserts, Piercing punches</t>
        </is>
      </c>
      <c r="D7" s="5" t="n">
        <v>200</v>
      </c>
      <c r="E7" s="167" t="n"/>
      <c r="F7" s="167" t="n"/>
      <c r="G7" s="167" t="n"/>
      <c r="I7" s="171" t="inlineStr">
        <is>
          <t>Cylindrical Grinding</t>
        </is>
      </c>
      <c r="J7" t="n">
        <v>0.2</v>
      </c>
      <c r="K7" t="n">
        <v>500</v>
      </c>
    </row>
    <row r="8">
      <c r="A8" s="63" t="inlineStr">
        <is>
          <t>HDS</t>
        </is>
      </c>
      <c r="B8" t="n">
        <v>7.8</v>
      </c>
      <c r="C8" s="63" t="inlineStr">
        <is>
          <t>Core &amp; Cavity,Inserts, Core pins, Ejector pins</t>
        </is>
      </c>
      <c r="D8" s="5" t="n">
        <v>590</v>
      </c>
      <c r="E8" s="167" t="n"/>
      <c r="F8" s="167" t="n"/>
      <c r="G8" s="167" t="n"/>
      <c r="I8" s="171" t="inlineStr">
        <is>
          <t>Radial Drilling - Hole drilling</t>
        </is>
      </c>
      <c r="J8" t="n">
        <v>1</v>
      </c>
      <c r="K8" t="n">
        <v>500</v>
      </c>
    </row>
    <row r="9">
      <c r="A9" s="63" t="inlineStr">
        <is>
          <t>HSS</t>
        </is>
      </c>
      <c r="B9" t="n">
        <v>8.16</v>
      </c>
      <c r="C9" s="63" t="inlineStr">
        <is>
          <t>Piercing punches &amp; Die</t>
        </is>
      </c>
      <c r="D9" s="5" t="n">
        <v>950</v>
      </c>
      <c r="E9" s="167" t="n"/>
      <c r="F9" s="167" t="n"/>
      <c r="G9" s="167" t="n"/>
      <c r="I9" s="171" t="inlineStr">
        <is>
          <t>Radial Drilling - Reaming / Tapping</t>
        </is>
      </c>
      <c r="J9" t="n">
        <v>0.5</v>
      </c>
      <c r="K9" t="n">
        <v>500</v>
      </c>
    </row>
    <row r="10">
      <c r="A10" s="63" t="inlineStr">
        <is>
          <t>SG IRON</t>
        </is>
      </c>
      <c r="B10" t="n">
        <v>7.3</v>
      </c>
      <c r="C10" s="63" t="inlineStr">
        <is>
          <t>Housing for Pressure Die casting</t>
        </is>
      </c>
      <c r="D10" s="5" t="n">
        <v>100</v>
      </c>
      <c r="E10" s="167" t="n"/>
      <c r="F10" s="167" t="n"/>
      <c r="G10" s="167" t="n"/>
      <c r="I10" s="171" t="inlineStr">
        <is>
          <t>Pillar Drilling</t>
        </is>
      </c>
      <c r="J10" t="n">
        <v>0.3</v>
      </c>
      <c r="K10" t="n">
        <v>500</v>
      </c>
    </row>
    <row r="11">
      <c r="A11" s="63" t="inlineStr">
        <is>
          <t>P20</t>
        </is>
      </c>
      <c r="B11" t="n">
        <v>7.861</v>
      </c>
      <c r="C11" s="63" t="inlineStr">
        <is>
          <t>Core &amp; Cavity of Plastic Mould</t>
        </is>
      </c>
      <c r="D11" s="5" t="n">
        <v>230</v>
      </c>
      <c r="E11" s="167" t="n"/>
      <c r="F11" s="167" t="n"/>
      <c r="G11" s="167" t="n"/>
      <c r="I11" s="171" t="inlineStr">
        <is>
          <t>Gun Drilling</t>
        </is>
      </c>
      <c r="J11" t="n">
        <v>2</v>
      </c>
      <c r="K11" t="n">
        <v>500</v>
      </c>
    </row>
    <row r="12">
      <c r="A12" s="63" t="inlineStr">
        <is>
          <t>Dievar</t>
        </is>
      </c>
      <c r="B12" s="63" t="n">
        <v>7.8</v>
      </c>
      <c r="C12" s="63" t="inlineStr">
        <is>
          <t xml:space="preserve">Casting core &amp; cavity-Surface finish will be good </t>
        </is>
      </c>
      <c r="D12" s="5" t="n">
        <v>985</v>
      </c>
      <c r="E12" s="167" t="n"/>
      <c r="F12" s="167" t="n"/>
      <c r="G12" s="167" t="n"/>
      <c r="I12" s="171" t="inlineStr">
        <is>
          <t>NC EDM</t>
        </is>
      </c>
      <c r="J12" t="n">
        <v>0.01</v>
      </c>
      <c r="K12" t="n">
        <v>800</v>
      </c>
    </row>
    <row r="13">
      <c r="A13" s="63" t="inlineStr">
        <is>
          <t>FCD55</t>
        </is>
      </c>
      <c r="B13" s="63" t="n"/>
      <c r="C13" s="63" t="inlineStr">
        <is>
          <t>mold base</t>
        </is>
      </c>
      <c r="D13" s="5" t="n">
        <v>200</v>
      </c>
      <c r="E13" s="167" t="n"/>
      <c r="F13" s="167" t="n"/>
      <c r="G13" s="167" t="n"/>
      <c r="I13" s="171" t="inlineStr">
        <is>
          <t>Wirecut EDM</t>
        </is>
      </c>
      <c r="J13" t="n">
        <v>0.01</v>
      </c>
      <c r="K13" t="n">
        <v>800</v>
      </c>
    </row>
    <row r="14">
      <c r="A14" s="63" t="inlineStr">
        <is>
          <t>EN8</t>
        </is>
      </c>
      <c r="B14" s="63" t="n"/>
      <c r="C14" s="63" t="inlineStr">
        <is>
          <t>mold base</t>
        </is>
      </c>
      <c r="D14" s="5" t="n">
        <v>120</v>
      </c>
      <c r="E14" s="167" t="n"/>
      <c r="F14" s="167" t="n"/>
      <c r="G14" s="167" t="n"/>
      <c r="I14" s="171" t="inlineStr">
        <is>
          <t>Jig Boring</t>
        </is>
      </c>
      <c r="J14" t="n">
        <v>0.2</v>
      </c>
      <c r="K14" t="n">
        <v>500</v>
      </c>
    </row>
    <row r="15">
      <c r="A15" s="63" t="inlineStr">
        <is>
          <t>Orvar</t>
        </is>
      </c>
      <c r="B15" s="63" t="n"/>
      <c r="C15" s="63" t="inlineStr">
        <is>
          <t>core &amp; cavity-casting</t>
        </is>
      </c>
      <c r="D15" s="5" t="n">
        <v>500</v>
      </c>
      <c r="E15" s="167" t="n"/>
      <c r="F15" s="167" t="n"/>
      <c r="G15" s="167" t="n"/>
      <c r="I15" s="171" t="inlineStr">
        <is>
          <t>CNC Lathe</t>
        </is>
      </c>
      <c r="J15" t="n">
        <v>1.2</v>
      </c>
      <c r="K15" t="n">
        <v>1200</v>
      </c>
    </row>
    <row r="16">
      <c r="A16" s="222" t="inlineStr">
        <is>
          <t>Graphite</t>
        </is>
      </c>
      <c r="B16" s="63" t="n">
        <v>1.5</v>
      </c>
      <c r="C16" s="63" t="inlineStr">
        <is>
          <t>electrode</t>
        </is>
      </c>
      <c r="D16" s="5" t="n">
        <v>1500</v>
      </c>
      <c r="E16" s="168" t="n"/>
      <c r="F16" s="168" t="n"/>
      <c r="G16" s="168" t="n"/>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7" min="1" max="1"/>
    <col width="17.90625" customWidth="1" style="477" min="2" max="2"/>
    <col width="10.81640625" customWidth="1" style="477" min="4" max="4"/>
    <col width="19.1796875" customWidth="1" style="477" min="5" max="5"/>
    <col width="17.36328125" customWidth="1" style="477" min="6" max="6"/>
    <col width="11.453125" customWidth="1" style="477" min="7" max="7"/>
    <col width="11.81640625" customWidth="1" style="477" min="8" max="8"/>
  </cols>
  <sheetData>
    <row r="1">
      <c r="A1" s="544" t="inlineStr">
        <is>
          <t xml:space="preserve">Part </t>
        </is>
      </c>
      <c r="B1" s="544" t="inlineStr">
        <is>
          <t>Dimensions</t>
        </is>
      </c>
      <c r="C1" s="544" t="inlineStr">
        <is>
          <t>unit</t>
        </is>
      </c>
      <c r="E1" s="523" t="inlineStr">
        <is>
          <t>Mould Dimensions Calculation based on Part Data</t>
        </is>
      </c>
      <c r="F1" s="453" t="n"/>
    </row>
    <row r="2" ht="14.5" customHeight="1" s="477">
      <c r="A2" s="21" t="inlineStr">
        <is>
          <t>Length</t>
        </is>
      </c>
      <c r="B2" s="149">
        <f>IF('INJ. MOULDING ESTIMATION'!C9=TRUE,'INJ. MOULDING ESTIMATION'!C6,'INJ. MOULDING ESTIMATION'!C7)</f>
        <v/>
      </c>
      <c r="C2" s="21" t="inlineStr">
        <is>
          <t>mm</t>
        </is>
      </c>
      <c r="E2" s="479" t="n"/>
      <c r="F2" s="442"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7">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7" min="1" max="1"/>
    <col width="25.81640625" customWidth="1" style="544" min="2" max="2"/>
    <col width="11.54296875" customWidth="1" style="63" min="5" max="5"/>
    <col width="12.26953125" customWidth="1" style="63" min="6" max="6"/>
    <col width="29.81640625" customWidth="1" style="63" min="7" max="7"/>
    <col width="8.81640625" customWidth="1" style="477" min="8" max="9"/>
    <col width="13.453125" customWidth="1" style="477" min="10" max="10"/>
    <col width="9.453125" customWidth="1" style="477" min="11" max="13"/>
  </cols>
  <sheetData>
    <row r="1" ht="20.15" customHeight="1" s="477">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7">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7">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7">
      <c r="A5" s="266" t="inlineStr">
        <is>
          <t>Material Rejection</t>
        </is>
      </c>
      <c r="B5" s="135" t="n">
        <v>0.02</v>
      </c>
      <c r="C5" s="110" t="n"/>
      <c r="E5" s="133" t="n">
        <v>6</v>
      </c>
      <c r="G5" s="524" t="inlineStr">
        <is>
          <t>T4 = Time needed for opening and closing the mold</t>
        </is>
      </c>
      <c r="H5" s="429" t="n"/>
      <c r="I5" s="430" t="n"/>
      <c r="J5" s="266" t="n">
        <v>3</v>
      </c>
    </row>
    <row r="6" ht="20.15" customHeight="1" s="477">
      <c r="A6" s="266" t="inlineStr">
        <is>
          <t>Cycle Time / Part</t>
        </is>
      </c>
      <c r="B6" s="136">
        <f>J6</f>
        <v/>
      </c>
      <c r="C6" s="110" t="inlineStr">
        <is>
          <t>Secs</t>
        </is>
      </c>
      <c r="E6" s="133" t="n">
        <v>8</v>
      </c>
      <c r="G6" s="528" t="inlineStr">
        <is>
          <t>Cycle Time /Part</t>
        </is>
      </c>
      <c r="H6" s="429" t="n"/>
      <c r="I6" s="430" t="n"/>
      <c r="J6" s="5">
        <f>SUM(J2:J5)</f>
        <v/>
      </c>
    </row>
    <row r="7" ht="20.15" customHeight="1" s="477">
      <c r="A7" s="266" t="inlineStr">
        <is>
          <t>Cycle Time / Part</t>
        </is>
      </c>
      <c r="B7" s="137">
        <f>B6/3600</f>
        <v/>
      </c>
      <c r="C7" s="110" t="inlineStr">
        <is>
          <t>Hours</t>
        </is>
      </c>
      <c r="G7" s="63" t="inlineStr">
        <is>
          <t>Nominal thickness</t>
        </is>
      </c>
      <c r="H7">
        <f>ROUNDUP('Input-Output'!B14,0)</f>
        <v/>
      </c>
    </row>
    <row r="8" ht="20.15" customHeight="1" s="477">
      <c r="A8" s="266" t="inlineStr">
        <is>
          <t>Hours per Shift</t>
        </is>
      </c>
      <c r="B8" s="136">
        <f>0.9*8</f>
        <v/>
      </c>
      <c r="C8" s="110" t="inlineStr">
        <is>
          <t>Hours</t>
        </is>
      </c>
      <c r="E8" s="526" t="inlineStr">
        <is>
          <t>Cooling time data</t>
        </is>
      </c>
      <c r="F8" s="429" t="n"/>
      <c r="G8" s="429" t="n"/>
      <c r="H8" s="429" t="n"/>
      <c r="I8" s="429" t="n"/>
      <c r="J8" s="429" t="n"/>
      <c r="K8" s="430" t="n"/>
    </row>
    <row r="9" ht="20.15" customHeight="1" s="477">
      <c r="A9" s="266" t="inlineStr">
        <is>
          <t>No of Shift</t>
        </is>
      </c>
      <c r="B9" s="136" t="n">
        <v>1</v>
      </c>
      <c r="C9" s="110" t="n"/>
      <c r="E9" s="525" t="inlineStr">
        <is>
          <t>Material</t>
        </is>
      </c>
      <c r="F9" s="433" t="inlineStr">
        <is>
          <t>Thickness</t>
        </is>
      </c>
      <c r="G9" s="433" t="inlineStr">
        <is>
          <t>mm</t>
        </is>
      </c>
      <c r="H9" s="433" t="inlineStr">
        <is>
          <t>mm</t>
        </is>
      </c>
      <c r="I9" s="433" t="inlineStr">
        <is>
          <t>mm</t>
        </is>
      </c>
      <c r="J9" s="433" t="inlineStr">
        <is>
          <t>mm</t>
        </is>
      </c>
      <c r="K9" s="433" t="inlineStr">
        <is>
          <t>mm</t>
        </is>
      </c>
    </row>
    <row r="10" ht="20.15" customHeight="1" s="477">
      <c r="A10" s="266" t="inlineStr">
        <is>
          <t>No of machine</t>
        </is>
      </c>
      <c r="B10" s="136">
        <f>'INJ. MOULDING ESTIMATION'!C18</f>
        <v/>
      </c>
      <c r="C10" s="110" t="n"/>
      <c r="E10" s="484" t="n"/>
      <c r="F10" s="525" t="n">
        <v>1</v>
      </c>
      <c r="G10" s="525" t="n">
        <v>2</v>
      </c>
      <c r="H10" s="525" t="n">
        <v>3</v>
      </c>
      <c r="I10" s="525" t="n">
        <v>4</v>
      </c>
      <c r="J10" s="525" t="n">
        <v>5</v>
      </c>
      <c r="K10" s="525" t="n">
        <v>6</v>
      </c>
    </row>
    <row r="11" ht="20.15" customHeight="1" s="477">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7">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7">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7">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7">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7">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7">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7">
      <c r="A18" s="80" t="inlineStr">
        <is>
          <t>No of cavity( As per part length)</t>
        </is>
      </c>
      <c r="B18" s="143">
        <f>IF('Input-Output'!B2&lt;100,8,IF('Input-Output'!B2&lt;300,6,IF('Input-Output'!B2&lt;400,4,IF('Input-Output'!B2&lt;500,2,IF('Input-Output'!B2&gt;=500,1)))))</f>
        <v/>
      </c>
      <c r="C18" s="110" t="n"/>
      <c r="E18" s="139" t="inlineStr">
        <is>
          <t>Nylon-srf</t>
        </is>
      </c>
      <c r="F18" s="615" t="n">
        <v>1.925</v>
      </c>
      <c r="G18" s="615" t="n">
        <v>7.4</v>
      </c>
      <c r="H18" s="615" t="n">
        <v>16.475</v>
      </c>
      <c r="I18" s="615" t="n">
        <v>29.0625</v>
      </c>
      <c r="J18" s="615" t="n">
        <v>45.4</v>
      </c>
      <c r="K18" s="615" t="n">
        <v>65.21250000000001</v>
      </c>
    </row>
    <row r="19" ht="20.15" customHeight="1" s="477">
      <c r="A19" s="266" t="inlineStr">
        <is>
          <t>No of Cavity</t>
        </is>
      </c>
      <c r="B19" s="144">
        <f>MIN(B18,B17)</f>
        <v/>
      </c>
      <c r="C19" s="110" t="n"/>
      <c r="E19" s="139" t="inlineStr">
        <is>
          <t>Glass fiber-Plain</t>
        </is>
      </c>
      <c r="F19" s="615" t="n">
        <v>2.040625</v>
      </c>
      <c r="G19" s="615" t="n">
        <v>8.074999999999999</v>
      </c>
      <c r="H19" s="615" t="n">
        <v>18.159375</v>
      </c>
      <c r="I19" s="615" t="n">
        <v>32.1953125</v>
      </c>
      <c r="J19" s="615" t="n">
        <v>50.45</v>
      </c>
      <c r="K19" s="615" t="n">
        <v>72.6140625</v>
      </c>
    </row>
    <row r="21" ht="20.15" customHeight="1" s="477">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7">
      <c r="A22" s="145" t="inlineStr">
        <is>
          <t>Part</t>
        </is>
      </c>
      <c r="B22" s="145" t="inlineStr">
        <is>
          <t>Mould</t>
        </is>
      </c>
      <c r="C22" s="145" t="n"/>
      <c r="D22" s="145" t="n"/>
      <c r="E22" s="145" t="n"/>
      <c r="F22" s="145" t="n"/>
    </row>
    <row r="23" ht="20.15" customHeight="1" s="477">
      <c r="A23" s="146" t="n">
        <v>700</v>
      </c>
      <c r="B23" s="147" t="n">
        <v>976</v>
      </c>
      <c r="C23" s="147" t="n"/>
      <c r="D23" s="147" t="n"/>
      <c r="E23" s="147" t="n"/>
      <c r="F23" s="147" t="n"/>
    </row>
    <row r="24" ht="20.15" customHeight="1" s="477">
      <c r="A24" s="147" t="n">
        <v>600</v>
      </c>
      <c r="B24" s="147" t="n">
        <v>849</v>
      </c>
      <c r="C24" s="147" t="n"/>
      <c r="D24" s="147" t="n"/>
      <c r="E24" s="147" t="n"/>
      <c r="F24" s="147" t="n"/>
    </row>
    <row r="25" ht="20.15" customHeight="1" s="477">
      <c r="A25" s="147" t="n">
        <v>500</v>
      </c>
      <c r="B25" s="147" t="n">
        <v>722</v>
      </c>
      <c r="C25" s="147" t="n"/>
      <c r="D25" s="147" t="n"/>
      <c r="E25" s="147" t="n"/>
      <c r="F25" s="147" t="n"/>
    </row>
    <row r="26" ht="20.15" customHeight="1" s="477">
      <c r="A26" s="147" t="n">
        <v>400</v>
      </c>
      <c r="B26" s="147" t="n">
        <v>594</v>
      </c>
      <c r="C26" s="147" t="n">
        <v>1153</v>
      </c>
      <c r="D26" s="147" t="n"/>
      <c r="E26" s="147" t="n"/>
      <c r="F26" s="147" t="n"/>
    </row>
    <row r="27" ht="20.15" customHeight="1" s="477">
      <c r="A27" s="147" t="n">
        <v>300</v>
      </c>
      <c r="B27" s="147" t="n">
        <v>476</v>
      </c>
      <c r="C27" s="147" t="n">
        <v>899</v>
      </c>
      <c r="D27" s="147" t="n">
        <v>1029</v>
      </c>
      <c r="E27" s="147" t="n">
        <v>1159</v>
      </c>
      <c r="F27" s="147" t="n"/>
    </row>
    <row r="28" ht="20.15" customHeight="1" s="477">
      <c r="A28" s="147" t="n">
        <v>200</v>
      </c>
      <c r="B28" s="147" t="n">
        <v>357</v>
      </c>
      <c r="C28" s="147" t="n">
        <v>644</v>
      </c>
      <c r="D28" s="147" t="n">
        <v>753</v>
      </c>
      <c r="E28" s="147" t="n">
        <v>845</v>
      </c>
      <c r="F28" s="147" t="n"/>
    </row>
    <row r="29" ht="20.15" customHeight="1" s="477">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3">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7" min="1" max="1"/>
    <col width="17.453125" customWidth="1" style="477"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7" thickBot="1"/>
    <row r="9" ht="26" customHeight="1" s="477">
      <c r="A9" s="536" t="inlineStr">
        <is>
          <t>Mould Complexity Rating Scale for Injection Moulding:</t>
        </is>
      </c>
      <c r="B9" s="537" t="n"/>
      <c r="C9" s="537" t="n"/>
      <c r="D9" s="537" t="n"/>
      <c r="E9" s="537" t="n"/>
      <c r="F9" s="537" t="n"/>
      <c r="G9" s="537" t="n"/>
      <c r="H9" s="537" t="n"/>
      <c r="I9" s="537" t="n"/>
      <c r="J9" s="538" t="n"/>
    </row>
    <row r="10">
      <c r="A10" s="534" t="inlineStr">
        <is>
          <t xml:space="preserve">0.5: Very Simple Part (Easy to Design) </t>
        </is>
      </c>
      <c r="B10" s="429" t="n"/>
      <c r="C10" s="429" t="n"/>
      <c r="D10" s="429" t="n"/>
      <c r="E10" s="429" t="n"/>
      <c r="F10" s="429" t="n"/>
      <c r="G10" s="429" t="n"/>
      <c r="H10" s="429" t="n"/>
      <c r="I10" s="429" t="n"/>
      <c r="J10" s="535" t="n"/>
    </row>
    <row r="11" ht="39" customHeight="1" s="477">
      <c r="A11" s="532" t="inlineStr">
        <is>
          <t>·This rating indicates that the part design is straightforward and uncomplicated. It doesn't require any complex features or additional components. Designing the mould for this part should be relatively simple.</t>
        </is>
      </c>
      <c r="B11" s="480" t="n"/>
      <c r="C11" s="480" t="n"/>
      <c r="D11" s="480" t="n"/>
      <c r="E11" s="480" t="n"/>
      <c r="F11" s="480" t="n"/>
      <c r="G11" s="480" t="n"/>
      <c r="H11" s="480" t="n"/>
      <c r="I11" s="480" t="n"/>
      <c r="J11" s="533" t="n"/>
    </row>
    <row r="12" ht="11" customHeight="1" s="477">
      <c r="A12" s="215" t="n"/>
      <c r="B12" s="214" t="n"/>
      <c r="C12" s="214" t="n"/>
      <c r="D12" s="214" t="n"/>
      <c r="E12" s="214" t="n"/>
      <c r="F12" s="214" t="n"/>
      <c r="G12" s="214" t="n"/>
      <c r="H12" s="214" t="n"/>
      <c r="I12" s="214" t="n"/>
      <c r="J12" s="216" t="n"/>
    </row>
    <row r="13">
      <c r="A13" s="534" t="inlineStr">
        <is>
          <t xml:space="preserve">1: Normal Part (Generally Symmetric) </t>
        </is>
      </c>
      <c r="B13" s="429" t="n"/>
      <c r="C13" s="429" t="n"/>
      <c r="D13" s="429" t="n"/>
      <c r="E13" s="429" t="n"/>
      <c r="F13" s="429" t="n"/>
      <c r="G13" s="429" t="n"/>
      <c r="H13" s="429" t="n"/>
      <c r="I13" s="429" t="n"/>
      <c r="J13" s="535" t="n"/>
    </row>
    <row r="14" ht="48" customHeight="1" s="477">
      <c r="A14" s="532" t="inlineStr">
        <is>
          <t>·A rating of 1 suggests that the part is relatively common and exhibits symmetrical characteristics. The mould design should follow standard practices and considerations for ensuring balanced filling and ejection.</t>
        </is>
      </c>
      <c r="B14" s="480" t="n"/>
      <c r="C14" s="480" t="n"/>
      <c r="D14" s="480" t="n"/>
      <c r="E14" s="480" t="n"/>
      <c r="F14" s="480" t="n"/>
      <c r="G14" s="480" t="n"/>
      <c r="H14" s="480" t="n"/>
      <c r="I14" s="480" t="n"/>
      <c r="J14" s="533" t="n"/>
    </row>
    <row r="15" ht="11.5" customHeight="1" s="477">
      <c r="A15" s="215" t="n"/>
      <c r="B15" s="214" t="n"/>
      <c r="C15" s="214" t="n"/>
      <c r="D15" s="214" t="n"/>
      <c r="E15" s="214" t="n"/>
      <c r="F15" s="214" t="n"/>
      <c r="G15" s="214" t="n"/>
      <c r="H15" s="214" t="n"/>
      <c r="I15" s="214" t="n"/>
      <c r="J15" s="216" t="n"/>
    </row>
    <row r="16" ht="14" customHeight="1" s="477">
      <c r="A16" s="534" t="inlineStr">
        <is>
          <t xml:space="preserve">2: Normal Part (Use of Side Cores, Lifters, Inserts Pins for Adding Features) </t>
        </is>
      </c>
      <c r="B16" s="429" t="n"/>
      <c r="C16" s="429" t="n"/>
      <c r="D16" s="429" t="n"/>
      <c r="E16" s="429" t="n"/>
      <c r="F16" s="429" t="n"/>
      <c r="G16" s="429" t="n"/>
      <c r="H16" s="429" t="n"/>
      <c r="I16" s="429" t="n"/>
      <c r="J16" s="535" t="n"/>
    </row>
    <row r="17" ht="49.5" customHeight="1" s="477">
      <c r="A17" s="532"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0" t="n"/>
      <c r="C17" s="480" t="n"/>
      <c r="D17" s="480" t="n"/>
      <c r="E17" s="480" t="n"/>
      <c r="F17" s="480" t="n"/>
      <c r="G17" s="480" t="n"/>
      <c r="H17" s="480" t="n"/>
      <c r="I17" s="480" t="n"/>
      <c r="J17" s="533" t="n"/>
    </row>
    <row r="18" ht="14.5" customHeight="1" s="477">
      <c r="A18" s="215" t="n"/>
      <c r="B18" s="214" t="n"/>
      <c r="C18" s="214" t="n"/>
      <c r="D18" s="214" t="n"/>
      <c r="E18" s="214" t="n"/>
      <c r="F18" s="214" t="n"/>
      <c r="G18" s="214" t="n"/>
      <c r="H18" s="214" t="n"/>
      <c r="I18" s="214" t="n"/>
      <c r="J18" s="216" t="n"/>
    </row>
    <row r="19">
      <c r="A19" s="534" t="inlineStr">
        <is>
          <t>3: Moderately Complex Part</t>
        </is>
      </c>
      <c r="B19" s="429" t="n"/>
      <c r="C19" s="429" t="n"/>
      <c r="D19" s="429" t="n"/>
      <c r="E19" s="429" t="n"/>
      <c r="F19" s="429" t="n"/>
      <c r="G19" s="429" t="n"/>
      <c r="H19" s="429" t="n"/>
      <c r="I19" s="429" t="n"/>
      <c r="J19" s="535" t="n"/>
    </row>
    <row r="20" ht="52" customHeight="1" s="477">
      <c r="A20" s="532"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0" t="n"/>
      <c r="C20" s="480" t="n"/>
      <c r="D20" s="480" t="n"/>
      <c r="E20" s="480" t="n"/>
      <c r="F20" s="480" t="n"/>
      <c r="G20" s="480" t="n"/>
      <c r="H20" s="480" t="n"/>
      <c r="I20" s="480" t="n"/>
      <c r="J20" s="533" t="n"/>
    </row>
    <row r="21" ht="11" customHeight="1" s="477">
      <c r="A21" s="217" t="n"/>
      <c r="B21" s="218" t="n"/>
      <c r="C21" s="218" t="n"/>
      <c r="D21" s="218" t="n"/>
      <c r="E21" s="218" t="n"/>
      <c r="F21" s="218" t="n"/>
      <c r="G21" s="218" t="n"/>
      <c r="H21" s="218" t="n"/>
      <c r="I21" s="218" t="n"/>
      <c r="J21" s="219" t="n"/>
    </row>
    <row r="22">
      <c r="A22" s="534" t="inlineStr">
        <is>
          <t xml:space="preserve">4: Complex Part, High Features, More Holes, Instruction Need to be Followed </t>
        </is>
      </c>
      <c r="B22" s="429" t="n"/>
      <c r="C22" s="429" t="n"/>
      <c r="D22" s="429" t="n"/>
      <c r="E22" s="429" t="n"/>
      <c r="F22" s="429" t="n"/>
      <c r="G22" s="429" t="n"/>
      <c r="H22" s="429" t="n"/>
      <c r="I22" s="429" t="n"/>
      <c r="J22" s="535" t="n"/>
    </row>
    <row r="23" ht="46" customHeight="1" s="477">
      <c r="A23" s="532"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0" t="n"/>
      <c r="C23" s="480" t="n"/>
      <c r="D23" s="480" t="n"/>
      <c r="E23" s="480" t="n"/>
      <c r="F23" s="480" t="n"/>
      <c r="G23" s="480" t="n"/>
      <c r="H23" s="480" t="n"/>
      <c r="I23" s="480" t="n"/>
      <c r="J23" s="533" t="n"/>
    </row>
    <row r="24">
      <c r="A24" s="215" t="n"/>
      <c r="B24" s="214" t="n"/>
      <c r="C24" s="214" t="n"/>
      <c r="D24" s="214" t="n"/>
      <c r="E24" s="214" t="n"/>
      <c r="F24" s="214" t="n"/>
      <c r="G24" s="214" t="n"/>
      <c r="H24" s="214" t="n"/>
      <c r="I24" s="214" t="n"/>
      <c r="J24" s="216" t="n"/>
    </row>
    <row r="25">
      <c r="A25" s="534" t="inlineStr">
        <is>
          <t>5: Very Complex Part, Lots of Features, Large Part Size, High Electrode Requirement, Detailed Design Instructions</t>
        </is>
      </c>
      <c r="B25" s="429" t="n"/>
      <c r="C25" s="429" t="n"/>
      <c r="D25" s="429" t="n"/>
      <c r="E25" s="429" t="n"/>
      <c r="F25" s="429" t="n"/>
      <c r="G25" s="429" t="n"/>
      <c r="H25" s="429" t="n"/>
      <c r="I25" s="429" t="n"/>
      <c r="J25" s="535" t="n"/>
    </row>
    <row r="26" ht="49.5" customHeight="1" s="477">
      <c r="A26" s="532"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0" t="n"/>
      <c r="C26" s="480" t="n"/>
      <c r="D26" s="480" t="n"/>
      <c r="E26" s="480" t="n"/>
      <c r="F26" s="480" t="n"/>
      <c r="G26" s="480" t="n"/>
      <c r="H26" s="480" t="n"/>
      <c r="I26" s="480" t="n"/>
      <c r="J26" s="533" t="n"/>
    </row>
    <row r="27" ht="47" customHeight="1" s="477"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7" min="2" max="2"/>
    <col width="40.81640625" customWidth="1" style="477" min="3" max="3"/>
  </cols>
  <sheetData>
    <row r="2">
      <c r="B2" s="539" t="inlineStr">
        <is>
          <t>Guide Pillar Working Diameter Calculation</t>
        </is>
      </c>
      <c r="C2" s="423" t="n"/>
      <c r="D2" s="453" t="n"/>
      <c r="E2" s="126" t="n"/>
    </row>
    <row r="3">
      <c r="B3" s="479" t="n"/>
      <c r="C3" s="480" t="n"/>
      <c r="D3" s="442" t="n"/>
      <c r="E3" s="126" t="n"/>
    </row>
    <row r="4">
      <c r="B4" s="71" t="inlineStr">
        <is>
          <t>Overall Dimension of Guide Pillar=</t>
        </is>
      </c>
      <c r="C4" s="71" t="inlineStr">
        <is>
          <t>Working Diameter of Guide Pillar(d)+1+1</t>
        </is>
      </c>
      <c r="D4" s="71" t="n"/>
      <c r="E4" s="63" t="n"/>
    </row>
    <row r="5">
      <c r="B5" s="71" t="n"/>
      <c r="C5" s="616">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7">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7">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6">
        <f>SQRT((4*C9)/(C19*C20*3.14))</f>
        <v/>
      </c>
      <c r="D16" s="71" t="inlineStr">
        <is>
          <t>in cm</t>
        </is>
      </c>
      <c r="E16" s="63" t="n"/>
    </row>
    <row r="17">
      <c r="B17" s="71" t="n"/>
      <c r="C17" s="616">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7">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7" min="1" max="1"/>
    <col width="9.26953125" customWidth="1" style="477" min="10" max="10"/>
    <col width="8.54296875" customWidth="1" style="477" min="11" max="11"/>
    <col width="20.1796875" customWidth="1" style="477" min="14" max="14"/>
    <col width="8.81640625" customWidth="1" style="544" min="15" max="15"/>
    <col width="10.1796875" customWidth="1" style="477"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7">
        <f>P8/10</f>
        <v/>
      </c>
      <c r="Q9" s="617">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84" t="n"/>
      <c r="B26" s="542" t="n">
        <v>1</v>
      </c>
      <c r="C26" s="542" t="n">
        <v>2</v>
      </c>
      <c r="D26" s="542" t="n">
        <v>4</v>
      </c>
      <c r="E26" s="542" t="n">
        <v>6</v>
      </c>
      <c r="F26" s="542" t="n">
        <v>8</v>
      </c>
      <c r="H26" s="505" t="inlineStr">
        <is>
          <t>l=length of part</t>
        </is>
      </c>
      <c r="I26" s="429" t="n"/>
      <c r="J26" s="430" t="n"/>
      <c r="K26" s="123">
        <f>'Input-Output'!B2</f>
        <v/>
      </c>
      <c r="L26" s="453" t="inlineStr">
        <is>
          <t>mm</t>
        </is>
      </c>
    </row>
    <row r="27">
      <c r="A27" s="116" t="inlineStr">
        <is>
          <t>L(formula)</t>
        </is>
      </c>
      <c r="B27" s="433" t="inlineStr">
        <is>
          <t>l+2G</t>
        </is>
      </c>
      <c r="C27" s="433" t="inlineStr">
        <is>
          <t>2l+T+2G</t>
        </is>
      </c>
      <c r="D27" s="433" t="inlineStr">
        <is>
          <t>2l+T+2G</t>
        </is>
      </c>
      <c r="E27" s="433" t="inlineStr">
        <is>
          <t>2l+T+2G</t>
        </is>
      </c>
      <c r="F27" s="433" t="inlineStr">
        <is>
          <t>3T+4l+2G</t>
        </is>
      </c>
      <c r="H27" s="505" t="inlineStr">
        <is>
          <t>w=width of part</t>
        </is>
      </c>
      <c r="I27" s="429" t="n"/>
      <c r="J27" s="430" t="n"/>
      <c r="K27" s="123">
        <f>'Input-Output'!B3</f>
        <v/>
      </c>
      <c r="L27" s="453" t="inlineStr">
        <is>
          <t>mm</t>
        </is>
      </c>
    </row>
    <row r="28" ht="29" customHeight="1" s="477">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53" t="inlineStr">
        <is>
          <t>mm</t>
        </is>
      </c>
    </row>
    <row r="29">
      <c r="A29" s="116" t="inlineStr">
        <is>
          <t>W(formula)</t>
        </is>
      </c>
      <c r="B29" s="433" t="inlineStr">
        <is>
          <t>w+2G</t>
        </is>
      </c>
      <c r="C29" s="433" t="inlineStr">
        <is>
          <t>2G+w</t>
        </is>
      </c>
      <c r="D29" s="433" t="inlineStr">
        <is>
          <t>T+2w+2G</t>
        </is>
      </c>
      <c r="E29" s="433" t="inlineStr">
        <is>
          <t>3w+2T+2G</t>
        </is>
      </c>
      <c r="F29" s="433"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7" min="1" max="1"/>
    <col width="57.453125" customWidth="1" style="477" min="2" max="2"/>
    <col width="17" customWidth="1" style="477" min="3" max="3"/>
    <col width="23.90625" customWidth="1" style="477" min="6" max="6"/>
    <col width="20.1796875" customWidth="1" style="477" min="8" max="8"/>
    <col width="17.81640625" customWidth="1" style="477" min="10" max="10"/>
    <col width="3.1796875" customWidth="1" style="477" min="11" max="11"/>
    <col width="17.90625" customWidth="1" style="477" min="19" max="19"/>
    <col width="14.1796875" customWidth="1" style="477" min="20" max="20"/>
    <col width="18.26953125" customWidth="1" style="477" min="21" max="21"/>
    <col width="15.6328125" customWidth="1" style="477" min="22" max="22"/>
    <col width="12.1796875" customWidth="1" style="477" min="23" max="23"/>
  </cols>
  <sheetData>
    <row r="1">
      <c r="A1" s="92" t="n"/>
      <c r="B1" s="449" t="n"/>
      <c r="C1" s="449" t="n"/>
      <c r="D1" s="449" t="n"/>
      <c r="E1" s="449" t="n"/>
      <c r="F1" s="449" t="n"/>
      <c r="G1" s="449" t="n"/>
      <c r="H1" s="449" t="n"/>
      <c r="I1" s="449" t="n"/>
      <c r="J1" s="449" t="n"/>
      <c r="K1" s="471" t="n"/>
    </row>
    <row r="2">
      <c r="A2" s="93" t="n"/>
      <c r="B2" s="546" t="inlineStr">
        <is>
          <t>Core Plate thickness</t>
        </is>
      </c>
      <c r="C2" s="429" t="n"/>
      <c r="D2" s="430" t="n"/>
      <c r="F2" s="547" t="inlineStr">
        <is>
          <t>Database</t>
        </is>
      </c>
      <c r="G2" s="429" t="n"/>
      <c r="H2" s="429" t="n"/>
      <c r="I2" s="429" t="n"/>
      <c r="J2" s="430" t="n"/>
      <c r="K2" s="492"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92" t="n"/>
    </row>
    <row r="4">
      <c r="A4" s="93" t="n"/>
      <c r="B4" s="266" t="n"/>
      <c r="C4" s="266" t="n"/>
      <c r="D4" s="266" t="n"/>
      <c r="F4" s="95" t="inlineStr">
        <is>
          <t>PS</t>
        </is>
      </c>
      <c r="G4" s="96" t="n">
        <v>0.33</v>
      </c>
      <c r="H4" s="96" t="n">
        <v>0.35</v>
      </c>
      <c r="I4" s="96" t="n">
        <v>8.000000000000001e-05</v>
      </c>
      <c r="J4" s="96" t="n">
        <v>100</v>
      </c>
      <c r="K4" s="492"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92" t="n"/>
    </row>
    <row r="6" ht="16.5" customHeight="1" s="477">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92"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92" t="n"/>
    </row>
    <row r="8" ht="16.5" customHeight="1" s="477">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92"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92"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92" t="n"/>
    </row>
    <row r="11">
      <c r="A11" s="93" t="n"/>
      <c r="B11" s="63" t="n"/>
      <c r="C11" s="63" t="n"/>
      <c r="D11" s="63" t="n"/>
      <c r="E11" s="63" t="n"/>
      <c r="F11" s="98" t="inlineStr">
        <is>
          <t>Nylon-srf</t>
        </is>
      </c>
      <c r="G11" s="96" t="n">
        <v>0.37</v>
      </c>
      <c r="H11" s="96" t="n">
        <v>0.4</v>
      </c>
      <c r="I11" s="96" t="n">
        <v>0.00015</v>
      </c>
      <c r="J11" s="96" t="n">
        <v>225</v>
      </c>
      <c r="K11" s="492" t="n"/>
    </row>
    <row r="12">
      <c r="A12" s="93" t="n"/>
      <c r="B12" s="101" t="inlineStr">
        <is>
          <t>Runner Diameter = Max Part Wall Thickness+1.5</t>
        </is>
      </c>
      <c r="C12" s="102">
        <f>'Input-Output'!B15+1.5</f>
        <v/>
      </c>
      <c r="D12" s="103" t="inlineStr">
        <is>
          <t>mm</t>
        </is>
      </c>
      <c r="K12" s="492" t="n"/>
    </row>
    <row r="13">
      <c r="A13" s="104" t="n"/>
      <c r="B13" s="105" t="inlineStr">
        <is>
          <t>Gate Diameter = dr/dg=4.5</t>
        </is>
      </c>
      <c r="C13" s="102">
        <f>C12/4.5</f>
        <v/>
      </c>
      <c r="D13" s="103" t="inlineStr">
        <is>
          <t>mm</t>
        </is>
      </c>
      <c r="F13" s="545" t="inlineStr">
        <is>
          <t>Ejector Force Calculation</t>
        </is>
      </c>
      <c r="G13" s="430" t="n"/>
      <c r="H13" s="545" t="n"/>
      <c r="I13" s="430" t="n"/>
      <c r="K13" s="492" t="n"/>
    </row>
    <row r="14">
      <c r="A14" s="93" t="n"/>
      <c r="F14" s="326" t="inlineStr">
        <is>
          <t>Fp</t>
        </is>
      </c>
      <c r="G14" s="327" t="n"/>
      <c r="H14" s="79">
        <f>C25</f>
        <v/>
      </c>
      <c r="I14" s="266" t="inlineStr">
        <is>
          <t>kN</t>
        </is>
      </c>
      <c r="K14" s="492" t="n"/>
    </row>
    <row r="15">
      <c r="A15" s="93" t="n"/>
      <c r="B15" s="550" t="inlineStr">
        <is>
          <t>Ejector plate thickness</t>
        </is>
      </c>
      <c r="C15" s="429" t="n"/>
      <c r="D15" s="430" t="n"/>
      <c r="F15" s="326" t="inlineStr">
        <is>
          <t>Fp</t>
        </is>
      </c>
      <c r="G15" s="327" t="n"/>
      <c r="H15" s="79">
        <f>H14*G19</f>
        <v/>
      </c>
      <c r="I15" s="266" t="inlineStr">
        <is>
          <t>KgF</t>
        </is>
      </c>
      <c r="K15" s="492" t="n"/>
    </row>
    <row r="16" ht="29" customHeight="1" s="477">
      <c r="A16" s="93" t="n"/>
      <c r="B16" s="549" t="inlineStr">
        <is>
          <t>Considering both ejector plate and ejector back plate as simply supported beam with uniformly distributed load</t>
        </is>
      </c>
      <c r="C16" s="429" t="n"/>
      <c r="D16" s="430" t="n"/>
      <c r="F16" s="433" t="inlineStr">
        <is>
          <t>No of Cavity</t>
        </is>
      </c>
      <c r="G16" s="430" t="n"/>
      <c r="H16" s="79">
        <f>'Input-Output'!B10</f>
        <v/>
      </c>
      <c r="I16" s="266" t="n"/>
      <c r="K16" s="492" t="n"/>
      <c r="P16" t="inlineStr">
        <is>
          <t>`</t>
        </is>
      </c>
    </row>
    <row r="17" ht="16.5" customHeight="1" s="477">
      <c r="A17" s="93" t="n"/>
      <c r="B17" s="106" t="inlineStr">
        <is>
          <t xml:space="preserve"> t=3Ö5 w l4  / 32 E d d=</t>
        </is>
      </c>
      <c r="C17" s="107">
        <f>POWER(((5*C18*C19^4)/(32*(2*10^6)*C21*C22)),1/3)</f>
        <v/>
      </c>
      <c r="D17" s="266" t="inlineStr">
        <is>
          <t>cm</t>
        </is>
      </c>
      <c r="E17" s="106" t="n"/>
      <c r="F17" s="433" t="inlineStr">
        <is>
          <t>Total Ejection Force</t>
        </is>
      </c>
      <c r="G17" s="430" t="n"/>
      <c r="H17" s="79">
        <f>H16*H15</f>
        <v/>
      </c>
      <c r="I17" s="266" t="inlineStr">
        <is>
          <t>KgF</t>
        </is>
      </c>
      <c r="K17" s="492" t="n"/>
    </row>
    <row r="18">
      <c r="A18" s="93" t="n"/>
      <c r="B18" s="108" t="inlineStr">
        <is>
          <t>Ejection force required in Kgf , w=</t>
        </is>
      </c>
      <c r="C18" s="109">
        <f>C25*G19</f>
        <v/>
      </c>
      <c r="D18" s="266" t="n"/>
      <c r="F18" s="266" t="inlineStr">
        <is>
          <t>kN</t>
        </is>
      </c>
      <c r="G18" s="266" t="inlineStr">
        <is>
          <t>KgF</t>
        </is>
      </c>
      <c r="K18" s="492" t="n"/>
    </row>
    <row r="19">
      <c r="A19" s="93" t="n"/>
      <c r="B19" s="108" t="inlineStr">
        <is>
          <t>Length of the ejector plate in cm, l=</t>
        </is>
      </c>
      <c r="C19" s="109">
        <f>'Mould Costing'!D13/10</f>
        <v/>
      </c>
      <c r="D19" s="266" t="inlineStr">
        <is>
          <t>cm</t>
        </is>
      </c>
      <c r="F19" s="110" t="n">
        <v>1</v>
      </c>
      <c r="G19" s="266" t="n">
        <v>0.101972</v>
      </c>
      <c r="K19" s="492" t="n"/>
    </row>
    <row r="20" ht="16.5" customHeight="1" s="477">
      <c r="A20" s="93" t="n"/>
      <c r="B20" s="108" t="inlineStr">
        <is>
          <t>Moulus of elasticity 2 x 106 kg / cm2 (for steel), E=</t>
        </is>
      </c>
      <c r="C20" s="111" t="inlineStr">
        <is>
          <t>2 x 106</t>
        </is>
      </c>
      <c r="D20" s="266" t="n"/>
      <c r="K20" s="492" t="n"/>
    </row>
    <row r="21">
      <c r="A21" s="93" t="n"/>
      <c r="B21" s="108" t="inlineStr">
        <is>
          <t>Width of the ejector plate in cm, d=</t>
        </is>
      </c>
      <c r="C21" s="109">
        <f>'Mould Costing'!E13/10</f>
        <v/>
      </c>
      <c r="D21" s="266" t="inlineStr">
        <is>
          <t>cm</t>
        </is>
      </c>
      <c r="F21" s="112" t="n"/>
      <c r="K21" s="492" t="n"/>
    </row>
    <row r="22">
      <c r="A22" s="93" t="n"/>
      <c r="B22" s="108" t="inlineStr">
        <is>
          <t>Maximum allowable deflection 0.005 cm</t>
        </is>
      </c>
      <c r="C22" s="111" t="n">
        <v>0.005</v>
      </c>
      <c r="D22" s="266" t="inlineStr">
        <is>
          <t>cm</t>
        </is>
      </c>
      <c r="K22" s="492" t="n"/>
    </row>
    <row r="23">
      <c r="A23" s="93" t="n"/>
      <c r="K23" s="492" t="n"/>
    </row>
    <row r="24">
      <c r="A24" s="93" t="n"/>
      <c r="B24" s="113" t="inlineStr">
        <is>
          <t>where</t>
        </is>
      </c>
      <c r="K24" s="492" t="n"/>
    </row>
    <row r="25">
      <c r="A25" s="93" t="n"/>
      <c r="B25" s="113" t="inlineStr">
        <is>
          <t>Fp</t>
        </is>
      </c>
      <c r="C25" s="23">
        <f>(C26*C27*C28*C31*C32)/(C30/(2*C33)*(1-(C29/2)))</f>
        <v/>
      </c>
      <c r="D25" t="inlineStr">
        <is>
          <t>kn</t>
        </is>
      </c>
      <c r="E25" t="inlineStr">
        <is>
          <t>Ejection resistance force (N)</t>
        </is>
      </c>
      <c r="K25" s="492" t="n"/>
    </row>
    <row r="26">
      <c r="A26" s="93" t="n"/>
      <c r="B26" s="113" t="inlineStr">
        <is>
          <t>E</t>
        </is>
      </c>
      <c r="C26">
        <f>VLOOKUP('Input-Output'!B9,Table11[],5,0)*10^5</f>
        <v/>
      </c>
      <c r="D26" t="inlineStr">
        <is>
          <t>(N/cm2)</t>
        </is>
      </c>
      <c r="E26" t="inlineStr">
        <is>
          <t>Young’s modulus of the polymer</t>
        </is>
      </c>
      <c r="K26" s="492"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92" t="n"/>
    </row>
    <row r="28">
      <c r="A28" s="93" t="n"/>
      <c r="B28" s="113" t="inlineStr">
        <is>
          <t>μ</t>
        </is>
      </c>
      <c r="C28" s="114">
        <f>VLOOKUP('Input-Output'!$B$9,'Core &amp; Ejector Plate'!$F$4:$J$11,2,FALSE)</f>
        <v/>
      </c>
      <c r="E28" t="inlineStr">
        <is>
          <t>coefficient of friction, polymer on steel</t>
        </is>
      </c>
      <c r="K28" s="492" t="n"/>
    </row>
    <row r="29">
      <c r="A29" s="93" t="n"/>
      <c r="B29" s="113" t="inlineStr">
        <is>
          <t>m</t>
        </is>
      </c>
      <c r="C29" s="114">
        <f>VLOOKUP('Input-Output'!$B$9,'Core &amp; Ejector Plate'!$F$4:$J$11,3,FALSE)</f>
        <v/>
      </c>
      <c r="E29" t="inlineStr">
        <is>
          <t>Poisson’s ratio</t>
        </is>
      </c>
      <c r="K29" s="492"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92" t="n"/>
    </row>
    <row r="31">
      <c r="A31" s="93" t="n"/>
      <c r="B31" s="113" t="inlineStr">
        <is>
          <t>∝</t>
        </is>
      </c>
      <c r="C31" s="114">
        <f>VLOOKUP('Input-Output'!$B$9,'Core &amp; Ejector Plate'!$F$4:$J$11,4,FALSE)</f>
        <v/>
      </c>
      <c r="D31" t="inlineStr">
        <is>
          <t>(cm/°C)</t>
        </is>
      </c>
      <c r="E31" t="inlineStr">
        <is>
          <t>the coefficient of linear expansion of the polymer</t>
        </is>
      </c>
      <c r="K31" s="492"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92" t="n"/>
    </row>
    <row r="33">
      <c r="A33" s="93" t="n"/>
      <c r="B33" s="113" t="inlineStr">
        <is>
          <t>t</t>
        </is>
      </c>
      <c r="C33">
        <f>'Input-Output'!B14/10</f>
        <v/>
      </c>
      <c r="D33" t="inlineStr">
        <is>
          <t>(cm)</t>
        </is>
      </c>
      <c r="E33" t="inlineStr">
        <is>
          <t>average wall thickness of part</t>
        </is>
      </c>
      <c r="K33" s="492" t="n"/>
    </row>
    <row r="34">
      <c r="A34" s="450" t="n"/>
      <c r="B34" s="426" t="n"/>
      <c r="C34" s="426" t="n"/>
      <c r="D34" s="426" t="n"/>
      <c r="E34" s="426" t="n"/>
      <c r="F34" s="426" t="n"/>
      <c r="G34" s="426" t="n"/>
      <c r="H34" s="426" t="n"/>
      <c r="I34" s="426" t="n"/>
      <c r="J34" s="426" t="n"/>
      <c r="K34" s="427" t="n"/>
    </row>
  </sheetData>
  <mergeCells count="9">
    <mergeCell ref="B3:D3"/>
    <mergeCell ref="F16:G16"/>
    <mergeCell ref="B2:D2"/>
    <mergeCell ref="F13:G13"/>
    <mergeCell ref="B15:D15"/>
    <mergeCell ref="H13:I13"/>
    <mergeCell ref="F17:G17"/>
    <mergeCell ref="B16:D16"/>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7" min="1" max="1"/>
    <col width="24.26953125" customWidth="1" style="477" min="2" max="2"/>
    <col width="31.81640625" customWidth="1" style="477" min="3" max="3"/>
    <col width="21.1796875" customWidth="1" style="477" min="4" max="4"/>
    <col width="20.36328125" customWidth="1" style="477" min="5" max="5"/>
    <col width="29.26953125" customWidth="1" style="477" min="6" max="6"/>
    <col width="27.7265625" customWidth="1" style="477" min="7" max="7"/>
    <col width="18.36328125" customWidth="1" style="477" min="8" max="8"/>
    <col width="14.26953125" customWidth="1" style="477" min="9" max="9"/>
    <col width="17.90625" customWidth="1" style="477" min="10" max="10"/>
    <col width="25.36328125" customWidth="1" style="477" min="11" max="11"/>
    <col width="16.1796875" customWidth="1" style="477" min="12" max="12"/>
  </cols>
  <sheetData>
    <row r="1">
      <c r="M1" s="544" t="n"/>
      <c r="N1" s="544" t="n"/>
    </row>
    <row r="2">
      <c r="A2" s="551" t="inlineStr">
        <is>
          <t>Top Clamp Plate</t>
        </is>
      </c>
      <c r="C2" s="75">
        <f>SUM(L4:L19)</f>
        <v/>
      </c>
      <c r="D2" s="75" t="n"/>
      <c r="E2" s="75" t="n"/>
      <c r="M2" s="544" t="n"/>
      <c r="N2" s="618" t="n"/>
    </row>
    <row r="3" ht="16.5" customHeight="1" s="477">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53"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8" t="n"/>
    </row>
    <row r="22" ht="16.5" customHeight="1" s="477">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53"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7">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53"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7">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53"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7">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53"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7">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53"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7">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53"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7">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53"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7">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53"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7" min="1" max="1"/>
    <col width="14.453125" customWidth="1" style="477" min="2" max="2"/>
    <col width="10.90625" customWidth="1" style="477" min="3" max="3"/>
    <col width="12" customWidth="1" style="477" min="5" max="5"/>
    <col width="11.26953125" bestFit="1" customWidth="1" style="477" min="6" max="6"/>
    <col width="13.90625" customWidth="1" style="477" min="7" max="7"/>
    <col width="15.26953125" customWidth="1" style="477" min="8" max="8"/>
    <col width="10.6328125" customWidth="1" style="477" min="9" max="9"/>
    <col width="10.90625" customWidth="1" style="477" min="11" max="11"/>
  </cols>
  <sheetData>
    <row r="1">
      <c r="A1" s="6" t="inlineStr">
        <is>
          <t xml:space="preserve">TVSM MHR  cost Norms </t>
        </is>
      </c>
    </row>
    <row r="2" ht="29" customHeight="1" s="477">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7">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7">
      <c r="A8" s="15" t="n">
        <v>5</v>
      </c>
      <c r="B8" s="16" t="n">
        <v>180</v>
      </c>
      <c r="C8" s="17" t="n">
        <v>560</v>
      </c>
      <c r="D8" s="17" t="n"/>
      <c r="E8" s="19" t="inlineStr">
        <is>
          <t>Cost for Tonnage</t>
        </is>
      </c>
      <c r="F8" s="619">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7" min="1" max="1"/>
    <col width="27.08984375" customWidth="1" style="477"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2023-07-13T10:06:20Z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