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tables/table1.xml" ContentType="application/vnd.openxmlformats-officedocument.spreadsheetml.table+xml"/>
  <Override PartName="/xl/worksheets/sheet5.xml" ContentType="application/vnd.openxmlformats-officedocument.spreadsheetml.worksheet+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worksheets/sheet6.xml" ContentType="application/vnd.openxmlformats-officedocument.spreadsheetml.worksheet+xml"/>
  <Override PartName="/xl/drawings/drawing2.xml" ContentType="application/vnd.openxmlformats-officedocument.drawing+xml"/>
  <Override PartName="/xl/worksheets/sheet7.xml" ContentType="application/vnd.openxmlformats-officedocument.spreadsheetml.worksheet+xml"/>
  <Override PartName="/xl/drawings/drawing3.xml" ContentType="application/vnd.openxmlformats-officedocument.drawing+xml"/>
  <Override PartName="/xl/worksheets/sheet8.xml" ContentType="application/vnd.openxmlformats-officedocument.spreadsheetml.worksheet+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worksheets/sheet9.xml" ContentType="application/vnd.openxmlformats-officedocument.spreadsheetml.worksheet+xml"/>
  <Override PartName="/xl/tables/table8.xml" ContentType="application/vnd.openxmlformats-officedocument.spreadsheetml.table+xml"/>
  <Override PartName="/xl/tables/table9.xml" ContentType="application/vnd.openxmlformats-officedocument.spreadsheetml.table+xml"/>
  <Override PartName="/xl/worksheets/sheet10.xml" ContentType="application/vnd.openxmlformats-officedocument.spreadsheetml.worksheet+xml"/>
  <Override PartName="/xl/drawings/drawing4.xml" ContentType="application/vnd.openxmlformats-officedocument.drawing+xml"/>
  <Override PartName="/xl/worksheets/sheet11.xml" ContentType="application/vnd.openxmlformats-officedocument.spreadsheetml.worksheet+xml"/>
  <Override PartName="/xl/tables/table10.xml" ContentType="application/vnd.openxmlformats-officedocument.spreadsheetml.table+xml"/>
  <Override PartName="/xl/worksheets/sheet12.xml" ContentType="application/vnd.openxmlformats-officedocument.spreadsheetml.worksheet+xml"/>
  <Override PartName="/xl/worksheets/sheet13.xml" ContentType="application/vnd.openxmlformats-officedocument.spreadsheetml.worksheet+xml"/>
  <Override PartName="/xl/drawings/drawing5.xml" ContentType="application/vnd.openxmlformats-officedocument.drawing+xml"/>
  <Override PartName="/xl/worksheets/sheet14.xml" ContentType="application/vnd.openxmlformats-officedocument.spreadsheetml.worksheet+xml"/>
  <Override PartName="/xl/worksheets/sheet15.xml" ContentType="application/vnd.openxmlformats-officedocument.spreadsheetml.worksheet+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worksheets/sheet16.xml" ContentType="application/vnd.openxmlformats-officedocument.spreadsheetml.worksheet+xml"/>
  <Override PartName="/xl/tables/table20.xml" ContentType="application/vnd.openxmlformats-officedocument.spreadsheetml.table+xml"/>
  <Override PartName="/xl/worksheets/sheet1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0" yWindow="0" windowWidth="18530" windowHeight="6950" tabRatio="777" firstSheet="0" activeTab="0" autoFilterDateGrouping="1"/>
  </bookViews>
  <sheets>
    <sheet name="Website" sheetId="1" state="visible" r:id="rId1"/>
    <sheet name="Instructions" sheetId="2" state="visible" r:id="rId2"/>
    <sheet name="DASHBOARD" sheetId="3" state="visible" r:id="rId3"/>
    <sheet name="Sheet1" sheetId="4" state="visible" r:id="rId4"/>
    <sheet name="Mould Costing" sheetId="5" state="visible" r:id="rId5"/>
    <sheet name="Infographics" sheetId="6" state="visible" r:id="rId6"/>
    <sheet name="INJ. MOULDING ESTIMATION" sheetId="7" state="visible" r:id="rId7"/>
    <sheet name="Database" sheetId="8" state="visible" r:id="rId8"/>
    <sheet name="Input-Output" sheetId="9" state="visible" r:id="rId9"/>
    <sheet name="No of Cavity" sheetId="10" state="visible" r:id="rId10"/>
    <sheet name="COMPLEXITY" sheetId="11" state="visible" r:id="rId11"/>
    <sheet name="Guide Pillar" sheetId="12" state="visible" r:id="rId12"/>
    <sheet name="Mould Layout" sheetId="13" state="visible" r:id="rId13"/>
    <sheet name="Core &amp; Ejector Plate" sheetId="14" state="visible" r:id="rId14"/>
    <sheet name="Machining Time" sheetId="15" state="visible" r:id="rId15"/>
    <sheet name="Tonnage " sheetId="16" state="visible" r:id="rId16"/>
    <sheet name="Part Cost" sheetId="17" state="visible" r:id="rId17"/>
  </sheets>
  <definedNames>
    <definedName name="solver_eng" localSheetId="6" hidden="1">1</definedName>
    <definedName name="solver_lin" localSheetId="6" hidden="1">0</definedName>
    <definedName name="solver_neg" localSheetId="6" hidden="1">1</definedName>
    <definedName name="solver_num" localSheetId="6" hidden="1">0</definedName>
    <definedName name="solver_opt" localSheetId="6" hidden="1">'INJ. MOULDING ESTIMATION'!$I$12</definedName>
    <definedName name="solver_typ" localSheetId="6" hidden="1">1</definedName>
    <definedName name="solver_val" localSheetId="6" hidden="1">0</definedName>
    <definedName name="solver_ver" localSheetId="6" hidden="1">3</definedName>
    <definedName name="solver_adj" localSheetId="8" hidden="1">'Input-Output'!$B$11</definedName>
    <definedName name="solver_cvg" localSheetId="8" hidden="1">0.0001</definedName>
    <definedName name="solver_drv" localSheetId="8" hidden="1">1</definedName>
    <definedName name="solver_eng" localSheetId="8" hidden="1">1</definedName>
    <definedName name="solver_est" localSheetId="8" hidden="1">1</definedName>
    <definedName name="solver_itr" localSheetId="8" hidden="1">2147483647</definedName>
    <definedName name="solver_lhs1" localSheetId="8" hidden="1">'Input-Output'!$B$11</definedName>
    <definedName name="solver_lhs2" localSheetId="8" hidden="1">'Input-Output'!$E$22</definedName>
    <definedName name="solver_mip" localSheetId="8" hidden="1">2147483647</definedName>
    <definedName name="solver_mni" localSheetId="8" hidden="1">30</definedName>
    <definedName name="solver_mrt" localSheetId="8" hidden="1">0.075</definedName>
    <definedName name="solver_msl" localSheetId="8" hidden="1">2</definedName>
    <definedName name="solver_neg" localSheetId="8" hidden="1">1</definedName>
    <definedName name="solver_nod" localSheetId="8" hidden="1">2147483647</definedName>
    <definedName name="solver_num" localSheetId="8" hidden="1">2</definedName>
    <definedName name="solver_nwt" localSheetId="8" hidden="1">1</definedName>
    <definedName name="solver_opt" localSheetId="8" hidden="1">'Input-Output'!$E$22</definedName>
    <definedName name="solver_pre" localSheetId="8" hidden="1">0.000001</definedName>
    <definedName name="solver_rbv" localSheetId="8" hidden="1">1</definedName>
    <definedName name="solver_rel1" localSheetId="8" hidden="1">4</definedName>
    <definedName name="solver_rel2" localSheetId="8" hidden="1">1</definedName>
    <definedName name="solver_rhs1" localSheetId="8" hidden="1">"integer"</definedName>
    <definedName name="solver_rhs2" localSheetId="8" hidden="1">'Input-Output'!$E$20</definedName>
    <definedName name="solver_rlx" localSheetId="8" hidden="1">2</definedName>
    <definedName name="solver_rsd" localSheetId="8" hidden="1">0</definedName>
    <definedName name="solver_scl" localSheetId="8" hidden="1">1</definedName>
    <definedName name="solver_sho" localSheetId="8" hidden="1">2</definedName>
    <definedName name="solver_ssz" localSheetId="8" hidden="1">100</definedName>
    <definedName name="solver_tim" localSheetId="8" hidden="1">2147483647</definedName>
    <definedName name="solver_tol" localSheetId="8" hidden="1">0.01</definedName>
    <definedName name="solver_typ" localSheetId="8" hidden="1">1</definedName>
    <definedName name="solver_val" localSheetId="8" hidden="1">0</definedName>
    <definedName name="solver_ver" localSheetId="8" hidden="1">3</definedName>
    <definedName name="solver_eng" localSheetId="16" hidden="1">2</definedName>
    <definedName name="solver_neg" localSheetId="16" hidden="1">1</definedName>
    <definedName name="solver_num" localSheetId="16" hidden="1">0</definedName>
    <definedName name="solver_opt" localSheetId="16" hidden="1">'Part Cost'!$B$15</definedName>
    <definedName name="solver_typ" localSheetId="16" hidden="1">2</definedName>
    <definedName name="solver_val" localSheetId="16" hidden="1">0</definedName>
    <definedName name="solver_ver" localSheetId="16" hidden="1">3</definedName>
  </definedNames>
  <calcPr calcId="162913" fullCalcOnLoad="1"/>
</workbook>
</file>

<file path=xl/styles.xml><?xml version="1.0" encoding="utf-8"?>
<styleSheet xmlns="http://schemas.openxmlformats.org/spreadsheetml/2006/main">
  <numFmts count="14">
    <numFmt numFmtId="164" formatCode="0_ "/>
    <numFmt numFmtId="165" formatCode="_ &quot;₹&quot;\ * #,##0_ ;_ &quot;₹&quot;\ * \-#,##0_ ;_ &quot;₹&quot;\ * &quot;-&quot;??_ ;_ @_ "/>
    <numFmt numFmtId="166" formatCode="dd/mm/yyyy\,hh:mm:ss"/>
    <numFmt numFmtId="167" formatCode="_(* #,##0.0_);_(* \(#,##0.0\);_(* &quot;-&quot;??_);_(@_)"/>
    <numFmt numFmtId="168" formatCode="_(* #,##0_);_(* \(#,##0\);_(* &quot;-&quot;??_);_(@_)"/>
    <numFmt numFmtId="169" formatCode="_ * #,##0.00_ ;_ * \-#,##0.00_ ;_ * &quot;-&quot;??_ ;_ @_ "/>
    <numFmt numFmtId="170" formatCode="0.0%"/>
    <numFmt numFmtId="171" formatCode="0.000%"/>
    <numFmt numFmtId="172" formatCode="_ &quot;₹&quot;\ * #,##0.00_ ;_ &quot;₹&quot;\ * \-#,##0.00_ ;_ &quot;₹&quot;\ * &quot;-&quot;??_ ;_ @_ "/>
    <numFmt numFmtId="173" formatCode="_ [$₹-4009]\ * #,##0_ ;_ [$₹-4009]\ * \-#,##0_ ;_ [$₹-4009]\ * &quot;-&quot;??_ ;_ @_ "/>
    <numFmt numFmtId="174" formatCode="0.0"/>
    <numFmt numFmtId="175" formatCode="0.000"/>
    <numFmt numFmtId="176" formatCode="dd/mm/yyyy\ hh:mm:ss"/>
    <numFmt numFmtId="177" formatCode="dd/mm/yy\,hh:mm:ss"/>
  </numFmts>
  <fonts count="56">
    <font>
      <name val="Calibri"/>
      <charset val="134"/>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Arial"/>
      <family val="2"/>
      <sz val="10"/>
    </font>
    <font>
      <name val="Calibri"/>
      <family val="2"/>
      <b val="1"/>
      <color rgb="FF0000CC"/>
      <sz val="11"/>
      <scheme val="minor"/>
    </font>
    <font>
      <name val="Calibri"/>
      <family val="2"/>
      <b val="1"/>
      <color rgb="FF000000"/>
      <sz val="11"/>
      <scheme val="minor"/>
    </font>
    <font>
      <name val="Calibri"/>
      <family val="2"/>
      <color rgb="FF000000"/>
      <sz val="11"/>
      <scheme val="minor"/>
    </font>
    <font>
      <name val="Calibri"/>
      <family val="2"/>
      <b val="1"/>
      <color rgb="FF002060"/>
      <sz val="11"/>
      <scheme val="minor"/>
    </font>
    <font>
      <name val="Calibri"/>
      <family val="2"/>
      <b val="1"/>
      <color rgb="FF3F3F3F"/>
      <sz val="11"/>
      <scheme val="minor"/>
    </font>
    <font>
      <name val="Calibri"/>
      <family val="2"/>
      <color theme="1"/>
      <sz val="18"/>
      <scheme val="minor"/>
    </font>
    <font>
      <name val="Calibri"/>
      <family val="2"/>
      <b val="1"/>
      <color theme="1"/>
      <sz val="14"/>
      <scheme val="minor"/>
    </font>
    <font>
      <name val="Calibri"/>
      <family val="2"/>
      <b val="1"/>
      <color theme="1"/>
      <sz val="11"/>
      <scheme val="minor"/>
    </font>
    <font>
      <name val="Arial"/>
      <family val="2"/>
      <color theme="0"/>
      <sz val="10"/>
    </font>
    <font>
      <name val="Calibri"/>
      <family val="2"/>
      <color theme="0"/>
      <sz val="11"/>
      <scheme val="minor"/>
    </font>
    <font>
      <name val="Calibri"/>
      <family val="2"/>
      <sz val="11"/>
      <scheme val="minor"/>
    </font>
    <font>
      <name val="Calibri"/>
      <family val="2"/>
      <color theme="1"/>
      <sz val="14"/>
      <scheme val="minor"/>
    </font>
    <font>
      <name val="Calibri"/>
      <family val="2"/>
      <b val="1"/>
      <sz val="11"/>
      <scheme val="minor"/>
    </font>
    <font>
      <name val="Calibri"/>
      <family val="2"/>
      <color theme="1"/>
      <sz val="11"/>
    </font>
    <font>
      <name val="Calibri"/>
      <family val="2"/>
      <color indexed="8"/>
      <sz val="11"/>
    </font>
    <font>
      <name val="Calibri"/>
      <family val="2"/>
      <b val="1"/>
      <color theme="1"/>
      <sz val="11"/>
      <u val="single"/>
      <scheme val="minor"/>
    </font>
    <font>
      <name val="Calibri"/>
      <family val="2"/>
      <color rgb="FFFF0000"/>
      <sz val="11"/>
      <scheme val="minor"/>
    </font>
    <font>
      <name val="Calibri"/>
      <family val="2"/>
      <color theme="1"/>
      <sz val="20"/>
    </font>
    <font>
      <name val="Calibri"/>
      <family val="2"/>
      <color rgb="FF2F2E2E"/>
      <sz val="11"/>
      <scheme val="minor"/>
    </font>
    <font>
      <name val="Calibri"/>
      <family val="2"/>
      <b val="1"/>
      <color rgb="FF333333"/>
      <sz val="11"/>
      <scheme val="minor"/>
    </font>
    <font>
      <name val="Calibri"/>
      <family val="2"/>
      <color rgb="FF333333"/>
      <sz val="11"/>
      <scheme val="minor"/>
    </font>
    <font>
      <name val="Calibri"/>
      <family val="2"/>
      <b val="1"/>
      <color theme="0"/>
      <sz val="18"/>
      <scheme val="minor"/>
    </font>
    <font>
      <name val="Arial"/>
      <family val="2"/>
      <color theme="1"/>
      <sz val="9"/>
    </font>
    <font>
      <name val="Arial"/>
      <family val="2"/>
      <color theme="1"/>
      <sz val="11"/>
    </font>
    <font>
      <name val="Calibri"/>
      <family val="2"/>
      <color theme="7" tint="-0.249977111117893"/>
      <sz val="11"/>
      <scheme val="minor"/>
    </font>
    <font>
      <name val="Calibri"/>
      <family val="2"/>
      <color rgb="FF0070C0"/>
      <sz val="11"/>
      <scheme val="minor"/>
    </font>
    <font>
      <name val="Calibri"/>
      <family val="2"/>
      <color theme="1"/>
      <sz val="20"/>
      <scheme val="minor"/>
    </font>
    <font>
      <name val="Calibri"/>
      <family val="2"/>
      <b val="1"/>
      <color theme="1"/>
      <sz val="16"/>
    </font>
    <font>
      <name val="Calibri"/>
      <family val="2"/>
      <b val="1"/>
      <color theme="1"/>
      <sz val="11"/>
    </font>
    <font>
      <name val="Calibri"/>
      <family val="2"/>
      <color theme="1"/>
      <sz val="11"/>
    </font>
    <font>
      <name val="Symbol"/>
      <charset val="2"/>
      <family val="1"/>
      <b val="1"/>
      <color theme="1"/>
      <sz val="11"/>
    </font>
    <font>
      <name val="Calibri"/>
      <family val="2"/>
      <color theme="1"/>
      <sz val="11"/>
      <scheme val="minor"/>
    </font>
    <font>
      <name val="Symbol"/>
      <charset val="2"/>
      <family val="1"/>
      <color theme="1"/>
      <sz val="11"/>
    </font>
    <font>
      <name val="Calibri"/>
      <family val="2"/>
      <color theme="0"/>
      <sz val="14"/>
      <scheme val="minor"/>
    </font>
    <font>
      <name val="Calibri"/>
      <family val="2"/>
      <b val="1"/>
      <color rgb="FFFF0000"/>
      <sz val="11"/>
      <scheme val="minor"/>
    </font>
    <font>
      <name val="Ebrima"/>
      <b val="1"/>
      <sz val="36"/>
    </font>
    <font>
      <name val="Ebrima"/>
      <sz val="24"/>
    </font>
    <font>
      <name val="Ebrima"/>
      <b val="1"/>
      <sz val="24"/>
    </font>
    <font>
      <name val="Arial"/>
      <family val="2"/>
      <color rgb="FF000000"/>
      <sz val="22"/>
    </font>
    <font>
      <name val="Ebrima"/>
      <b val="1"/>
      <color rgb="FFFF0000"/>
      <sz val="24"/>
    </font>
    <font>
      <name val="Ebrima"/>
      <b val="1"/>
      <sz val="28"/>
    </font>
    <font>
      <name val="Ebrima"/>
      <color rgb="FFFF0000"/>
      <sz val="24"/>
    </font>
    <font>
      <name val="Ebrima"/>
      <b val="1"/>
      <sz val="48"/>
    </font>
    <font>
      <name val="Calibri"/>
      <family val="2"/>
      <color theme="1"/>
      <sz val="26"/>
      <scheme val="minor"/>
    </font>
  </fonts>
  <fills count="38">
    <fill>
      <patternFill/>
    </fill>
    <fill>
      <patternFill patternType="gray125"/>
    </fill>
    <fill>
      <patternFill patternType="solid">
        <fgColor theme="9" tint="0.7999511703848384"/>
        <bgColor indexed="64"/>
      </patternFill>
    </fill>
    <fill>
      <patternFill patternType="solid">
        <fgColor theme="5" tint="0.5999938962981048"/>
        <bgColor rgb="FF000000"/>
      </patternFill>
    </fill>
    <fill>
      <patternFill patternType="solid">
        <fgColor theme="9" tint="0.5999938962981048"/>
        <bgColor indexed="64"/>
      </patternFill>
    </fill>
    <fill>
      <patternFill patternType="solid">
        <fgColor theme="5" tint="0.5999938962981048"/>
        <bgColor indexed="64"/>
      </patternFill>
    </fill>
    <fill>
      <patternFill patternType="solid">
        <fgColor theme="5" tint="0.7999511703848384"/>
        <bgColor indexed="64"/>
      </patternFill>
    </fill>
    <fill>
      <patternFill patternType="solid">
        <fgColor theme="0"/>
        <bgColor indexed="64"/>
      </patternFill>
    </fill>
    <fill>
      <patternFill patternType="solid">
        <fgColor rgb="FFF2F2F2"/>
        <bgColor indexed="64"/>
      </patternFill>
    </fill>
    <fill>
      <patternFill patternType="solid">
        <fgColor rgb="FFFF0000"/>
        <bgColor indexed="64"/>
      </patternFill>
    </fill>
    <fill>
      <patternFill patternType="solid">
        <fgColor theme="2"/>
        <bgColor indexed="64"/>
      </patternFill>
    </fill>
    <fill>
      <patternFill patternType="solid">
        <fgColor theme="2" tint="-0.249977111117893"/>
        <bgColor indexed="64"/>
      </patternFill>
    </fill>
    <fill>
      <patternFill patternType="solid">
        <fgColor indexed="9"/>
        <bgColor indexed="64"/>
      </patternFill>
    </fill>
    <fill>
      <patternFill patternType="solid">
        <fgColor theme="2" tint="-0.09997863704336681"/>
        <bgColor indexed="64"/>
      </patternFill>
    </fill>
    <fill>
      <patternFill patternType="solid">
        <fgColor rgb="FF92D050"/>
        <bgColor indexed="64"/>
      </patternFill>
    </fill>
    <fill>
      <patternFill patternType="solid">
        <fgColor theme="4" tint="0.7999816888943144"/>
        <bgColor indexed="64"/>
      </patternFill>
    </fill>
    <fill>
      <patternFill patternType="solid">
        <fgColor theme="9" tint="0.3999450666829432"/>
        <bgColor indexed="64"/>
      </patternFill>
    </fill>
    <fill>
      <patternFill patternType="solid">
        <fgColor rgb="FFFFFF00"/>
        <bgColor indexed="64"/>
      </patternFill>
    </fill>
    <fill>
      <patternFill patternType="solid">
        <fgColor theme="0" tint="-0.1498764000366222"/>
        <bgColor indexed="64"/>
      </patternFill>
    </fill>
    <fill>
      <patternFill patternType="solid">
        <fgColor theme="2" tint="-0.499984740745262"/>
        <bgColor indexed="64"/>
      </patternFill>
    </fill>
    <fill>
      <patternFill patternType="solid">
        <fgColor theme="7" tint="0.5999938962981048"/>
        <bgColor indexed="64"/>
      </patternFill>
    </fill>
    <fill>
      <patternFill patternType="solid">
        <fgColor theme="7" tint="0.5999938962981048"/>
        <bgColor theme="6"/>
      </patternFill>
    </fill>
    <fill>
      <patternFill patternType="solid">
        <fgColor theme="7" tint="0.5999938962981048"/>
        <bgColor theme="6" tint="0.7999511703848384"/>
      </patternFill>
    </fill>
    <fill>
      <patternFill patternType="solid">
        <fgColor theme="4" tint="0.7999511703848384"/>
        <bgColor indexed="64"/>
      </patternFill>
    </fill>
    <fill>
      <patternFill patternType="solid">
        <fgColor theme="4" tint="0.5999938962981048"/>
        <bgColor indexed="64"/>
      </patternFill>
    </fill>
    <fill>
      <patternFill patternType="solid">
        <fgColor theme="8" tint="0.5999938962981048"/>
        <bgColor indexed="64"/>
      </patternFill>
    </fill>
    <fill>
      <patternFill patternType="solid">
        <fgColor rgb="FFFFFFFF"/>
        <bgColor indexed="64"/>
      </patternFill>
    </fill>
    <fill>
      <patternFill patternType="solid">
        <fgColor theme="8" tint="0.3999450666829432"/>
        <bgColor indexed="64"/>
      </patternFill>
    </fill>
    <fill>
      <patternFill patternType="solid">
        <fgColor theme="0" tint="-0.0499893185216834"/>
        <bgColor indexed="64"/>
      </patternFill>
    </fill>
    <fill>
      <patternFill patternType="solid">
        <fgColor theme="7" tint="0.7999511703848384"/>
        <bgColor indexed="64"/>
      </patternFill>
    </fill>
    <fill>
      <patternFill patternType="solid">
        <fgColor theme="9" tint="-0.249977111117893"/>
        <bgColor indexed="64"/>
      </patternFill>
    </fill>
    <fill>
      <patternFill patternType="solid">
        <fgColor theme="0" tint="-0.249977111117893"/>
        <bgColor indexed="64"/>
      </patternFill>
    </fill>
    <fill>
      <patternFill patternType="solid">
        <fgColor theme="5" tint="0.5999938962981048"/>
        <bgColor indexed="64"/>
      </patternFill>
    </fill>
    <fill>
      <patternFill patternType="solid">
        <fgColor theme="9"/>
        <bgColor indexed="64"/>
      </patternFill>
    </fill>
    <fill>
      <patternFill patternType="solid">
        <fgColor theme="7" tint="0.3999755851924192"/>
        <bgColor indexed="64"/>
      </patternFill>
    </fill>
    <fill>
      <patternFill patternType="solid">
        <fgColor theme="1"/>
        <bgColor indexed="64"/>
      </patternFill>
    </fill>
    <fill>
      <patternFill patternType="solid">
        <fgColor theme="9" tint="0.7999816888943144"/>
        <bgColor indexed="64"/>
      </patternFill>
    </fill>
    <fill>
      <patternFill patternType="solid">
        <fgColor theme="9" tint="0.3999755851924192"/>
        <bgColor indexed="64"/>
      </patternFill>
    </fill>
  </fills>
  <borders count="10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style="thin">
        <color auto="1"/>
      </left>
      <right/>
      <top/>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top/>
      <bottom style="thin">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right/>
      <top style="thin">
        <color theme="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bottom style="medium">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right style="medium">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medium">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right style="medium">
        <color indexed="64"/>
      </right>
      <top style="thin">
        <color auto="1"/>
      </top>
      <bottom style="thin">
        <color auto="1"/>
      </bottom>
      <diagonal/>
    </border>
    <border>
      <left/>
      <right style="medium">
        <color indexed="64"/>
      </right>
      <top/>
      <bottom style="thin">
        <color auto="1"/>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medium">
        <color indexed="64"/>
      </bottom>
      <diagonal/>
    </border>
    <border>
      <left/>
      <right style="thin">
        <color auto="1"/>
      </right>
      <top style="medium">
        <color auto="1"/>
      </top>
      <bottom style="medium">
        <color auto="1"/>
      </bottom>
      <diagonal/>
    </border>
    <border>
      <left style="medium">
        <color indexed="64"/>
      </left>
      <right style="medium">
        <color indexed="64"/>
      </right>
      <top style="thin">
        <color auto="1"/>
      </top>
      <bottom style="medium">
        <color indexed="64"/>
      </bottom>
      <diagonal/>
    </border>
    <border>
      <left style="medium">
        <color auto="1"/>
      </left>
      <right style="medium">
        <color auto="1"/>
      </right>
      <top/>
      <bottom style="thin">
        <color auto="1"/>
      </bottom>
      <diagonal/>
    </border>
    <border>
      <left style="medium">
        <color indexed="64"/>
      </left>
      <right style="medium">
        <color indexed="64"/>
      </right>
      <top style="medium">
        <color indexed="64"/>
      </top>
      <bottom/>
      <diagonal/>
    </border>
    <border>
      <left/>
      <right style="thin">
        <color auto="1"/>
      </right>
      <top style="medium">
        <color auto="1"/>
      </top>
      <bottom/>
      <diagonal/>
    </border>
    <border>
      <left/>
      <right style="thin">
        <color auto="1"/>
      </right>
      <top/>
      <bottom/>
      <diagonal/>
    </border>
    <border>
      <left style="thin">
        <color indexed="64"/>
      </left>
      <right style="thin">
        <color indexed="64"/>
      </right>
      <top style="medium">
        <color indexed="64"/>
      </top>
      <bottom style="thin">
        <color indexed="64"/>
      </bottom>
      <diagonal/>
    </border>
    <border>
      <left style="medium">
        <color indexed="64"/>
      </left>
      <right style="thin">
        <color auto="1"/>
      </right>
      <top style="medium">
        <color indexed="64"/>
      </top>
      <bottom style="medium">
        <color indexed="64"/>
      </bottom>
      <diagonal/>
    </border>
    <border>
      <left/>
      <right style="thin">
        <color auto="1"/>
      </right>
      <top style="medium">
        <color indexed="64"/>
      </top>
      <bottom style="medium">
        <color indexed="64"/>
      </bottom>
      <diagonal/>
    </border>
    <border>
      <left style="thin">
        <color auto="1"/>
      </left>
      <right style="thin">
        <color auto="1"/>
      </right>
      <top/>
      <bottom/>
      <diagonal/>
    </border>
    <border>
      <left/>
      <right style="medium">
        <color auto="1"/>
      </right>
      <top style="medium">
        <color auto="1"/>
      </top>
      <bottom style="medium">
        <color auto="1"/>
      </bottom>
      <diagonal/>
    </border>
    <border>
      <left style="medium">
        <color auto="1"/>
      </left>
      <right/>
      <top/>
      <bottom style="thin">
        <color auto="1"/>
      </bottom>
      <diagonal/>
    </border>
    <border>
      <left style="medium">
        <color auto="1"/>
      </left>
      <right style="thin">
        <color auto="1"/>
      </right>
      <top/>
      <bottom/>
      <diagonal/>
    </border>
    <border>
      <left style="thin">
        <color indexed="64"/>
      </left>
      <right style="thin">
        <color indexed="64"/>
      </right>
      <top style="medium">
        <color indexed="64"/>
      </top>
      <bottom style="medium">
        <color auto="1"/>
      </bottom>
      <diagonal/>
    </border>
    <border>
      <left style="thin">
        <color indexed="64"/>
      </left>
      <right style="thin">
        <color indexed="64"/>
      </right>
      <top/>
      <bottom style="medium">
        <color auto="1"/>
      </bottom>
      <diagonal/>
    </border>
    <border>
      <left style="thin">
        <color indexed="64"/>
      </left>
      <right/>
      <top/>
      <bottom style="thin">
        <color indexed="64"/>
      </bottom>
      <diagonal/>
    </border>
    <border>
      <left style="medium">
        <color auto="1"/>
      </left>
      <right style="medium">
        <color auto="1"/>
      </right>
      <top style="medium">
        <color auto="1"/>
      </top>
      <bottom style="medium">
        <color auto="1"/>
      </bottom>
      <diagonal/>
    </border>
    <border>
      <left style="medium">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style="thin">
        <color auto="1"/>
      </left>
      <right/>
      <top/>
      <bottom style="medium">
        <color auto="1"/>
      </bottom>
      <diagonal/>
    </border>
    <border>
      <left style="medium">
        <color auto="1"/>
      </left>
      <right/>
      <top style="medium">
        <color auto="1"/>
      </top>
      <bottom style="medium">
        <color auto="1"/>
      </bottom>
      <diagonal/>
    </border>
    <border>
      <left style="medium">
        <color auto="1"/>
      </left>
      <right style="medium">
        <color auto="1"/>
      </right>
      <top/>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bottom style="thin">
        <color auto="1"/>
      </bottom>
      <diagonal/>
    </border>
    <border>
      <left/>
      <right/>
      <top style="thin">
        <color rgb="FF3F3F3F"/>
      </top>
      <bottom style="thin">
        <color rgb="FF3F3F3F"/>
      </bottom>
      <diagonal/>
    </border>
    <border>
      <left/>
      <right style="thin">
        <color rgb="FF3F3F3F"/>
      </right>
      <top style="thin">
        <color rgb="FF3F3F3F"/>
      </top>
      <bottom style="thin">
        <color rgb="FF3F3F3F"/>
      </bottom>
      <diagonal/>
    </border>
    <border>
      <left style="thin">
        <color auto="1"/>
      </left>
      <right/>
      <top style="medium">
        <color auto="1"/>
      </top>
      <bottom style="thin">
        <color indexed="64"/>
      </bottom>
      <diagonal/>
    </border>
    <border>
      <left style="thin">
        <color auto="1"/>
      </left>
      <right/>
      <top/>
      <bottom style="thin">
        <color indexed="64"/>
      </bottom>
      <diagonal/>
    </border>
    <border>
      <left/>
      <right style="thin">
        <color auto="1"/>
      </right>
      <top style="medium">
        <color indexed="64"/>
      </top>
      <bottom style="thin">
        <color auto="1"/>
      </bottom>
      <diagonal/>
    </border>
    <border>
      <left style="medium">
        <color auto="1"/>
      </left>
      <right style="thin">
        <color indexed="64"/>
      </right>
      <top style="medium">
        <color auto="1"/>
      </top>
      <bottom style="medium">
        <color indexed="64"/>
      </bottom>
      <diagonal/>
    </border>
    <border>
      <left/>
      <right style="thin">
        <color indexed="64"/>
      </right>
      <top style="medium">
        <color auto="1"/>
      </top>
      <bottom/>
      <diagonal/>
    </border>
    <border>
      <left style="medium">
        <color auto="1"/>
      </left>
      <right/>
      <top/>
      <bottom style="medium">
        <color indexed="64"/>
      </bottom>
      <diagonal/>
    </border>
    <border>
      <left style="thin">
        <color indexed="64"/>
      </left>
      <right/>
      <top/>
      <bottom/>
      <diagonal/>
    </border>
    <border>
      <left style="thin">
        <color indexed="64"/>
      </left>
      <right style="thin">
        <color indexed="64"/>
      </right>
      <top/>
      <bottom/>
      <diagonal/>
    </border>
    <border>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top/>
      <bottom/>
      <diagonal/>
    </border>
    <border>
      <left/>
      <right style="thin">
        <color indexed="64"/>
      </right>
      <top/>
      <bottom/>
      <diagonal/>
    </border>
    <border>
      <left/>
      <right style="thin">
        <color auto="1"/>
      </right>
      <top style="medium">
        <color indexed="64"/>
      </top>
      <bottom/>
      <diagonal/>
    </border>
    <border>
      <left/>
      <right style="medium">
        <color indexed="64"/>
      </right>
      <top/>
      <bottom/>
      <diagonal/>
    </border>
    <border>
      <left/>
      <right style="medium">
        <color indexed="64"/>
      </right>
      <top style="thin">
        <color auto="1"/>
      </top>
      <bottom/>
      <diagonal/>
    </border>
    <border>
      <left/>
      <right/>
      <top style="thin">
        <color rgb="FF3F3F3F"/>
      </top>
      <bottom/>
      <diagonal/>
    </border>
    <border>
      <left/>
      <right style="thin">
        <color rgb="FF3F3F3F"/>
      </right>
      <top style="thin">
        <color rgb="FF3F3F3F"/>
      </top>
      <bottom/>
      <diagonal/>
    </border>
  </borders>
  <cellStyleXfs count="10">
    <xf numFmtId="0" fontId="0" fillId="0" borderId="0"/>
    <xf numFmtId="43" fontId="43" fillId="0" borderId="0"/>
    <xf numFmtId="44" fontId="43" fillId="0" borderId="0"/>
    <xf numFmtId="9" fontId="43" fillId="0" borderId="0"/>
    <xf numFmtId="0" fontId="43" fillId="32" borderId="0"/>
    <xf numFmtId="0" fontId="16" fillId="8" borderId="4"/>
    <xf numFmtId="0" fontId="11" fillId="0" borderId="0"/>
    <xf numFmtId="0" fontId="43" fillId="29" borderId="0"/>
    <xf numFmtId="43" fontId="43" fillId="0" borderId="0"/>
    <xf numFmtId="43" fontId="11" fillId="0" borderId="0"/>
  </cellStyleXfs>
  <cellXfs count="639">
    <xf numFmtId="0" fontId="0" fillId="0" borderId="0" pivotButton="0" quotePrefix="0" xfId="0"/>
    <xf numFmtId="0" fontId="11" fillId="0" borderId="1" pivotButton="0" quotePrefix="0" xfId="0"/>
    <xf numFmtId="0" fontId="11" fillId="0" borderId="1" applyAlignment="1" pivotButton="0" quotePrefix="0" xfId="0">
      <alignment horizontal="center"/>
    </xf>
    <xf numFmtId="2" fontId="11" fillId="0" borderId="1" pivotButton="0" quotePrefix="0" xfId="0"/>
    <xf numFmtId="0" fontId="11" fillId="2" borderId="1" pivotButton="0" quotePrefix="0" xfId="0"/>
    <xf numFmtId="0" fontId="0" fillId="2" borderId="1" pivotButton="0" quotePrefix="0" xfId="0"/>
    <xf numFmtId="0" fontId="12" fillId="0" borderId="0" applyAlignment="1" pivotButton="0" quotePrefix="0" xfId="0">
      <alignment horizontal="left"/>
    </xf>
    <xf numFmtId="0" fontId="13" fillId="3" borderId="2" applyAlignment="1" pivotButton="0" quotePrefix="0" xfId="0">
      <alignment horizontal="center" vertical="center" wrapText="1"/>
    </xf>
    <xf numFmtId="0" fontId="14" fillId="0" borderId="0" pivotButton="0" quotePrefix="0" xfId="0"/>
    <xf numFmtId="0" fontId="0" fillId="4" borderId="1" applyAlignment="1" pivotButton="0" quotePrefix="0" xfId="0">
      <alignment horizontal="center" vertical="center"/>
    </xf>
    <xf numFmtId="0" fontId="0" fillId="5" borderId="1" applyAlignment="1" pivotButton="0" quotePrefix="0" xfId="4">
      <alignment horizontal="center" vertical="center"/>
    </xf>
    <xf numFmtId="0" fontId="43" fillId="5" borderId="1" applyAlignment="1" pivotButton="0" quotePrefix="0" xfId="4">
      <alignment horizontal="center" vertical="center"/>
    </xf>
    <xf numFmtId="0" fontId="0" fillId="5" borderId="1" applyAlignment="1" pivotButton="0" quotePrefix="0" xfId="4">
      <alignment horizontal="center" vertical="center" wrapText="1"/>
    </xf>
    <xf numFmtId="0" fontId="13" fillId="3" borderId="3" applyAlignment="1" pivotButton="0" quotePrefix="0" xfId="0">
      <alignment horizontal="center" vertical="center" wrapText="1"/>
    </xf>
    <xf numFmtId="0" fontId="43" fillId="6" borderId="1" applyAlignment="1" pivotButton="0" quotePrefix="0" xfId="4">
      <alignment horizontal="center" vertical="center"/>
    </xf>
    <xf numFmtId="0" fontId="14" fillId="7" borderId="1" applyAlignment="1" pivotButton="0" quotePrefix="0" xfId="0">
      <alignment horizontal="center"/>
    </xf>
    <xf numFmtId="0" fontId="13" fillId="7" borderId="1" applyAlignment="1" pivotButton="0" quotePrefix="0" xfId="0">
      <alignment horizontal="center"/>
    </xf>
    <xf numFmtId="0" fontId="15" fillId="7" borderId="1" pivotButton="0" quotePrefix="0" xfId="0"/>
    <xf numFmtId="0" fontId="16" fillId="8" borderId="4" pivotButton="0" quotePrefix="0" xfId="5"/>
    <xf numFmtId="0" fontId="16" fillId="8" borderId="4" applyAlignment="1" pivotButton="0" quotePrefix="0" xfId="5">
      <alignment wrapText="1"/>
    </xf>
    <xf numFmtId="4" fontId="15" fillId="7" borderId="1" pivotButton="0" quotePrefix="0" xfId="0"/>
    <xf numFmtId="0" fontId="43" fillId="5" borderId="1" applyAlignment="1" pivotButton="0" quotePrefix="0" xfId="4">
      <alignment horizontal="center" vertical="center" wrapText="1"/>
    </xf>
    <xf numFmtId="2" fontId="0" fillId="0" borderId="0" pivotButton="0" quotePrefix="0" xfId="0"/>
    <xf numFmtId="0" fontId="0" fillId="0" borderId="0" applyAlignment="1" pivotButton="0" quotePrefix="0" xfId="0">
      <alignment horizontal="left"/>
    </xf>
    <xf numFmtId="0" fontId="19" fillId="0" borderId="6" applyAlignment="1" pivotButton="0" quotePrefix="0" xfId="0">
      <alignment vertical="center"/>
    </xf>
    <xf numFmtId="0" fontId="20" fillId="11" borderId="3" applyAlignment="1" applyProtection="1" pivotButton="0" quotePrefix="0" xfId="0">
      <alignment vertical="center"/>
      <protection locked="0" hidden="0"/>
    </xf>
    <xf numFmtId="0" fontId="19" fillId="0" borderId="3" applyAlignment="1" pivotButton="0" quotePrefix="0" xfId="0">
      <alignment horizontal="center" vertical="center"/>
    </xf>
    <xf numFmtId="0" fontId="19" fillId="0" borderId="3" applyAlignment="1" pivotButton="0" quotePrefix="0" xfId="0">
      <alignment horizontal="center" vertical="center" wrapText="1"/>
    </xf>
    <xf numFmtId="0" fontId="0" fillId="0" borderId="7" applyAlignment="1" pivotButton="0" quotePrefix="0" xfId="0">
      <alignment vertical="center" wrapText="1"/>
    </xf>
    <xf numFmtId="0" fontId="11" fillId="12" borderId="1" applyAlignment="1" applyProtection="1" pivotButton="0" quotePrefix="0" xfId="0">
      <alignment wrapText="1"/>
      <protection locked="0" hidden="0"/>
    </xf>
    <xf numFmtId="0" fontId="11" fillId="12" borderId="1" applyProtection="1" pivotButton="0" quotePrefix="0" xfId="0">
      <protection locked="0" hidden="0"/>
    </xf>
    <xf numFmtId="1" fontId="0" fillId="0" borderId="1" applyAlignment="1" pivotButton="0" quotePrefix="0" xfId="0">
      <alignment horizontal="center" vertical="center"/>
    </xf>
    <xf numFmtId="2" fontId="0" fillId="0" borderId="1" applyAlignment="1" pivotButton="0" quotePrefix="0" xfId="0">
      <alignment horizontal="center" vertical="center"/>
    </xf>
    <xf numFmtId="0" fontId="0" fillId="9" borderId="7" applyAlignment="1" pivotButton="0" quotePrefix="0" xfId="0">
      <alignment vertical="center" wrapText="1"/>
    </xf>
    <xf numFmtId="0" fontId="11" fillId="9" borderId="1" applyAlignment="1" applyProtection="1" pivotButton="0" quotePrefix="0" xfId="0">
      <alignment wrapText="1"/>
      <protection locked="0" hidden="0"/>
    </xf>
    <xf numFmtId="0" fontId="11" fillId="9" borderId="1" applyProtection="1" pivotButton="0" quotePrefix="0" xfId="0">
      <protection locked="0" hidden="0"/>
    </xf>
    <xf numFmtId="0" fontId="0" fillId="9" borderId="1" applyAlignment="1" pivotButton="0" quotePrefix="0" xfId="0">
      <alignment horizontal="center" vertical="center"/>
    </xf>
    <xf numFmtId="2" fontId="0" fillId="9" borderId="1" applyAlignment="1" pivotButton="0" quotePrefix="0" xfId="0">
      <alignment horizontal="center" vertical="center"/>
    </xf>
    <xf numFmtId="0" fontId="0" fillId="2" borderId="1" applyAlignment="1" pivotButton="0" quotePrefix="0" xfId="0">
      <alignment vertical="center" wrapText="1"/>
    </xf>
    <xf numFmtId="1" fontId="0" fillId="2" borderId="1" applyAlignment="1" pivotButton="0" quotePrefix="0" xfId="0">
      <alignment horizontal="center" vertical="center"/>
    </xf>
    <xf numFmtId="0" fontId="0" fillId="0" borderId="7" applyAlignment="1" pivotButton="0" quotePrefix="0" xfId="0">
      <alignment vertical="center"/>
    </xf>
    <xf numFmtId="0" fontId="0" fillId="0" borderId="9" applyAlignment="1" pivotButton="0" quotePrefix="0" xfId="0">
      <alignment vertical="center"/>
    </xf>
    <xf numFmtId="2" fontId="0" fillId="0" borderId="10" pivotButton="0" quotePrefix="0" xfId="0"/>
    <xf numFmtId="0" fontId="0" fillId="0" borderId="11" applyAlignment="1" pivotButton="0" quotePrefix="0" xfId="0">
      <alignment vertical="center"/>
    </xf>
    <xf numFmtId="2" fontId="0" fillId="0" borderId="12" pivotButton="0" quotePrefix="0" xfId="0"/>
    <xf numFmtId="0" fontId="21" fillId="0" borderId="0" pivotButton="0" quotePrefix="0" xfId="0"/>
    <xf numFmtId="0" fontId="0" fillId="0" borderId="10" applyAlignment="1" pivotButton="0" quotePrefix="0" xfId="0">
      <alignment vertical="center"/>
    </xf>
    <xf numFmtId="0" fontId="0" fillId="14" borderId="1" applyAlignment="1" pivotButton="0" quotePrefix="0" xfId="0">
      <alignment vertical="center"/>
    </xf>
    <xf numFmtId="0" fontId="11" fillId="11" borderId="3" applyProtection="1" pivotButton="0" quotePrefix="0" xfId="0">
      <protection locked="0" hidden="0"/>
    </xf>
    <xf numFmtId="0" fontId="11" fillId="11" borderId="8" applyProtection="1" pivotButton="0" quotePrefix="0" xfId="0">
      <protection locked="0" hidden="0"/>
    </xf>
    <xf numFmtId="1" fontId="0" fillId="0" borderId="10" pivotButton="0" quotePrefix="0" xfId="0"/>
    <xf numFmtId="0" fontId="0" fillId="9" borderId="1" pivotButton="0" quotePrefix="0" xfId="0"/>
    <xf numFmtId="1" fontId="0" fillId="9" borderId="10" pivotButton="0" quotePrefix="0" xfId="0"/>
    <xf numFmtId="2" fontId="0" fillId="2" borderId="1" applyAlignment="1" pivotButton="0" quotePrefix="0" xfId="0">
      <alignment horizontal="center" vertical="center"/>
    </xf>
    <xf numFmtId="2" fontId="0" fillId="0" borderId="1" applyAlignment="1" pivotButton="0" quotePrefix="0" xfId="0">
      <alignment vertical="center"/>
    </xf>
    <xf numFmtId="0" fontId="0" fillId="14" borderId="1" applyAlignment="1" pivotButton="0" quotePrefix="0" xfId="0">
      <alignment horizontal="right" vertical="center"/>
    </xf>
    <xf numFmtId="1" fontId="0" fillId="14" borderId="1" applyAlignment="1" pivotButton="0" quotePrefix="0" xfId="0">
      <alignment vertical="center"/>
    </xf>
    <xf numFmtId="1" fontId="19" fillId="13" borderId="1" applyAlignment="1" pivotButton="0" quotePrefix="0" xfId="0">
      <alignment horizontal="center" vertical="center"/>
    </xf>
    <xf numFmtId="0" fontId="0" fillId="16" borderId="1" applyAlignment="1" pivotButton="0" quotePrefix="0" xfId="0">
      <alignment horizontal="center" vertical="center"/>
    </xf>
    <xf numFmtId="1" fontId="0" fillId="0" borderId="0" pivotButton="0" quotePrefix="0" xfId="0"/>
    <xf numFmtId="0" fontId="0" fillId="14" borderId="1" applyAlignment="1" pivotButton="0" quotePrefix="0" xfId="0">
      <alignment horizontal="center"/>
    </xf>
    <xf numFmtId="0" fontId="0" fillId="4" borderId="1" pivotButton="0" quotePrefix="0" xfId="0"/>
    <xf numFmtId="0" fontId="0" fillId="0" borderId="0" applyAlignment="1" pivotButton="0" quotePrefix="0" xfId="0">
      <alignment vertical="center"/>
    </xf>
    <xf numFmtId="0" fontId="19" fillId="17" borderId="1" applyAlignment="1" pivotButton="0" quotePrefix="0" xfId="0">
      <alignment vertical="center" wrapText="1"/>
    </xf>
    <xf numFmtId="0" fontId="19" fillId="17" borderId="1" applyAlignment="1" pivotButton="0" quotePrefix="0" xfId="0">
      <alignment horizontal="center" vertical="center" wrapText="1"/>
    </xf>
    <xf numFmtId="0" fontId="0" fillId="17" borderId="1" pivotButton="0" quotePrefix="0" xfId="0"/>
    <xf numFmtId="0" fontId="23" fillId="0" borderId="1" applyAlignment="1" pivotButton="0" quotePrefix="0" xfId="0">
      <alignment vertical="center"/>
    </xf>
    <xf numFmtId="1" fontId="0" fillId="0" borderId="1" applyAlignment="1" pivotButton="0" quotePrefix="0" xfId="0">
      <alignment vertical="center"/>
    </xf>
    <xf numFmtId="9" fontId="0" fillId="0" borderId="9" applyAlignment="1" pivotButton="0" quotePrefix="0" xfId="0">
      <alignment horizontal="left" vertical="center"/>
    </xf>
    <xf numFmtId="0" fontId="21" fillId="0" borderId="9" applyAlignment="1" pivotButton="0" quotePrefix="0" xfId="0">
      <alignment horizontal="left" vertical="center"/>
    </xf>
    <xf numFmtId="0" fontId="0" fillId="0" borderId="1" applyAlignment="1" pivotButton="0" quotePrefix="0" xfId="0">
      <alignment vertical="center"/>
    </xf>
    <xf numFmtId="0" fontId="22" fillId="0" borderId="9" applyAlignment="1" pivotButton="0" quotePrefix="0" xfId="0">
      <alignment horizontal="left" vertical="center"/>
    </xf>
    <xf numFmtId="0" fontId="0" fillId="17" borderId="1" applyAlignment="1" pivotButton="0" quotePrefix="0" xfId="0">
      <alignment vertical="center"/>
    </xf>
    <xf numFmtId="1" fontId="19" fillId="0" borderId="13" applyAlignment="1" pivotButton="0" quotePrefix="0" xfId="0">
      <alignment vertical="center"/>
    </xf>
    <xf numFmtId="2" fontId="19" fillId="0" borderId="0" applyAlignment="1" pivotButton="0" quotePrefix="0" xfId="0">
      <alignment horizontal="center" vertical="center"/>
    </xf>
    <xf numFmtId="0" fontId="19" fillId="18" borderId="6" applyAlignment="1" pivotButton="0" quotePrefix="0" xfId="0">
      <alignment horizontal="center" vertical="center"/>
    </xf>
    <xf numFmtId="0" fontId="19" fillId="18" borderId="3" applyAlignment="1" pivotButton="0" quotePrefix="0" xfId="0">
      <alignment horizontal="center" vertical="center"/>
    </xf>
    <xf numFmtId="0" fontId="19" fillId="18" borderId="3" applyAlignment="1" pivotButton="0" quotePrefix="0" xfId="0">
      <alignment horizontal="center" vertical="center" wrapText="1"/>
    </xf>
    <xf numFmtId="2" fontId="0" fillId="0" borderId="1" pivotButton="0" quotePrefix="0" xfId="0"/>
    <xf numFmtId="0" fontId="0" fillId="0" borderId="2" pivotButton="0" quotePrefix="0" xfId="0"/>
    <xf numFmtId="2" fontId="0" fillId="0" borderId="2" pivotButton="0" quotePrefix="0" xfId="0"/>
    <xf numFmtId="1" fontId="0" fillId="0" borderId="1" pivotButton="0" quotePrefix="0" xfId="0"/>
    <xf numFmtId="0" fontId="19" fillId="18" borderId="8" applyAlignment="1" pivotButton="0" quotePrefix="0" xfId="0">
      <alignment horizontal="center" vertical="center" wrapText="1"/>
    </xf>
    <xf numFmtId="0" fontId="0" fillId="7" borderId="1" pivotButton="0" quotePrefix="0" xfId="0"/>
    <xf numFmtId="10" fontId="0" fillId="0" borderId="0" pivotButton="0" quotePrefix="0" xfId="3"/>
    <xf numFmtId="0" fontId="19" fillId="18" borderId="8" applyAlignment="1" pivotButton="0" quotePrefix="0" xfId="0">
      <alignment horizontal="center" vertical="center"/>
    </xf>
    <xf numFmtId="0" fontId="0" fillId="0" borderId="10" pivotButton="0" quotePrefix="0" xfId="0"/>
    <xf numFmtId="0" fontId="0" fillId="0" borderId="12" pivotButton="0" quotePrefix="0" xfId="0"/>
    <xf numFmtId="2" fontId="0" fillId="17" borderId="1" pivotButton="0" quotePrefix="0" xfId="0"/>
    <xf numFmtId="2" fontId="0" fillId="17" borderId="10" pivotButton="0" quotePrefix="0" xfId="0"/>
    <xf numFmtId="0" fontId="0" fillId="17" borderId="10" pivotButton="0" quotePrefix="0" xfId="0"/>
    <xf numFmtId="0" fontId="0" fillId="0" borderId="15" pivotButton="0" quotePrefix="0" xfId="0"/>
    <xf numFmtId="0" fontId="0" fillId="0" borderId="17" pivotButton="0" quotePrefix="0" xfId="0"/>
    <xf numFmtId="0" fontId="24" fillId="21" borderId="1" applyAlignment="1" pivotButton="0" quotePrefix="0" xfId="0">
      <alignment horizontal="center" vertical="center"/>
    </xf>
    <xf numFmtId="0" fontId="0" fillId="22" borderId="1" applyAlignment="1" pivotButton="0" quotePrefix="0" xfId="0">
      <alignment horizontal="center" vertical="center"/>
    </xf>
    <xf numFmtId="0" fontId="0" fillId="20" borderId="1" pivotButton="0" quotePrefix="0" xfId="0"/>
    <xf numFmtId="2" fontId="0" fillId="4" borderId="1" applyAlignment="1" pivotButton="0" quotePrefix="0" xfId="0">
      <alignment horizontal="left" vertical="center"/>
    </xf>
    <xf numFmtId="0" fontId="0" fillId="20" borderId="1" applyAlignment="1" pivotButton="0" quotePrefix="0" xfId="0">
      <alignment horizontal="center" vertical="center"/>
    </xf>
    <xf numFmtId="2" fontId="0" fillId="0" borderId="1" applyAlignment="1" pivotButton="0" quotePrefix="0" xfId="0">
      <alignment horizontal="left" vertical="center"/>
    </xf>
    <xf numFmtId="0" fontId="25" fillId="0" borderId="1" applyAlignment="1" pivotButton="0" quotePrefix="0" xfId="0">
      <alignment vertical="center"/>
    </xf>
    <xf numFmtId="0" fontId="0" fillId="23" borderId="1" applyAlignment="1" pivotButton="0" quotePrefix="0" xfId="0">
      <alignment horizontal="right" vertical="center"/>
    </xf>
    <xf numFmtId="2" fontId="0" fillId="23" borderId="1" pivotButton="0" quotePrefix="0" xfId="0"/>
    <xf numFmtId="0" fontId="0" fillId="23" borderId="1" pivotButton="0" quotePrefix="0" xfId="0"/>
    <xf numFmtId="0" fontId="26" fillId="0" borderId="17" applyAlignment="1" pivotButton="0" quotePrefix="0" xfId="0">
      <alignment vertical="center"/>
    </xf>
    <xf numFmtId="0" fontId="0" fillId="23" borderId="1" applyAlignment="1" pivotButton="0" quotePrefix="0" xfId="0">
      <alignment horizontal="right"/>
    </xf>
    <xf numFmtId="0" fontId="19" fillId="0" borderId="0" applyAlignment="1" pivotButton="0" quotePrefix="0" xfId="0">
      <alignment horizontal="right" vertical="center"/>
    </xf>
    <xf numFmtId="2" fontId="28" fillId="14" borderId="1" applyAlignment="1" pivotButton="0" quotePrefix="0" xfId="0">
      <alignment horizontal="right" vertical="center"/>
    </xf>
    <xf numFmtId="0" fontId="0" fillId="0" borderId="1" applyAlignment="1" pivotButton="0" quotePrefix="0" xfId="0">
      <alignment horizontal="right"/>
    </xf>
    <xf numFmtId="2" fontId="0" fillId="0" borderId="1" applyAlignment="1" pivotButton="0" quotePrefix="0" xfId="0">
      <alignment horizontal="right" vertical="center"/>
    </xf>
    <xf numFmtId="0" fontId="0" fillId="0" borderId="1" applyAlignment="1" pivotButton="0" quotePrefix="0" xfId="0">
      <alignment horizontal="left"/>
    </xf>
    <xf numFmtId="0" fontId="0" fillId="0" borderId="1" applyAlignment="1" pivotButton="0" quotePrefix="0" xfId="0">
      <alignment horizontal="right" vertical="center"/>
    </xf>
    <xf numFmtId="0" fontId="28" fillId="0" borderId="0" applyAlignment="1" pivotButton="0" quotePrefix="0" xfId="0">
      <alignment horizontal="right"/>
    </xf>
    <xf numFmtId="0" fontId="0" fillId="0" borderId="0" applyAlignment="1" pivotButton="0" quotePrefix="0" xfId="0">
      <alignment horizontal="right"/>
    </xf>
    <xf numFmtId="0" fontId="22" fillId="0" borderId="0" pivotButton="0" quotePrefix="0" xfId="0"/>
    <xf numFmtId="2" fontId="22" fillId="0" borderId="0" pivotButton="0" quotePrefix="0" xfId="0"/>
    <xf numFmtId="0" fontId="0" fillId="10" borderId="1" applyAlignment="1" pivotButton="0" quotePrefix="0" xfId="0">
      <alignment horizontal="center" wrapText="1"/>
    </xf>
    <xf numFmtId="0" fontId="0" fillId="4" borderId="1" applyAlignment="1" pivotButton="0" quotePrefix="0" xfId="0">
      <alignment horizontal="center" wrapText="1"/>
    </xf>
    <xf numFmtId="0" fontId="0" fillId="4" borderId="1" applyAlignment="1" pivotButton="0" quotePrefix="0" xfId="0">
      <alignment horizontal="center"/>
    </xf>
    <xf numFmtId="1" fontId="0" fillId="4" borderId="1" applyAlignment="1" pivotButton="0" quotePrefix="0" xfId="0">
      <alignment horizontal="center"/>
    </xf>
    <xf numFmtId="0" fontId="0" fillId="10" borderId="1" pivotButton="0" quotePrefix="0" xfId="0"/>
    <xf numFmtId="2" fontId="0" fillId="0" borderId="1" applyAlignment="1" pivotButton="0" quotePrefix="0" xfId="0">
      <alignment horizontal="center"/>
    </xf>
    <xf numFmtId="2" fontId="0" fillId="0" borderId="1" applyAlignment="1" pivotButton="0" quotePrefix="0" xfId="0">
      <alignment horizontal="left"/>
    </xf>
    <xf numFmtId="0" fontId="0" fillId="0" borderId="10" applyAlignment="1" pivotButton="0" quotePrefix="0" xfId="0">
      <alignment horizontal="right"/>
    </xf>
    <xf numFmtId="2" fontId="0" fillId="0" borderId="10" applyAlignment="1" pivotButton="0" quotePrefix="0" xfId="0">
      <alignment horizontal="right"/>
    </xf>
    <xf numFmtId="1" fontId="0" fillId="0" borderId="0" applyAlignment="1" pivotButton="0" quotePrefix="0" xfId="0">
      <alignment horizontal="center"/>
    </xf>
    <xf numFmtId="0" fontId="19" fillId="0" borderId="0" applyAlignment="1" pivotButton="0" quotePrefix="0" xfId="0">
      <alignment horizontal="center" vertical="center"/>
    </xf>
    <xf numFmtId="0" fontId="19" fillId="0" borderId="1" applyAlignment="1" pivotButton="0" quotePrefix="0" xfId="0">
      <alignment vertical="center"/>
    </xf>
    <xf numFmtId="0" fontId="29" fillId="0" borderId="0" applyAlignment="1" pivotButton="0" quotePrefix="0" xfId="0">
      <alignment horizontal="center"/>
    </xf>
    <xf numFmtId="0" fontId="0" fillId="20" borderId="1" applyAlignment="1" pivotButton="0" quotePrefix="0" xfId="0">
      <alignment vertical="center"/>
    </xf>
    <xf numFmtId="0" fontId="29" fillId="0" borderId="0" applyAlignment="1" pivotButton="0" quotePrefix="0" xfId="0">
      <alignment horizontal="right"/>
    </xf>
    <xf numFmtId="0" fontId="0" fillId="4" borderId="1" applyAlignment="1" pivotButton="0" quotePrefix="0" xfId="0">
      <alignment vertical="center"/>
    </xf>
    <xf numFmtId="0" fontId="0" fillId="24" borderId="1" applyAlignment="1" pivotButton="0" quotePrefix="0" xfId="0">
      <alignment horizontal="center" vertical="center"/>
    </xf>
    <xf numFmtId="0" fontId="0" fillId="25" borderId="1" applyAlignment="1" pivotButton="0" quotePrefix="0" xfId="0">
      <alignment horizontal="center" vertical="center"/>
    </xf>
    <xf numFmtId="0" fontId="19" fillId="10" borderId="1" pivotButton="0" quotePrefix="0" xfId="0"/>
    <xf numFmtId="9" fontId="19" fillId="10" borderId="1" pivotButton="0" quotePrefix="0" xfId="0"/>
    <xf numFmtId="2" fontId="19" fillId="10" borderId="1" pivotButton="0" quotePrefix="0" xfId="0"/>
    <xf numFmtId="2" fontId="0" fillId="10" borderId="1" pivotButton="0" quotePrefix="0" xfId="0"/>
    <xf numFmtId="1" fontId="0" fillId="10" borderId="1" pivotButton="0" quotePrefix="0" xfId="0"/>
    <xf numFmtId="0" fontId="32" fillId="26" borderId="1" applyAlignment="1" pivotButton="0" quotePrefix="0" xfId="0">
      <alignment vertical="center" wrapText="1"/>
    </xf>
    <xf numFmtId="0" fontId="32" fillId="26" borderId="1" applyAlignment="1" pivotButton="0" quotePrefix="0" xfId="0">
      <alignment horizontal="center" vertical="center" wrapText="1"/>
    </xf>
    <xf numFmtId="2" fontId="19" fillId="18" borderId="1" pivotButton="0" quotePrefix="0" xfId="0"/>
    <xf numFmtId="0" fontId="19" fillId="0" borderId="2" applyAlignment="1" pivotButton="0" quotePrefix="0" xfId="0">
      <alignment horizontal="left"/>
    </xf>
    <xf numFmtId="0" fontId="0" fillId="18" borderId="2" pivotButton="0" quotePrefix="0" xfId="0"/>
    <xf numFmtId="2" fontId="0" fillId="14" borderId="1" applyAlignment="1" pivotButton="0" quotePrefix="0" xfId="0">
      <alignment horizontal="right"/>
    </xf>
    <xf numFmtId="0" fontId="16" fillId="27" borderId="4" applyAlignment="1" pivotButton="0" quotePrefix="0" xfId="5">
      <alignment horizontal="center"/>
    </xf>
    <xf numFmtId="0" fontId="16" fillId="25" borderId="4" applyAlignment="1" pivotButton="0" quotePrefix="0" xfId="5">
      <alignment horizontal="center" vertical="center"/>
    </xf>
    <xf numFmtId="0" fontId="16" fillId="25" borderId="4" applyAlignment="1" pivotButton="0" quotePrefix="0" xfId="5">
      <alignment horizontal="center"/>
    </xf>
    <xf numFmtId="0" fontId="0" fillId="9" borderId="1" applyAlignment="1" pivotButton="0" quotePrefix="0" xfId="0">
      <alignment horizontal="right" vertical="center"/>
    </xf>
    <xf numFmtId="0" fontId="0" fillId="0" borderId="0" applyAlignment="1" pivotButton="0" quotePrefix="0" xfId="0">
      <alignment horizontal="right" vertical="center"/>
    </xf>
    <xf numFmtId="0" fontId="0" fillId="28" borderId="1" applyAlignment="1" pivotButton="0" quotePrefix="0" xfId="0">
      <alignment horizontal="center" vertical="center"/>
    </xf>
    <xf numFmtId="1" fontId="0" fillId="0" borderId="1" applyAlignment="1" pivotButton="0" quotePrefix="0" xfId="0">
      <alignment horizontal="right" vertical="center"/>
    </xf>
    <xf numFmtId="2" fontId="0" fillId="0" borderId="23" applyAlignment="1" pivotButton="0" quotePrefix="0" xfId="0">
      <alignment horizontal="right" vertical="center"/>
    </xf>
    <xf numFmtId="0" fontId="0" fillId="29" borderId="1" pivotButton="0" quotePrefix="0" xfId="7"/>
    <xf numFmtId="0" fontId="43" fillId="29" borderId="1" pivotButton="0" quotePrefix="0" xfId="7"/>
    <xf numFmtId="2" fontId="0" fillId="0" borderId="0" applyAlignment="1" pivotButton="0" quotePrefix="0" xfId="0">
      <alignment horizontal="right" vertical="center"/>
    </xf>
    <xf numFmtId="2" fontId="43" fillId="29" borderId="1" pivotButton="0" quotePrefix="0" xfId="7"/>
    <xf numFmtId="1" fontId="0" fillId="0" borderId="0" applyAlignment="1" pivotButton="0" quotePrefix="0" xfId="0">
      <alignment horizontal="right" vertical="center"/>
    </xf>
    <xf numFmtId="0" fontId="0" fillId="16" borderId="6" applyAlignment="1" pivotButton="0" quotePrefix="0" xfId="0">
      <alignment horizontal="center"/>
    </xf>
    <xf numFmtId="0" fontId="0" fillId="16" borderId="8" applyAlignment="1" pivotButton="0" quotePrefix="0" xfId="0">
      <alignment horizontal="center"/>
    </xf>
    <xf numFmtId="0" fontId="33" fillId="30" borderId="7" pivotButton="0" quotePrefix="0" xfId="0"/>
    <xf numFmtId="0" fontId="33" fillId="30" borderId="10" pivotButton="0" quotePrefix="0" xfId="0"/>
    <xf numFmtId="0" fontId="34" fillId="0" borderId="0" pivotButton="0" quotePrefix="0" xfId="0"/>
    <xf numFmtId="0" fontId="35" fillId="0" borderId="0" pivotButton="0" quotePrefix="0" xfId="0"/>
    <xf numFmtId="0" fontId="34" fillId="0" borderId="0" applyAlignment="1" pivotButton="0" quotePrefix="0" xfId="0">
      <alignment wrapText="1"/>
    </xf>
    <xf numFmtId="0" fontId="0" fillId="0" borderId="0" applyAlignment="1" pivotButton="0" quotePrefix="0" xfId="0">
      <alignment vertical="center" wrapText="1"/>
    </xf>
    <xf numFmtId="0" fontId="0" fillId="2" borderId="1" applyAlignment="1" pivotButton="0" quotePrefix="0" xfId="0">
      <alignment wrapText="1"/>
    </xf>
    <xf numFmtId="0" fontId="0" fillId="6" borderId="1" applyAlignment="1" pivotButton="0" quotePrefix="0" xfId="0">
      <alignment vertical="center"/>
    </xf>
    <xf numFmtId="0" fontId="0" fillId="6" borderId="2" applyAlignment="1" pivotButton="0" quotePrefix="0" xfId="0">
      <alignment vertical="center"/>
    </xf>
    <xf numFmtId="0" fontId="19" fillId="11" borderId="6" applyAlignment="1" pivotButton="0" quotePrefix="0" xfId="0">
      <alignment horizontal="center" vertical="center"/>
    </xf>
    <xf numFmtId="0" fontId="19" fillId="11" borderId="8" applyAlignment="1" pivotButton="0" quotePrefix="0" xfId="0">
      <alignment horizontal="center" vertical="center" wrapText="1"/>
    </xf>
    <xf numFmtId="0" fontId="0" fillId="13" borderId="7" pivotButton="0" quotePrefix="0" xfId="0"/>
    <xf numFmtId="0" fontId="0" fillId="13" borderId="11" pivotButton="0" quotePrefix="0" xfId="0"/>
    <xf numFmtId="0" fontId="0" fillId="0" borderId="24" pivotButton="0" quotePrefix="0" xfId="0"/>
    <xf numFmtId="0" fontId="0" fillId="11" borderId="26" applyAlignment="1" pivotButton="0" quotePrefix="0" xfId="0">
      <alignment horizontal="center"/>
    </xf>
    <xf numFmtId="0" fontId="0" fillId="0" borderId="27" pivotButton="0" quotePrefix="0" xfId="0"/>
    <xf numFmtId="0" fontId="0" fillId="11" borderId="29" applyAlignment="1" pivotButton="0" quotePrefix="0" xfId="0">
      <alignment horizontal="center"/>
    </xf>
    <xf numFmtId="0" fontId="0" fillId="31" borderId="24" pivotButton="0" quotePrefix="0" xfId="0"/>
    <xf numFmtId="0" fontId="0" fillId="31" borderId="25" pivotButton="0" quotePrefix="0" xfId="0"/>
    <xf numFmtId="0" fontId="0" fillId="31" borderId="30" pivotButton="0" quotePrefix="0" xfId="0"/>
    <xf numFmtId="0" fontId="0" fillId="11" borderId="1" pivotButton="0" quotePrefix="0" xfId="0"/>
    <xf numFmtId="0" fontId="0" fillId="0" borderId="31" pivotButton="0" quotePrefix="0" xfId="0"/>
    <xf numFmtId="0" fontId="36" fillId="0" borderId="1" pivotButton="0" quotePrefix="0" xfId="0"/>
    <xf numFmtId="0" fontId="37" fillId="0" borderId="32" pivotButton="0" quotePrefix="0" xfId="0"/>
    <xf numFmtId="0" fontId="11" fillId="14" borderId="1" pivotButton="0" quotePrefix="0" xfId="0"/>
    <xf numFmtId="2" fontId="0" fillId="14" borderId="1" pivotButton="0" quotePrefix="0" xfId="0"/>
    <xf numFmtId="0" fontId="21" fillId="0" borderId="1" pivotButton="0" quotePrefix="0" xfId="0"/>
    <xf numFmtId="0" fontId="36" fillId="0" borderId="1" applyAlignment="1" pivotButton="0" quotePrefix="0" xfId="0">
      <alignment horizontal="center"/>
    </xf>
    <xf numFmtId="0" fontId="0" fillId="0" borderId="0" applyAlignment="1" pivotButton="0" quotePrefix="0" xfId="0">
      <alignment wrapText="1"/>
    </xf>
    <xf numFmtId="0" fontId="28" fillId="0" borderId="1" pivotButton="0" quotePrefix="0" xfId="0"/>
    <xf numFmtId="0" fontId="21" fillId="0" borderId="32" pivotButton="0" quotePrefix="0" xfId="0"/>
    <xf numFmtId="0" fontId="21" fillId="0" borderId="31" pivotButton="0" quotePrefix="0" xfId="0"/>
    <xf numFmtId="0" fontId="0" fillId="32" borderId="31" pivotButton="0" quotePrefix="0" xfId="0"/>
    <xf numFmtId="0" fontId="0" fillId="32" borderId="1" pivotButton="0" quotePrefix="0" xfId="0"/>
    <xf numFmtId="0" fontId="37" fillId="32" borderId="32" pivotButton="0" quotePrefix="0" xfId="0"/>
    <xf numFmtId="0" fontId="0" fillId="0" borderId="28" pivotButton="0" quotePrefix="0" xfId="0"/>
    <xf numFmtId="0" fontId="37" fillId="0" borderId="33" pivotButton="0" quotePrefix="0" xfId="0"/>
    <xf numFmtId="1" fontId="0" fillId="0" borderId="30" pivotButton="0" quotePrefix="0" xfId="0"/>
    <xf numFmtId="0" fontId="0" fillId="0" borderId="36" pivotButton="0" quotePrefix="0" xfId="0"/>
    <xf numFmtId="0" fontId="0" fillId="0" borderId="37" pivotButton="0" quotePrefix="0" xfId="0"/>
    <xf numFmtId="0" fontId="18" fillId="16" borderId="39" applyAlignment="1" pivotButton="0" quotePrefix="0" xfId="0">
      <alignment vertical="center"/>
    </xf>
    <xf numFmtId="9" fontId="23" fillId="16" borderId="40" applyAlignment="1" pivotButton="0" quotePrefix="0" xfId="3">
      <alignment vertical="center"/>
    </xf>
    <xf numFmtId="0" fontId="0" fillId="0" borderId="42" applyAlignment="1" pivotButton="0" quotePrefix="0" xfId="0">
      <alignment vertical="center"/>
    </xf>
    <xf numFmtId="9" fontId="0" fillId="0" borderId="3" pivotButton="0" quotePrefix="0" xfId="3"/>
    <xf numFmtId="0" fontId="0" fillId="0" borderId="31" applyAlignment="1" pivotButton="0" quotePrefix="0" xfId="0">
      <alignment vertical="center"/>
    </xf>
    <xf numFmtId="9" fontId="0" fillId="0" borderId="0" pivotButton="0" quotePrefix="0" xfId="0"/>
    <xf numFmtId="0" fontId="0" fillId="0" borderId="27" applyAlignment="1" pivotButton="0" quotePrefix="0" xfId="0">
      <alignment vertical="center"/>
    </xf>
    <xf numFmtId="9" fontId="0" fillId="0" borderId="43" pivotButton="0" quotePrefix="0" xfId="3"/>
    <xf numFmtId="0" fontId="0" fillId="7" borderId="0" pivotButton="0" quotePrefix="0" xfId="0"/>
    <xf numFmtId="0" fontId="39" fillId="7" borderId="0" pivotButton="0" quotePrefix="0" xfId="0"/>
    <xf numFmtId="0" fontId="40" fillId="7" borderId="0" pivotButton="0" quotePrefix="0" xfId="0"/>
    <xf numFmtId="0" fontId="41" fillId="7" borderId="0" pivotButton="0" quotePrefix="0" xfId="0"/>
    <xf numFmtId="0" fontId="42" fillId="7" borderId="0" pivotButton="0" quotePrefix="0" xfId="0"/>
    <xf numFmtId="0" fontId="19" fillId="0" borderId="5" applyAlignment="1" pivotButton="0" quotePrefix="0" xfId="0">
      <alignment horizontal="center" vertical="center" wrapText="1"/>
    </xf>
    <xf numFmtId="1" fontId="0" fillId="0" borderId="13" pivotButton="0" quotePrefix="0" xfId="0"/>
    <xf numFmtId="0" fontId="10" fillId="0" borderId="0" pivotButton="0" quotePrefix="0" xfId="0"/>
    <xf numFmtId="0" fontId="44" fillId="7" borderId="0" applyAlignment="1" pivotButton="0" quotePrefix="0" xfId="0">
      <alignment horizontal="left" vertical="center" wrapText="1"/>
    </xf>
    <xf numFmtId="0" fontId="44" fillId="7" borderId="17" applyAlignment="1" pivotButton="0" quotePrefix="0" xfId="0">
      <alignment horizontal="left" vertical="center" wrapText="1"/>
    </xf>
    <xf numFmtId="0" fontId="44" fillId="7" borderId="21" applyAlignment="1" pivotButton="0" quotePrefix="0" xfId="0">
      <alignment horizontal="left" vertical="center" wrapText="1"/>
    </xf>
    <xf numFmtId="0" fontId="44" fillId="7" borderId="17" applyAlignment="1" pivotButton="0" quotePrefix="0" xfId="0">
      <alignment horizontal="left" vertical="top" wrapText="1"/>
    </xf>
    <xf numFmtId="0" fontId="44" fillId="7" borderId="0" applyAlignment="1" pivotButton="0" quotePrefix="0" xfId="0">
      <alignment horizontal="left" vertical="top" wrapText="1"/>
    </xf>
    <xf numFmtId="0" fontId="44" fillId="7" borderId="21" applyAlignment="1" pivotButton="0" quotePrefix="0" xfId="0">
      <alignment horizontal="left" vertical="top" wrapText="1"/>
    </xf>
    <xf numFmtId="0" fontId="21" fillId="7" borderId="38" applyAlignment="1" pivotButton="0" quotePrefix="0" xfId="0">
      <alignment horizontal="center" vertical="center"/>
    </xf>
    <xf numFmtId="0" fontId="9" fillId="0" borderId="0" pivotButton="0" quotePrefix="0" xfId="0"/>
    <xf numFmtId="0" fontId="8" fillId="0" borderId="0" applyAlignment="1" pivotButton="0" quotePrefix="0" xfId="0">
      <alignment vertical="center"/>
    </xf>
    <xf numFmtId="0" fontId="19" fillId="17" borderId="10" applyAlignment="1" pivotButton="0" quotePrefix="0" xfId="0">
      <alignment horizontal="center" vertical="center" wrapText="1"/>
    </xf>
    <xf numFmtId="1" fontId="0" fillId="7" borderId="1" applyAlignment="1" pivotButton="0" quotePrefix="0" xfId="0">
      <alignment horizontal="center"/>
    </xf>
    <xf numFmtId="0" fontId="46" fillId="0" borderId="0" pivotButton="0" quotePrefix="0" xfId="0"/>
    <xf numFmtId="0" fontId="48" fillId="0" borderId="21" pivotButton="0" quotePrefix="0" xfId="6"/>
    <xf numFmtId="0" fontId="49" fillId="0" borderId="17" applyAlignment="1" pivotButton="0" quotePrefix="0" xfId="6">
      <alignment horizontal="center"/>
    </xf>
    <xf numFmtId="0" fontId="49" fillId="0" borderId="15" applyAlignment="1" pivotButton="0" quotePrefix="0" xfId="6">
      <alignment horizontal="left" vertical="center"/>
    </xf>
    <xf numFmtId="0" fontId="48" fillId="0" borderId="16" pivotButton="0" quotePrefix="0" xfId="6"/>
    <xf numFmtId="0" fontId="49" fillId="0" borderId="28" applyAlignment="1" pivotButton="0" quotePrefix="0" xfId="6">
      <alignment horizontal="center" vertical="center"/>
    </xf>
    <xf numFmtId="0" fontId="48" fillId="0" borderId="42" applyAlignment="1" pivotButton="0" quotePrefix="0" xfId="6">
      <alignment horizontal="center"/>
    </xf>
    <xf numFmtId="0" fontId="48" fillId="0" borderId="3" pivotButton="0" quotePrefix="0" xfId="6"/>
    <xf numFmtId="0" fontId="48" fillId="0" borderId="31" applyAlignment="1" pivotButton="0" quotePrefix="0" xfId="6">
      <alignment horizontal="center"/>
    </xf>
    <xf numFmtId="0" fontId="48" fillId="0" borderId="1" pivotButton="0" quotePrefix="0" xfId="6"/>
    <xf numFmtId="1" fontId="48" fillId="0" borderId="1" applyAlignment="1" pivotButton="0" quotePrefix="0" xfId="6">
      <alignment horizontal="center"/>
    </xf>
    <xf numFmtId="0" fontId="48" fillId="7" borderId="1" pivotButton="0" quotePrefix="0" xfId="6"/>
    <xf numFmtId="1" fontId="48" fillId="0" borderId="21" pivotButton="0" quotePrefix="0" xfId="6"/>
    <xf numFmtId="0" fontId="48" fillId="7" borderId="2" pivotButton="0" quotePrefix="0" xfId="6"/>
    <xf numFmtId="0" fontId="48" fillId="0" borderId="2" pivotButton="0" quotePrefix="0" xfId="6"/>
    <xf numFmtId="0" fontId="48" fillId="0" borderId="2" applyAlignment="1" pivotButton="0" quotePrefix="0" xfId="6">
      <alignment horizontal="center" vertical="center"/>
    </xf>
    <xf numFmtId="0" fontId="49" fillId="0" borderId="40" applyAlignment="1" pivotButton="0" quotePrefix="0" xfId="6">
      <alignment horizontal="center"/>
    </xf>
    <xf numFmtId="0" fontId="49" fillId="0" borderId="21" pivotButton="0" quotePrefix="0" xfId="6"/>
    <xf numFmtId="0" fontId="48" fillId="0" borderId="17" applyAlignment="1" pivotButton="0" quotePrefix="0" xfId="6">
      <alignment horizontal="center"/>
    </xf>
    <xf numFmtId="0" fontId="49" fillId="0" borderId="17" applyAlignment="1" pivotButton="0" quotePrefix="0" xfId="6">
      <alignment horizontal="left"/>
    </xf>
    <xf numFmtId="0" fontId="49" fillId="0" borderId="7" applyAlignment="1" pivotButton="0" quotePrefix="0" xfId="6">
      <alignment horizontal="center"/>
    </xf>
    <xf numFmtId="0" fontId="49" fillId="0" borderId="11" applyAlignment="1" pivotButton="0" quotePrefix="0" xfId="6">
      <alignment horizontal="center"/>
    </xf>
    <xf numFmtId="0" fontId="48" fillId="0" borderId="36" applyAlignment="1" pivotButton="0" quotePrefix="0" xfId="6">
      <alignment horizontal="center"/>
    </xf>
    <xf numFmtId="0" fontId="48" fillId="0" borderId="32" applyAlignment="1" pivotButton="0" quotePrefix="0" xfId="6">
      <alignment horizontal="center"/>
    </xf>
    <xf numFmtId="0" fontId="48" fillId="0" borderId="0" pivotButton="0" quotePrefix="0" xfId="6"/>
    <xf numFmtId="0" fontId="49" fillId="0" borderId="0" pivotButton="0" quotePrefix="0" xfId="6"/>
    <xf numFmtId="0" fontId="48" fillId="0" borderId="16" applyAlignment="1" pivotButton="0" quotePrefix="0" xfId="6">
      <alignment horizontal="center"/>
    </xf>
    <xf numFmtId="0" fontId="48" fillId="0" borderId="19" applyAlignment="1" pivotButton="0" quotePrefix="0" xfId="6">
      <alignment horizontal="center"/>
    </xf>
    <xf numFmtId="0" fontId="49" fillId="0" borderId="25" pivotButton="0" quotePrefix="0" xfId="6"/>
    <xf numFmtId="0" fontId="49" fillId="0" borderId="28" pivotButton="0" quotePrefix="0" xfId="6"/>
    <xf numFmtId="0" fontId="0" fillId="34" borderId="0" pivotButton="0" quotePrefix="0" xfId="0"/>
    <xf numFmtId="0" fontId="7" fillId="34" borderId="0" pivotButton="0" quotePrefix="0" xfId="0"/>
    <xf numFmtId="0" fontId="0" fillId="34" borderId="0" applyAlignment="1" pivotButton="0" quotePrefix="0" xfId="0">
      <alignment vertical="center"/>
    </xf>
    <xf numFmtId="0" fontId="7" fillId="0" borderId="7" pivotButton="0" quotePrefix="0" xfId="0"/>
    <xf numFmtId="1" fontId="48" fillId="7" borderId="3" applyAlignment="1" pivotButton="0" quotePrefix="0" xfId="6">
      <alignment horizontal="center"/>
    </xf>
    <xf numFmtId="0" fontId="49" fillId="7" borderId="1" pivotButton="0" quotePrefix="0" xfId="6"/>
    <xf numFmtId="1" fontId="0" fillId="17" borderId="10" applyAlignment="1" pivotButton="0" quotePrefix="0" xfId="0">
      <alignment vertical="center"/>
    </xf>
    <xf numFmtId="1" fontId="0" fillId="17" borderId="1" pivotButton="0" quotePrefix="0" xfId="0"/>
    <xf numFmtId="1" fontId="0" fillId="17" borderId="1" applyAlignment="1" pivotButton="0" quotePrefix="0" xfId="0">
      <alignment horizontal="center" vertical="center"/>
    </xf>
    <xf numFmtId="0" fontId="0" fillId="0" borderId="1" pivotButton="0" quotePrefix="0" xfId="0"/>
    <xf numFmtId="0" fontId="0" fillId="0" borderId="0" applyProtection="1" pivotButton="0" quotePrefix="0" xfId="0">
      <protection locked="0" hidden="0"/>
    </xf>
    <xf numFmtId="0" fontId="49" fillId="0" borderId="19" applyAlignment="1" pivotButton="0" quotePrefix="0" xfId="6">
      <alignment vertical="center"/>
    </xf>
    <xf numFmtId="0" fontId="49" fillId="0" borderId="19" applyAlignment="1" pivotButton="0" quotePrefix="0" xfId="6">
      <alignment horizontal="center" vertical="center"/>
    </xf>
    <xf numFmtId="0" fontId="48" fillId="0" borderId="1" applyAlignment="1" pivotButton="0" quotePrefix="0" xfId="6">
      <alignment horizontal="right" vertical="center"/>
    </xf>
    <xf numFmtId="0" fontId="49" fillId="0" borderId="1" pivotButton="0" quotePrefix="0" xfId="6"/>
    <xf numFmtId="0" fontId="49" fillId="0" borderId="20" applyAlignment="1" pivotButton="0" quotePrefix="0" xfId="6">
      <alignment horizontal="center"/>
    </xf>
    <xf numFmtId="0" fontId="0" fillId="0" borderId="25" pivotButton="0" quotePrefix="0" xfId="0"/>
    <xf numFmtId="0" fontId="49" fillId="0" borderId="25" applyAlignment="1" pivotButton="0" quotePrefix="0" xfId="6">
      <alignment horizontal="center"/>
    </xf>
    <xf numFmtId="14" fontId="49" fillId="0" borderId="30" pivotButton="0" quotePrefix="0" xfId="6"/>
    <xf numFmtId="0" fontId="49" fillId="0" borderId="31" pivotButton="0" quotePrefix="0" xfId="6"/>
    <xf numFmtId="0" fontId="49" fillId="7" borderId="32" pivotButton="0" quotePrefix="0" xfId="6"/>
    <xf numFmtId="0" fontId="49" fillId="0" borderId="27" applyAlignment="1" pivotButton="0" quotePrefix="0" xfId="6">
      <alignment horizontal="center"/>
    </xf>
    <xf numFmtId="0" fontId="49" fillId="0" borderId="28" applyAlignment="1" pivotButton="0" quotePrefix="0" xfId="6">
      <alignment horizontal="left"/>
    </xf>
    <xf numFmtId="0" fontId="49" fillId="0" borderId="56" applyAlignment="1" pivotButton="0" quotePrefix="0" xfId="6">
      <alignment horizontal="center" vertical="center"/>
    </xf>
    <xf numFmtId="0" fontId="48" fillId="0" borderId="1" applyAlignment="1" pivotButton="0" quotePrefix="0" xfId="6">
      <alignment horizontal="center" wrapText="1"/>
    </xf>
    <xf numFmtId="0" fontId="48" fillId="0" borderId="1" applyAlignment="1" pivotButton="0" quotePrefix="0" xfId="6">
      <alignment horizontal="center" vertical="center" wrapText="1"/>
    </xf>
    <xf numFmtId="0" fontId="21" fillId="0" borderId="0" applyAlignment="1" pivotButton="0" quotePrefix="0" xfId="0">
      <alignment horizontal="center" vertical="center"/>
    </xf>
    <xf numFmtId="0" fontId="48" fillId="0" borderId="0" applyAlignment="1" pivotButton="0" quotePrefix="0" xfId="6">
      <alignment horizontal="left" vertical="center"/>
    </xf>
    <xf numFmtId="0" fontId="48" fillId="0" borderId="0" applyAlignment="1" pivotButton="0" quotePrefix="0" xfId="6">
      <alignment horizontal="center" vertical="center"/>
    </xf>
    <xf numFmtId="0" fontId="50" fillId="0" borderId="21" applyAlignment="1" pivotButton="0" quotePrefix="0" xfId="6">
      <alignment horizontal="left" readingOrder="1"/>
    </xf>
    <xf numFmtId="0" fontId="48" fillId="0" borderId="0" applyAlignment="1" pivotButton="0" quotePrefix="0" xfId="6">
      <alignment horizontal="center"/>
    </xf>
    <xf numFmtId="0" fontId="49" fillId="0" borderId="0" applyAlignment="1" pivotButton="0" quotePrefix="0" xfId="6">
      <alignment horizontal="center"/>
    </xf>
    <xf numFmtId="0" fontId="48" fillId="0" borderId="0" applyAlignment="1" pivotButton="0" quotePrefix="0" xfId="6">
      <alignment horizontal="left"/>
    </xf>
    <xf numFmtId="0" fontId="48" fillId="0" borderId="31" applyAlignment="1" pivotButton="0" quotePrefix="0" xfId="6">
      <alignment horizontal="center" vertical="center"/>
    </xf>
    <xf numFmtId="0" fontId="49" fillId="0" borderId="0" applyAlignment="1" pivotButton="0" quotePrefix="0" xfId="6">
      <alignment horizontal="left"/>
    </xf>
    <xf numFmtId="0" fontId="49" fillId="0" borderId="0" applyAlignment="1" pivotButton="0" quotePrefix="0" xfId="6">
      <alignment horizontal="center" vertical="center"/>
    </xf>
    <xf numFmtId="0" fontId="49" fillId="0" borderId="0" applyAlignment="1" pivotButton="0" quotePrefix="0" xfId="6">
      <alignment horizontal="center" vertical="top"/>
    </xf>
    <xf numFmtId="0" fontId="48" fillId="0" borderId="53" pivotButton="0" quotePrefix="0" xfId="6"/>
    <xf numFmtId="1" fontId="48" fillId="0" borderId="10" applyAlignment="1" pivotButton="0" quotePrefix="0" xfId="9">
      <alignment horizontal="center" vertical="center"/>
    </xf>
    <xf numFmtId="14" fontId="49" fillId="0" borderId="20" pivotButton="0" quotePrefix="0" xfId="6"/>
    <xf numFmtId="0" fontId="49" fillId="0" borderId="21" applyAlignment="1" pivotButton="0" quotePrefix="0" xfId="6">
      <alignment horizontal="center"/>
    </xf>
    <xf numFmtId="0" fontId="48" fillId="0" borderId="21" applyAlignment="1" pivotButton="0" quotePrefix="0" xfId="6">
      <alignment horizontal="center"/>
    </xf>
    <xf numFmtId="0" fontId="49" fillId="7" borderId="21" pivotButton="0" quotePrefix="0" xfId="6"/>
    <xf numFmtId="0" fontId="51" fillId="0" borderId="0" applyAlignment="1" pivotButton="0" quotePrefix="0" xfId="6">
      <alignment horizontal="center"/>
    </xf>
    <xf numFmtId="1" fontId="48" fillId="7" borderId="8" applyAlignment="1" pivotButton="0" quotePrefix="0" xfId="6">
      <alignment horizontal="right"/>
    </xf>
    <xf numFmtId="1" fontId="48" fillId="0" borderId="10" applyAlignment="1" pivotButton="0" quotePrefix="0" xfId="6">
      <alignment horizontal="right"/>
    </xf>
    <xf numFmtId="9" fontId="48" fillId="7" borderId="3" applyAlignment="1" pivotButton="0" quotePrefix="0" xfId="3">
      <alignment horizontal="right"/>
    </xf>
    <xf numFmtId="9" fontId="49" fillId="0" borderId="57" applyAlignment="1" pivotButton="0" quotePrefix="0" xfId="3">
      <alignment horizontal="center"/>
    </xf>
    <xf numFmtId="0" fontId="49" fillId="0" borderId="34" applyAlignment="1" pivotButton="0" quotePrefix="0" xfId="6">
      <alignment horizontal="center" vertical="center"/>
    </xf>
    <xf numFmtId="9" fontId="48" fillId="0" borderId="61" applyAlignment="1" pivotButton="0" quotePrefix="0" xfId="3">
      <alignment horizontal="center"/>
    </xf>
    <xf numFmtId="10" fontId="48" fillId="0" borderId="61" applyAlignment="1" pivotButton="0" quotePrefix="0" xfId="3">
      <alignment horizontal="center"/>
    </xf>
    <xf numFmtId="0" fontId="49" fillId="0" borderId="20" applyAlignment="1" pivotButton="0" quotePrefix="0" xfId="6">
      <alignment vertical="center"/>
    </xf>
    <xf numFmtId="0" fontId="5" fillId="0" borderId="0" applyAlignment="1" pivotButton="0" quotePrefix="0" xfId="0">
      <alignment horizontal="left"/>
    </xf>
    <xf numFmtId="0" fontId="38" fillId="0" borderId="0" applyAlignment="1" pivotButton="0" quotePrefix="0" xfId="0">
      <alignment vertical="center"/>
    </xf>
    <xf numFmtId="0" fontId="5" fillId="0" borderId="0" pivotButton="0" quotePrefix="0" xfId="0"/>
    <xf numFmtId="9" fontId="48" fillId="7" borderId="8" applyAlignment="1" pivotButton="0" quotePrefix="0" xfId="3">
      <alignment horizontal="right"/>
    </xf>
    <xf numFmtId="0" fontId="49" fillId="0" borderId="62" applyAlignment="1" pivotButton="0" quotePrefix="0" xfId="6">
      <alignment horizontal="center"/>
    </xf>
    <xf numFmtId="9" fontId="48" fillId="7" borderId="1" applyAlignment="1" pivotButton="0" quotePrefix="0" xfId="3">
      <alignment horizontal="right"/>
    </xf>
    <xf numFmtId="1" fontId="16" fillId="8" borderId="4" pivotButton="0" quotePrefix="0" xfId="5"/>
    <xf numFmtId="1" fontId="49" fillId="0" borderId="28" applyAlignment="1" pivotButton="0" quotePrefix="0" xfId="6">
      <alignment horizontal="left"/>
    </xf>
    <xf numFmtId="0" fontId="4" fillId="0" borderId="1" applyAlignment="1" pivotButton="0" quotePrefix="0" xfId="0">
      <alignment horizontal="center" vertical="center"/>
    </xf>
    <xf numFmtId="0" fontId="0" fillId="17" borderId="0" pivotButton="0" quotePrefix="0" xfId="0"/>
    <xf numFmtId="10" fontId="0" fillId="0" borderId="0" pivotButton="0" quotePrefix="0" xfId="0"/>
    <xf numFmtId="0" fontId="3" fillId="0" borderId="0" pivotButton="0" quotePrefix="0" xfId="0"/>
    <xf numFmtId="9" fontId="48" fillId="0" borderId="0" applyAlignment="1" pivotButton="0" quotePrefix="0" xfId="3">
      <alignment horizontal="left" vertical="center"/>
    </xf>
    <xf numFmtId="0" fontId="22" fillId="17" borderId="1" pivotButton="0" quotePrefix="0" xfId="0"/>
    <xf numFmtId="9" fontId="22" fillId="0" borderId="0" pivotButton="0" quotePrefix="0" xfId="0"/>
    <xf numFmtId="0" fontId="22" fillId="0" borderId="1" pivotButton="0" quotePrefix="0" xfId="0"/>
    <xf numFmtId="0" fontId="22" fillId="36" borderId="1" pivotButton="0" quotePrefix="0" xfId="0"/>
    <xf numFmtId="9" fontId="22" fillId="36" borderId="1" pivotButton="0" quotePrefix="0" xfId="0"/>
    <xf numFmtId="10" fontId="22" fillId="36" borderId="1" pivotButton="0" quotePrefix="0" xfId="0"/>
    <xf numFmtId="0" fontId="22" fillId="37" borderId="1" pivotButton="0" quotePrefix="0" xfId="0"/>
    <xf numFmtId="9" fontId="22" fillId="37" borderId="1" pivotButton="0" quotePrefix="0" xfId="0"/>
    <xf numFmtId="10" fontId="22" fillId="37" borderId="1" pivotButton="0" quotePrefix="0" xfId="0"/>
    <xf numFmtId="0" fontId="22" fillId="33" borderId="1" pivotButton="0" quotePrefix="0" xfId="0"/>
    <xf numFmtId="9" fontId="22" fillId="33" borderId="1" pivotButton="0" quotePrefix="0" xfId="0"/>
    <xf numFmtId="10" fontId="22" fillId="33" borderId="1" pivotButton="0" quotePrefix="0" xfId="0"/>
    <xf numFmtId="2" fontId="0" fillId="0" borderId="0" pivotButton="0" quotePrefix="0" xfId="3"/>
    <xf numFmtId="0" fontId="48" fillId="0" borderId="52" applyAlignment="1" pivotButton="0" quotePrefix="0" xfId="6">
      <alignment horizontal="center"/>
    </xf>
    <xf numFmtId="0" fontId="49" fillId="0" borderId="52" applyAlignment="1" pivotButton="0" quotePrefix="0" xfId="6">
      <alignment horizontal="center"/>
    </xf>
    <xf numFmtId="0" fontId="0" fillId="0" borderId="0" applyAlignment="1" pivotButton="0" quotePrefix="0" xfId="0">
      <alignment horizontal="center" vertical="center"/>
    </xf>
    <xf numFmtId="0" fontId="0" fillId="0" borderId="9" applyAlignment="1" pivotButton="0" quotePrefix="0" xfId="0">
      <alignment horizontal="left" vertical="center"/>
    </xf>
    <xf numFmtId="0" fontId="0" fillId="0" borderId="7" applyAlignment="1" pivotButton="0" quotePrefix="0" xfId="0">
      <alignment horizontal="left" vertical="center"/>
    </xf>
    <xf numFmtId="0" fontId="0" fillId="0" borderId="7" applyAlignment="1" pivotButton="0" quotePrefix="0" xfId="0">
      <alignment horizontal="center" vertical="center"/>
    </xf>
    <xf numFmtId="0" fontId="19" fillId="0" borderId="7" applyAlignment="1" pivotButton="0" quotePrefix="0" xfId="0">
      <alignment horizontal="center" vertical="center" wrapText="1"/>
    </xf>
    <xf numFmtId="0" fontId="0" fillId="0" borderId="10" applyAlignment="1" pivotButton="0" quotePrefix="0" xfId="0">
      <alignment horizontal="center"/>
    </xf>
    <xf numFmtId="0" fontId="0" fillId="0" borderId="7" applyAlignment="1" pivotButton="0" quotePrefix="0" xfId="0">
      <alignment horizontal="center"/>
    </xf>
    <xf numFmtId="0" fontId="28" fillId="0" borderId="32" pivotButton="0" quotePrefix="0" xfId="0"/>
    <xf numFmtId="2" fontId="36" fillId="0" borderId="1" pivotButton="0" quotePrefix="0" xfId="0"/>
    <xf numFmtId="164" fontId="0" fillId="9" borderId="1" applyAlignment="1" pivotButton="0" quotePrefix="0" xfId="0">
      <alignment horizontal="center" vertical="center"/>
    </xf>
    <xf numFmtId="165" fontId="0" fillId="0" borderId="0" pivotButton="0" quotePrefix="0" xfId="0"/>
    <xf numFmtId="165" fontId="0" fillId="0" borderId="0" pivotButton="0" quotePrefix="0" xfId="2"/>
    <xf numFmtId="166" fontId="0" fillId="0" borderId="0" pivotButton="0" quotePrefix="0" xfId="0"/>
    <xf numFmtId="165" fontId="23" fillId="16" borderId="40" applyAlignment="1" pivotButton="0" quotePrefix="0" xfId="2">
      <alignment vertical="center"/>
    </xf>
    <xf numFmtId="165" fontId="16" fillId="8" borderId="4" pivotButton="0" quotePrefix="0" xfId="2"/>
    <xf numFmtId="0" fontId="2" fillId="0" borderId="0" pivotButton="0" quotePrefix="0" xfId="0"/>
    <xf numFmtId="0" fontId="0" fillId="0" borderId="16" pivotButton="0" quotePrefix="0" xfId="0"/>
    <xf numFmtId="0" fontId="0" fillId="0" borderId="20" pivotButton="0" quotePrefix="0" xfId="0"/>
    <xf numFmtId="0" fontId="0" fillId="0" borderId="18" pivotButton="0" quotePrefix="0" xfId="0"/>
    <xf numFmtId="0" fontId="0" fillId="0" borderId="19" pivotButton="0" quotePrefix="0" xfId="0"/>
    <xf numFmtId="0" fontId="0" fillId="0" borderId="22" pivotButton="0" quotePrefix="0" xfId="0"/>
    <xf numFmtId="0" fontId="0" fillId="0" borderId="7" pivotButton="0" quotePrefix="0" xfId="0"/>
    <xf numFmtId="0" fontId="0" fillId="0" borderId="6" pivotButton="0" quotePrefix="0" xfId="0"/>
    <xf numFmtId="0" fontId="0" fillId="0" borderId="21" pivotButton="0" quotePrefix="0" xfId="0"/>
    <xf numFmtId="0" fontId="49" fillId="0" borderId="25" applyAlignment="1" pivotButton="0" quotePrefix="0" xfId="6">
      <alignment horizontal="center" vertical="center"/>
    </xf>
    <xf numFmtId="0" fontId="0" fillId="0" borderId="3" pivotButton="0" quotePrefix="0" xfId="0"/>
    <xf numFmtId="0" fontId="48" fillId="0" borderId="3" applyAlignment="1" pivotButton="0" quotePrefix="0" xfId="6">
      <alignment horizontal="center"/>
    </xf>
    <xf numFmtId="0" fontId="48" fillId="0" borderId="1" applyAlignment="1" pivotButton="0" quotePrefix="0" xfId="6">
      <alignment horizontal="center"/>
    </xf>
    <xf numFmtId="0" fontId="0" fillId="0" borderId="13" pivotButton="0" quotePrefix="0" xfId="0"/>
    <xf numFmtId="0" fontId="51" fillId="0" borderId="2" applyAlignment="1" pivotButton="0" quotePrefix="0" xfId="6">
      <alignment horizontal="center"/>
    </xf>
    <xf numFmtId="0" fontId="0" fillId="0" borderId="11" pivotButton="0" quotePrefix="0" xfId="0"/>
    <xf numFmtId="0" fontId="48" fillId="0" borderId="2" applyAlignment="1" pivotButton="0" quotePrefix="0" xfId="6">
      <alignment horizontal="center"/>
    </xf>
    <xf numFmtId="0" fontId="49" fillId="0" borderId="55" applyAlignment="1" pivotButton="0" quotePrefix="0" xfId="6">
      <alignment horizontal="center" vertical="center"/>
    </xf>
    <xf numFmtId="0" fontId="48" fillId="0" borderId="53" applyAlignment="1" pivotButton="0" quotePrefix="0" xfId="6">
      <alignment horizontal="center"/>
    </xf>
    <xf numFmtId="0" fontId="0" fillId="0" borderId="0" pivotButton="0" quotePrefix="0" xfId="0"/>
    <xf numFmtId="0" fontId="0" fillId="0" borderId="8" pivotButton="0" quotePrefix="0" xfId="0"/>
    <xf numFmtId="0" fontId="0" fillId="0" borderId="14" pivotButton="0" quotePrefix="0" xfId="0"/>
    <xf numFmtId="0" fontId="0" fillId="0" borderId="10" applyAlignment="1" pivotButton="0" quotePrefix="0" xfId="0">
      <alignment horizontal="left" vertical="center"/>
    </xf>
    <xf numFmtId="0" fontId="0" fillId="0" borderId="1" applyAlignment="1" pivotButton="0" quotePrefix="0" xfId="0">
      <alignment horizontal="left" vertical="center"/>
    </xf>
    <xf numFmtId="0" fontId="0" fillId="0" borderId="1" applyAlignment="1" pivotButton="0" quotePrefix="0" xfId="0">
      <alignment horizontal="center" vertical="center"/>
    </xf>
    <xf numFmtId="0" fontId="19" fillId="0" borderId="1" applyAlignment="1" pivotButton="0" quotePrefix="0" xfId="0">
      <alignment horizontal="center" vertical="center" wrapText="1"/>
    </xf>
    <xf numFmtId="0" fontId="0" fillId="17" borderId="1" applyAlignment="1" pivotButton="0" quotePrefix="0" xfId="0">
      <alignment horizontal="center" vertical="center"/>
    </xf>
    <xf numFmtId="2" fontId="19" fillId="13" borderId="1" applyAlignment="1" pivotButton="0" quotePrefix="0" xfId="0">
      <alignment horizontal="center" vertical="center"/>
    </xf>
    <xf numFmtId="0" fontId="31" fillId="26" borderId="1" applyAlignment="1" pivotButton="0" quotePrefix="0" xfId="0">
      <alignment horizontal="center" vertical="center" wrapText="1"/>
    </xf>
    <xf numFmtId="0" fontId="19" fillId="10" borderId="1" applyAlignment="1" pivotButton="0" quotePrefix="0" xfId="0">
      <alignment horizontal="center" vertical="center"/>
    </xf>
    <xf numFmtId="0" fontId="0" fillId="0" borderId="0" applyAlignment="1" pivotButton="0" quotePrefix="0" xfId="0">
      <alignment horizontal="center"/>
    </xf>
    <xf numFmtId="0" fontId="0" fillId="10" borderId="1" applyAlignment="1" pivotButton="0" quotePrefix="0" xfId="0">
      <alignment horizontal="center"/>
    </xf>
    <xf numFmtId="0" fontId="0" fillId="0" borderId="1" applyAlignment="1" pivotButton="0" quotePrefix="0" xfId="0">
      <alignment horizontal="center"/>
    </xf>
    <xf numFmtId="0" fontId="19" fillId="0" borderId="0" applyAlignment="1" pivotButton="0" quotePrefix="0" xfId="0">
      <alignment horizontal="left" vertical="center"/>
    </xf>
    <xf numFmtId="1" fontId="1" fillId="0" borderId="0" pivotButton="0" quotePrefix="0" xfId="0"/>
    <xf numFmtId="167" fontId="49" fillId="0" borderId="33" applyAlignment="1" pivotButton="0" quotePrefix="0" xfId="9">
      <alignment horizontal="left"/>
    </xf>
    <xf numFmtId="167" fontId="49" fillId="0" borderId="22" applyAlignment="1" pivotButton="0" quotePrefix="0" xfId="9">
      <alignment horizontal="left"/>
    </xf>
    <xf numFmtId="167" fontId="48" fillId="0" borderId="0" applyAlignment="1" pivotButton="0" quotePrefix="0" xfId="9">
      <alignment horizontal="center" vertical="center"/>
    </xf>
    <xf numFmtId="167" fontId="48" fillId="0" borderId="20" applyAlignment="1" pivotButton="0" quotePrefix="0" xfId="9">
      <alignment horizontal="center"/>
    </xf>
    <xf numFmtId="167" fontId="49" fillId="0" borderId="30" applyAlignment="1" pivotButton="0" quotePrefix="0" xfId="9">
      <alignment horizontal="center" vertical="center"/>
    </xf>
    <xf numFmtId="167" fontId="49" fillId="0" borderId="52" applyAlignment="1" pivotButton="0" quotePrefix="0" xfId="9">
      <alignment horizontal="center" vertical="center"/>
    </xf>
    <xf numFmtId="167" fontId="49" fillId="0" borderId="33" applyAlignment="1" pivotButton="0" quotePrefix="0" xfId="9">
      <alignment horizontal="center" vertical="center"/>
    </xf>
    <xf numFmtId="168" fontId="48" fillId="0" borderId="8" applyAlignment="1" pivotButton="0" quotePrefix="0" xfId="9">
      <alignment horizontal="center"/>
    </xf>
    <xf numFmtId="168" fontId="48" fillId="0" borderId="10" applyAlignment="1" pivotButton="0" quotePrefix="0" xfId="6">
      <alignment horizontal="right"/>
    </xf>
    <xf numFmtId="168" fontId="48" fillId="0" borderId="1" applyAlignment="1" pivotButton="0" quotePrefix="0" xfId="9">
      <alignment horizontal="center"/>
    </xf>
    <xf numFmtId="168" fontId="48" fillId="0" borderId="5" applyAlignment="1" pivotButton="0" quotePrefix="0" xfId="9">
      <alignment horizontal="center"/>
    </xf>
    <xf numFmtId="168" fontId="48" fillId="0" borderId="2" applyAlignment="1" pivotButton="0" quotePrefix="0" xfId="9">
      <alignment horizontal="center"/>
    </xf>
    <xf numFmtId="167" fontId="49" fillId="0" borderId="41" applyAlignment="1" pivotButton="0" quotePrefix="0" xfId="9">
      <alignment horizontal="center"/>
    </xf>
    <xf numFmtId="167" fontId="48" fillId="0" borderId="0" applyAlignment="1" pivotButton="0" quotePrefix="0" xfId="9">
      <alignment horizontal="center"/>
    </xf>
    <xf numFmtId="167" fontId="49" fillId="0" borderId="10" applyAlignment="1" pivotButton="0" quotePrefix="0" xfId="9">
      <alignment horizontal="center"/>
    </xf>
    <xf numFmtId="167" fontId="49" fillId="0" borderId="35" applyAlignment="1" pivotButton="0" quotePrefix="0" xfId="9">
      <alignment horizontal="center"/>
    </xf>
    <xf numFmtId="167" fontId="49" fillId="0" borderId="12" applyAlignment="1" pivotButton="0" quotePrefix="0" xfId="9">
      <alignment horizontal="center"/>
    </xf>
    <xf numFmtId="167" fontId="49" fillId="0" borderId="60" applyAlignment="1" pivotButton="0" quotePrefix="0" xfId="9">
      <alignment horizontal="center"/>
    </xf>
    <xf numFmtId="169" fontId="48" fillId="0" borderId="1" applyAlignment="1" pivotButton="0" quotePrefix="0" xfId="6">
      <alignment horizontal="center"/>
    </xf>
    <xf numFmtId="168" fontId="48" fillId="0" borderId="10" applyAlignment="1" pivotButton="0" quotePrefix="0" xfId="9">
      <alignment horizontal="center"/>
    </xf>
    <xf numFmtId="170" fontId="48" fillId="0" borderId="61" applyAlignment="1" pivotButton="0" quotePrefix="0" xfId="3">
      <alignment horizontal="center"/>
    </xf>
    <xf numFmtId="171" fontId="48" fillId="0" borderId="61" applyAlignment="1" pivotButton="0" quotePrefix="0" xfId="3">
      <alignment horizontal="center"/>
    </xf>
    <xf numFmtId="167" fontId="49" fillId="0" borderId="54" applyAlignment="1" pivotButton="0" quotePrefix="0" xfId="9">
      <alignment horizontal="center"/>
    </xf>
    <xf numFmtId="168" fontId="49" fillId="0" borderId="53" applyAlignment="1" pivotButton="0" quotePrefix="0" xfId="9">
      <alignment horizontal="center"/>
    </xf>
    <xf numFmtId="168" fontId="49" fillId="0" borderId="60" applyAlignment="1" pivotButton="0" quotePrefix="0" xfId="9">
      <alignment horizontal="center"/>
    </xf>
    <xf numFmtId="167" fontId="49" fillId="0" borderId="0" applyAlignment="1" pivotButton="0" quotePrefix="0" xfId="9">
      <alignment horizontal="center"/>
    </xf>
    <xf numFmtId="168" fontId="49" fillId="0" borderId="0" applyAlignment="1" pivotButton="0" quotePrefix="0" xfId="9">
      <alignment horizontal="left" vertical="center"/>
    </xf>
    <xf numFmtId="168" fontId="49" fillId="0" borderId="0" applyAlignment="1" pivotButton="0" quotePrefix="0" xfId="9">
      <alignment horizontal="right" vertical="center"/>
    </xf>
    <xf numFmtId="168" fontId="49" fillId="0" borderId="17" applyAlignment="1" pivotButton="0" quotePrefix="0" xfId="9">
      <alignment horizontal="center"/>
    </xf>
    <xf numFmtId="167" fontId="49" fillId="0" borderId="57" applyAlignment="1" pivotButton="0" quotePrefix="0" xfId="9">
      <alignment horizontal="center"/>
    </xf>
    <xf numFmtId="168" fontId="52" fillId="17" borderId="21" applyAlignment="1" pivotButton="0" quotePrefix="0" xfId="9">
      <alignment horizontal="center" vertical="center"/>
    </xf>
    <xf numFmtId="169" fontId="0" fillId="0" borderId="1" applyAlignment="1" pivotButton="0" quotePrefix="0" xfId="1">
      <alignment horizontal="center" vertical="center"/>
    </xf>
    <xf numFmtId="169" fontId="0" fillId="17" borderId="1" applyAlignment="1" pivotButton="0" quotePrefix="0" xfId="1">
      <alignment horizontal="center" vertical="center"/>
    </xf>
    <xf numFmtId="169" fontId="0" fillId="4" borderId="1" pivotButton="0" quotePrefix="0" xfId="0"/>
    <xf numFmtId="169" fontId="0" fillId="0" borderId="0" pivotButton="0" quotePrefix="0" xfId="0"/>
    <xf numFmtId="169" fontId="0" fillId="0" borderId="1" pivotButton="0" quotePrefix="0" xfId="0"/>
    <xf numFmtId="172" fontId="0" fillId="0" borderId="0" pivotButton="0" quotePrefix="0" xfId="2"/>
    <xf numFmtId="172" fontId="45" fillId="7" borderId="41" applyAlignment="1" pivotButton="0" quotePrefix="0" xfId="0">
      <alignment vertical="center"/>
    </xf>
    <xf numFmtId="172" fontId="0" fillId="0" borderId="0" pivotButton="0" quotePrefix="0" xfId="0"/>
    <xf numFmtId="173" fontId="0" fillId="0" borderId="3" pivotButton="0" quotePrefix="0" xfId="0"/>
    <xf numFmtId="172" fontId="21" fillId="7" borderId="41" applyAlignment="1" pivotButton="0" quotePrefix="0" xfId="0">
      <alignment vertical="center"/>
    </xf>
    <xf numFmtId="173" fontId="0" fillId="0" borderId="1" pivotButton="0" quotePrefix="0" xfId="0"/>
    <xf numFmtId="173" fontId="21" fillId="7" borderId="1" pivotButton="0" quotePrefix="0" xfId="0"/>
    <xf numFmtId="173" fontId="0" fillId="0" borderId="28" pivotButton="0" quotePrefix="0" xfId="0"/>
    <xf numFmtId="173" fontId="21" fillId="7" borderId="28" pivotButton="0" quotePrefix="0" xfId="0"/>
    <xf numFmtId="174" fontId="32" fillId="26" borderId="1" applyAlignment="1" pivotButton="0" quotePrefix="0" xfId="0">
      <alignment horizontal="center" vertical="center" wrapText="1"/>
    </xf>
    <xf numFmtId="175" fontId="0" fillId="20" borderId="1" applyAlignment="1" pivotButton="0" quotePrefix="0" xfId="0">
      <alignment vertical="center"/>
    </xf>
    <xf numFmtId="174" fontId="0" fillId="7" borderId="1" applyAlignment="1" pivotButton="0" quotePrefix="0" xfId="0">
      <alignment horizontal="center"/>
    </xf>
    <xf numFmtId="175" fontId="0" fillId="0" borderId="0" applyAlignment="1" pivotButton="0" quotePrefix="0" xfId="0">
      <alignment horizontal="center"/>
    </xf>
    <xf numFmtId="2" fontId="0" fillId="32" borderId="1" pivotButton="0" quotePrefix="0" xfId="0"/>
    <xf numFmtId="0" fontId="48" fillId="0" borderId="1" applyAlignment="1" pivotButton="0" quotePrefix="0" xfId="6">
      <alignment horizontal="center"/>
    </xf>
    <xf numFmtId="0" fontId="0" fillId="0" borderId="7" pivotButton="0" quotePrefix="0" xfId="0"/>
    <xf numFmtId="9" fontId="48" fillId="0" borderId="1" applyAlignment="1" pivotButton="0" quotePrefix="0" xfId="3">
      <alignment horizontal="center"/>
    </xf>
    <xf numFmtId="0" fontId="0" fillId="0" borderId="9" pivotButton="0" quotePrefix="0" xfId="0"/>
    <xf numFmtId="0" fontId="49" fillId="0" borderId="1" applyAlignment="1" pivotButton="0" quotePrefix="0" xfId="6">
      <alignment horizontal="center"/>
    </xf>
    <xf numFmtId="9" fontId="48" fillId="7" borderId="65" applyAlignment="1" pivotButton="0" quotePrefix="0" xfId="3">
      <alignment horizontal="center"/>
    </xf>
    <xf numFmtId="0" fontId="0" fillId="0" borderId="55" pivotButton="0" quotePrefix="0" xfId="0"/>
    <xf numFmtId="0" fontId="49" fillId="0" borderId="18" applyAlignment="1" pivotButton="0" quotePrefix="0" xfId="6">
      <alignment horizontal="center"/>
    </xf>
    <xf numFmtId="0" fontId="0" fillId="0" borderId="19" pivotButton="0" quotePrefix="0" xfId="0"/>
    <xf numFmtId="0" fontId="49" fillId="0" borderId="55" applyAlignment="1" pivotButton="0" quotePrefix="0" xfId="6">
      <alignment horizontal="center" vertical="center"/>
    </xf>
    <xf numFmtId="0" fontId="49" fillId="0" borderId="25" applyAlignment="1" pivotButton="0" quotePrefix="0" xfId="6">
      <alignment horizontal="center" vertical="center"/>
    </xf>
    <xf numFmtId="0" fontId="0" fillId="0" borderId="16" pivotButton="0" quotePrefix="0" xfId="0"/>
    <xf numFmtId="0" fontId="0" fillId="0" borderId="63" pivotButton="0" quotePrefix="0" xfId="0"/>
    <xf numFmtId="0" fontId="0" fillId="0" borderId="5" pivotButton="0" quotePrefix="0" xfId="0"/>
    <xf numFmtId="0" fontId="0" fillId="0" borderId="0" pivotButton="0" quotePrefix="0" xfId="0"/>
    <xf numFmtId="0" fontId="0" fillId="0" borderId="64" pivotButton="0" quotePrefix="0" xfId="0"/>
    <xf numFmtId="0" fontId="0" fillId="0" borderId="8" pivotButton="0" quotePrefix="0" xfId="0"/>
    <xf numFmtId="0" fontId="0" fillId="0" borderId="14" pivotButton="0" quotePrefix="0" xfId="0"/>
    <xf numFmtId="0" fontId="0" fillId="0" borderId="6" pivotButton="0" quotePrefix="0" xfId="0"/>
    <xf numFmtId="1" fontId="49" fillId="0" borderId="19" applyAlignment="1" pivotButton="0" quotePrefix="0" xfId="6">
      <alignment horizontal="center" vertical="center"/>
    </xf>
    <xf numFmtId="0" fontId="48" fillId="0" borderId="2" applyAlignment="1" pivotButton="0" quotePrefix="0" xfId="6">
      <alignment horizontal="center"/>
    </xf>
    <xf numFmtId="0" fontId="0" fillId="0" borderId="11" pivotButton="0" quotePrefix="0" xfId="0"/>
    <xf numFmtId="0" fontId="49" fillId="0" borderId="33" applyAlignment="1" pivotButton="0" quotePrefix="0" xfId="6">
      <alignment horizontal="left" vertical="center"/>
    </xf>
    <xf numFmtId="0" fontId="0" fillId="0" borderId="13" pivotButton="0" quotePrefix="0" xfId="0"/>
    <xf numFmtId="0" fontId="0" fillId="0" borderId="38" pivotButton="0" quotePrefix="0" xfId="0"/>
    <xf numFmtId="0" fontId="0" fillId="0" borderId="81" pivotButton="0" quotePrefix="0" xfId="0"/>
    <xf numFmtId="0" fontId="0" fillId="0" borderId="22" pivotButton="0" quotePrefix="0" xfId="0"/>
    <xf numFmtId="0" fontId="53" fillId="35" borderId="89" applyAlignment="1" pivotButton="0" quotePrefix="0" xfId="6">
      <alignment horizontal="right" vertical="center"/>
    </xf>
    <xf numFmtId="0" fontId="0" fillId="0" borderId="90" pivotButton="0" quotePrefix="0" xfId="0"/>
    <xf numFmtId="0" fontId="48" fillId="0" borderId="3" applyAlignment="1" pivotButton="0" quotePrefix="0" xfId="6">
      <alignment horizontal="center"/>
    </xf>
    <xf numFmtId="0" fontId="51" fillId="0" borderId="2" applyAlignment="1" pivotButton="0" quotePrefix="0" xfId="6">
      <alignment horizontal="center"/>
    </xf>
    <xf numFmtId="0" fontId="48" fillId="0" borderId="22" applyAlignment="1" pivotButton="0" quotePrefix="0" xfId="6">
      <alignment horizontal="center" vertical="center"/>
    </xf>
    <xf numFmtId="9" fontId="48" fillId="0" borderId="1" applyAlignment="1" pivotButton="0" quotePrefix="0" xfId="6">
      <alignment horizontal="center"/>
    </xf>
    <xf numFmtId="168" fontId="48" fillId="0" borderId="51" applyAlignment="1" pivotButton="0" quotePrefix="0" xfId="6">
      <alignment horizontal="center"/>
    </xf>
    <xf numFmtId="0" fontId="0" fillId="0" borderId="51" pivotButton="0" quotePrefix="0" xfId="0"/>
    <xf numFmtId="0" fontId="49" fillId="0" borderId="50" applyAlignment="1" pivotButton="0" quotePrefix="0" xfId="6">
      <alignment horizontal="center" vertical="center" wrapText="1"/>
    </xf>
    <xf numFmtId="0" fontId="0" fillId="0" borderId="74" pivotButton="0" quotePrefix="0" xfId="0"/>
    <xf numFmtId="1" fontId="48" fillId="7" borderId="65" applyAlignment="1" pivotButton="0" quotePrefix="0" xfId="6">
      <alignment horizontal="center"/>
    </xf>
    <xf numFmtId="0" fontId="49" fillId="0" borderId="76" applyAlignment="1" pivotButton="0" quotePrefix="0" xfId="6">
      <alignment horizontal="left" vertical="center"/>
    </xf>
    <xf numFmtId="0" fontId="0" fillId="0" borderId="77" pivotButton="0" quotePrefix="0" xfId="0"/>
    <xf numFmtId="0" fontId="0" fillId="0" borderId="78" pivotButton="0" quotePrefix="0" xfId="0"/>
    <xf numFmtId="0" fontId="0" fillId="0" borderId="79" pivotButton="0" quotePrefix="0" xfId="0"/>
    <xf numFmtId="0" fontId="0" fillId="0" borderId="80" pivotButton="0" quotePrefix="0" xfId="0"/>
    <xf numFmtId="0" fontId="0" fillId="0" borderId="58" pivotButton="0" quotePrefix="0" xfId="0"/>
    <xf numFmtId="0" fontId="49" fillId="0" borderId="18" applyAlignment="1" pivotButton="0" quotePrefix="0" xfId="6">
      <alignment horizontal="left" vertical="center" wrapText="1"/>
    </xf>
    <xf numFmtId="168" fontId="49" fillId="17" borderId="75" applyAlignment="1" pivotButton="0" quotePrefix="0" xfId="9">
      <alignment horizontal="center" vertical="center"/>
    </xf>
    <xf numFmtId="0" fontId="0" fillId="0" borderId="20" pivotButton="0" quotePrefix="0" xfId="0"/>
    <xf numFmtId="0" fontId="0" fillId="0" borderId="18" pivotButton="0" quotePrefix="0" xfId="0"/>
    <xf numFmtId="168" fontId="49" fillId="0" borderId="57" applyAlignment="1" pivotButton="0" quotePrefix="0" xfId="9">
      <alignment horizontal="center"/>
    </xf>
    <xf numFmtId="0" fontId="0" fillId="0" borderId="54" pivotButton="0" quotePrefix="0" xfId="0"/>
    <xf numFmtId="0" fontId="49" fillId="0" borderId="24" applyAlignment="1" pivotButton="0" quotePrefix="0" xfId="6">
      <alignment horizontal="center" vertical="center"/>
    </xf>
    <xf numFmtId="0" fontId="0" fillId="0" borderId="71" pivotButton="0" quotePrefix="0" xfId="0"/>
    <xf numFmtId="0" fontId="0" fillId="0" borderId="42" pivotButton="0" quotePrefix="0" xfId="0"/>
    <xf numFmtId="0" fontId="48" fillId="0" borderId="66" applyAlignment="1" pivotButton="0" quotePrefix="0" xfId="6">
      <alignment horizontal="center"/>
    </xf>
    <xf numFmtId="0" fontId="0" fillId="0" borderId="53" pivotButton="0" quotePrefix="0" xfId="0"/>
    <xf numFmtId="0" fontId="0" fillId="0" borderId="67" pivotButton="0" quotePrefix="0" xfId="0"/>
    <xf numFmtId="0" fontId="49" fillId="17" borderId="82" applyAlignment="1" pivotButton="0" quotePrefix="0" xfId="6">
      <alignment horizontal="center" vertical="center"/>
    </xf>
    <xf numFmtId="168" fontId="49" fillId="0" borderId="3" applyAlignment="1" pivotButton="0" quotePrefix="0" xfId="9">
      <alignment horizontal="left" vertical="center"/>
    </xf>
    <xf numFmtId="0" fontId="48" fillId="0" borderId="39" applyAlignment="1" pivotButton="0" quotePrefix="0" xfId="6">
      <alignment horizontal="center"/>
    </xf>
    <xf numFmtId="0" fontId="0" fillId="0" borderId="59" pivotButton="0" quotePrefix="0" xfId="0"/>
    <xf numFmtId="0" fontId="48" fillId="0" borderId="54" applyAlignment="1" pivotButton="0" quotePrefix="0" xfId="6">
      <alignment horizontal="center"/>
    </xf>
    <xf numFmtId="0" fontId="0" fillId="0" borderId="68" pivotButton="0" quotePrefix="0" xfId="0"/>
    <xf numFmtId="0" fontId="0" fillId="0" borderId="3" pivotButton="0" quotePrefix="0" xfId="0"/>
    <xf numFmtId="168" fontId="52" fillId="17" borderId="69" applyAlignment="1" pivotButton="0" quotePrefix="0" xfId="9">
      <alignment horizontal="center" vertical="center"/>
    </xf>
    <xf numFmtId="168" fontId="49" fillId="0" borderId="1" applyAlignment="1" pivotButton="0" quotePrefix="0" xfId="9">
      <alignment horizontal="left" vertical="center"/>
    </xf>
    <xf numFmtId="168" fontId="49" fillId="0" borderId="1" applyAlignment="1" pivotButton="0" quotePrefix="0" xfId="9">
      <alignment horizontal="right" vertical="center"/>
    </xf>
    <xf numFmtId="0" fontId="49" fillId="0" borderId="57" applyAlignment="1" pivotButton="0" quotePrefix="0" xfId="6">
      <alignment horizontal="center"/>
    </xf>
    <xf numFmtId="9" fontId="48" fillId="0" borderId="3" applyAlignment="1" pivotButton="0" quotePrefix="0" xfId="6">
      <alignment horizontal="center"/>
    </xf>
    <xf numFmtId="0" fontId="48" fillId="0" borderId="53" applyAlignment="1" pivotButton="0" quotePrefix="0" xfId="6">
      <alignment horizontal="center"/>
    </xf>
    <xf numFmtId="0" fontId="48" fillId="0" borderId="57" applyAlignment="1" pivotButton="0" quotePrefix="0" xfId="6">
      <alignment horizontal="center"/>
    </xf>
    <xf numFmtId="0" fontId="47" fillId="0" borderId="75" applyAlignment="1" pivotButton="0" quotePrefix="0" xfId="6">
      <alignment horizontal="center" vertical="center"/>
    </xf>
    <xf numFmtId="0" fontId="49" fillId="0" borderId="72" applyAlignment="1" pivotButton="0" quotePrefix="0" xfId="6">
      <alignment horizontal="center" vertical="center"/>
    </xf>
    <xf numFmtId="0" fontId="0" fillId="0" borderId="73" pivotButton="0" quotePrefix="0" xfId="0"/>
    <xf numFmtId="0" fontId="0" fillId="0" borderId="70" pivotButton="0" quotePrefix="0" xfId="0"/>
    <xf numFmtId="0" fontId="54" fillId="32" borderId="24" applyAlignment="1" pivotButton="0" quotePrefix="0" xfId="6">
      <alignment horizontal="center" vertical="center"/>
    </xf>
    <xf numFmtId="0" fontId="48" fillId="0" borderId="69" applyAlignment="1" pivotButton="0" quotePrefix="0" xfId="6">
      <alignment horizontal="center" wrapText="1"/>
    </xf>
    <xf numFmtId="0" fontId="0" fillId="0" borderId="21" pivotButton="0" quotePrefix="0" xfId="0"/>
    <xf numFmtId="176" fontId="53" fillId="35" borderId="91" applyAlignment="1" pivotButton="0" quotePrefix="0" xfId="6">
      <alignment horizontal="left" vertical="center"/>
    </xf>
    <xf numFmtId="0" fontId="49" fillId="0" borderId="25" applyAlignment="1" pivotButton="0" quotePrefix="0" xfId="6">
      <alignment horizontal="center" vertical="top" wrapText="1"/>
    </xf>
    <xf numFmtId="0" fontId="3" fillId="0" borderId="0" applyAlignment="1" pivotButton="0" quotePrefix="0" xfId="0">
      <alignment horizontal="center" vertical="center"/>
    </xf>
    <xf numFmtId="0" fontId="0" fillId="0" borderId="10" applyAlignment="1" pivotButton="0" quotePrefix="0" xfId="0">
      <alignment horizontal="left" vertical="center"/>
    </xf>
    <xf numFmtId="0" fontId="18" fillId="0" borderId="5" applyAlignment="1" pivotButton="0" quotePrefix="0" xfId="0">
      <alignment horizontal="center" vertical="center"/>
    </xf>
    <xf numFmtId="0" fontId="0" fillId="0" borderId="1" applyAlignment="1" pivotButton="0" quotePrefix="0" xfId="0">
      <alignment horizontal="center" vertical="center"/>
    </xf>
    <xf numFmtId="0" fontId="22" fillId="15" borderId="1" applyAlignment="1" pivotButton="0" quotePrefix="0" xfId="0">
      <alignment horizontal="center" vertical="center"/>
    </xf>
    <xf numFmtId="0" fontId="0" fillId="17" borderId="1" applyAlignment="1" pivotButton="0" quotePrefix="0" xfId="0">
      <alignment horizontal="center" vertical="center"/>
    </xf>
    <xf numFmtId="0" fontId="18" fillId="0" borderId="1" applyAlignment="1" pivotButton="0" quotePrefix="0" xfId="0">
      <alignment horizontal="center" vertical="center"/>
    </xf>
    <xf numFmtId="0" fontId="19" fillId="0" borderId="1" applyAlignment="1" pivotButton="0" quotePrefix="0" xfId="0">
      <alignment horizontal="left" vertical="center"/>
    </xf>
    <xf numFmtId="0" fontId="0" fillId="0" borderId="1" applyAlignment="1" pivotButton="0" quotePrefix="0" xfId="0">
      <alignment horizontal="left" vertical="center"/>
    </xf>
    <xf numFmtId="0" fontId="17" fillId="10" borderId="0" applyAlignment="1" pivotButton="0" quotePrefix="0" xfId="0">
      <alignment horizontal="center"/>
    </xf>
    <xf numFmtId="0" fontId="0" fillId="0" borderId="9" applyAlignment="1" pivotButton="0" quotePrefix="0" xfId="0">
      <alignment horizontal="center"/>
    </xf>
    <xf numFmtId="0" fontId="19" fillId="0" borderId="1" applyAlignment="1" pivotButton="0" quotePrefix="0" xfId="0">
      <alignment horizontal="center" vertical="center" wrapText="1"/>
    </xf>
    <xf numFmtId="0" fontId="19" fillId="13" borderId="1" applyAlignment="1" pivotButton="0" quotePrefix="0" xfId="0">
      <alignment horizontal="center" vertical="center"/>
    </xf>
    <xf numFmtId="2" fontId="19" fillId="13" borderId="1" applyAlignment="1" pivotButton="0" quotePrefix="0" xfId="0">
      <alignment horizontal="center" vertical="center"/>
    </xf>
    <xf numFmtId="0" fontId="0" fillId="17" borderId="1" applyAlignment="1" pivotButton="0" quotePrefix="0" xfId="0">
      <alignment horizontal="left" vertical="center"/>
    </xf>
    <xf numFmtId="0" fontId="19" fillId="17" borderId="1" applyAlignment="1" pivotButton="0" quotePrefix="0" xfId="0">
      <alignment horizontal="center" vertical="center"/>
    </xf>
    <xf numFmtId="0" fontId="6" fillId="0" borderId="10" applyAlignment="1" pivotButton="0" quotePrefix="0" xfId="0">
      <alignment horizontal="left" vertical="center"/>
    </xf>
    <xf numFmtId="0" fontId="0" fillId="14" borderId="1" applyAlignment="1" pivotButton="0" quotePrefix="0" xfId="0">
      <alignment horizontal="center" vertical="center"/>
    </xf>
    <xf numFmtId="0" fontId="19" fillId="17" borderId="7" applyAlignment="1" pivotButton="0" quotePrefix="0" xfId="0">
      <alignment horizontal="center" vertical="center" wrapText="1"/>
    </xf>
    <xf numFmtId="0" fontId="55" fillId="9" borderId="92" applyAlignment="1" pivotButton="0" quotePrefix="0" xfId="0">
      <alignment horizontal="center" vertical="center"/>
    </xf>
    <xf numFmtId="0" fontId="0" fillId="0" borderId="93" pivotButton="0" quotePrefix="0" xfId="0"/>
    <xf numFmtId="0" fontId="0" fillId="0" borderId="94" pivotButton="0" quotePrefix="0" xfId="0"/>
    <xf numFmtId="0" fontId="8" fillId="0" borderId="34" applyAlignment="1" pivotButton="0" quotePrefix="0" xfId="0">
      <alignment horizontal="center" vertical="center"/>
    </xf>
    <xf numFmtId="0" fontId="0" fillId="0" borderId="83" pivotButton="0" quotePrefix="0" xfId="0"/>
    <xf numFmtId="0" fontId="0" fillId="0" borderId="61" pivotButton="0" quotePrefix="0" xfId="0"/>
    <xf numFmtId="0" fontId="21" fillId="7" borderId="20" applyAlignment="1" pivotButton="0" quotePrefix="0" xfId="0">
      <alignment horizontal="center"/>
    </xf>
    <xf numFmtId="177" fontId="46" fillId="0" borderId="0" applyAlignment="1" pivotButton="0" quotePrefix="0" xfId="0">
      <alignment horizontal="center"/>
    </xf>
    <xf numFmtId="0" fontId="19" fillId="18" borderId="1" applyAlignment="1" pivotButton="0" quotePrefix="0" xfId="0">
      <alignment horizontal="center" vertical="center" wrapText="1"/>
    </xf>
    <xf numFmtId="0" fontId="0" fillId="11" borderId="1" applyAlignment="1" pivotButton="0" quotePrefix="0" xfId="0">
      <alignment horizontal="center" vertical="center"/>
    </xf>
    <xf numFmtId="0" fontId="30" fillId="0" borderId="1" applyAlignment="1" pivotButton="0" quotePrefix="0" xfId="0">
      <alignment horizontal="left" vertical="center" readingOrder="1"/>
    </xf>
    <xf numFmtId="0" fontId="31" fillId="26" borderId="1" applyAlignment="1" pivotButton="0" quotePrefix="0" xfId="0">
      <alignment horizontal="center" vertical="center" wrapText="1"/>
    </xf>
    <xf numFmtId="0" fontId="19" fillId="0" borderId="1" applyAlignment="1" pivotButton="0" quotePrefix="0" xfId="0">
      <alignment horizontal="center" vertical="center"/>
    </xf>
    <xf numFmtId="0" fontId="0" fillId="2" borderId="1" applyAlignment="1" pivotButton="0" quotePrefix="0" xfId="0">
      <alignment horizontal="center" vertical="center"/>
    </xf>
    <xf numFmtId="0" fontId="10" fillId="0" borderId="60" applyAlignment="1" pivotButton="0" quotePrefix="0" xfId="0">
      <alignment horizontal="center" vertical="center" wrapText="1"/>
    </xf>
    <xf numFmtId="0" fontId="0" fillId="0" borderId="48" pivotButton="0" quotePrefix="0" xfId="0"/>
    <xf numFmtId="0" fontId="0" fillId="0" borderId="49" pivotButton="0" quotePrefix="0" xfId="0"/>
    <xf numFmtId="0" fontId="19" fillId="7" borderId="84" applyAlignment="1" pivotButton="0" quotePrefix="0" xfId="0">
      <alignment horizontal="left" vertical="center"/>
    </xf>
    <xf numFmtId="0" fontId="0" fillId="0" borderId="46" pivotButton="0" quotePrefix="0" xfId="0"/>
    <xf numFmtId="0" fontId="44" fillId="7" borderId="86" applyAlignment="1" pivotButton="0" quotePrefix="0" xfId="0">
      <alignment horizontal="left" vertical="top" wrapText="1"/>
    </xf>
    <xf numFmtId="0" fontId="0" fillId="0" borderId="47" pivotButton="0" quotePrefix="0" xfId="0"/>
    <xf numFmtId="0" fontId="18" fillId="7" borderId="85" applyAlignment="1" pivotButton="0" quotePrefix="0" xfId="0">
      <alignment horizontal="center" vertical="center"/>
    </xf>
    <xf numFmtId="0" fontId="0" fillId="0" borderId="44" pivotButton="0" quotePrefix="0" xfId="0"/>
    <xf numFmtId="0" fontId="0" fillId="0" borderId="45" pivotButton="0" quotePrefix="0" xfId="0"/>
    <xf numFmtId="0" fontId="19" fillId="10" borderId="1" applyAlignment="1" pivotButton="0" quotePrefix="0" xfId="0">
      <alignment horizontal="center" vertical="center"/>
    </xf>
    <xf numFmtId="0" fontId="0" fillId="0" borderId="1" applyAlignment="1" pivotButton="0" quotePrefix="0" xfId="0">
      <alignment horizontal="left" vertical="center" wrapText="1"/>
    </xf>
    <xf numFmtId="0" fontId="0" fillId="10" borderId="1" applyAlignment="1" pivotButton="0" quotePrefix="0" xfId="0">
      <alignment horizontal="center" vertical="center" wrapText="1"/>
    </xf>
    <xf numFmtId="0" fontId="0" fillId="10" borderId="1" applyAlignment="1" pivotButton="0" quotePrefix="0" xfId="0">
      <alignment horizontal="center"/>
    </xf>
    <xf numFmtId="0" fontId="19" fillId="16" borderId="0" applyAlignment="1" pivotButton="0" quotePrefix="0" xfId="0">
      <alignment horizontal="center"/>
    </xf>
    <xf numFmtId="0" fontId="0" fillId="0" borderId="0" applyAlignment="1" pivotButton="0" quotePrefix="0" xfId="0">
      <alignment horizontal="center"/>
    </xf>
    <xf numFmtId="0" fontId="27" fillId="0" borderId="1" applyAlignment="1" pivotButton="0" quotePrefix="0" xfId="0">
      <alignment horizontal="center"/>
    </xf>
    <xf numFmtId="0" fontId="0" fillId="0" borderId="1" applyAlignment="1" pivotButton="0" quotePrefix="0" xfId="0">
      <alignment horizontal="center"/>
    </xf>
    <xf numFmtId="0" fontId="0" fillId="13" borderId="1" applyAlignment="1" pivotButton="0" quotePrefix="0" xfId="0">
      <alignment horizontal="center" wrapText="1"/>
    </xf>
    <xf numFmtId="0" fontId="19" fillId="20" borderId="1" applyAlignment="1" pivotButton="0" quotePrefix="0" xfId="0">
      <alignment horizontal="center"/>
    </xf>
    <xf numFmtId="0" fontId="0" fillId="13" borderId="1" applyAlignment="1" pivotButton="0" quotePrefix="0" xfId="0">
      <alignment horizontal="center" vertical="center"/>
    </xf>
    <xf numFmtId="0" fontId="19" fillId="19" borderId="1" applyAlignment="1" pivotButton="0" quotePrefix="0" xfId="0">
      <alignment horizontal="center"/>
    </xf>
    <xf numFmtId="0" fontId="19" fillId="11" borderId="1" applyAlignment="1" pivotButton="0" quotePrefix="0" xfId="0">
      <alignment horizontal="center"/>
    </xf>
    <xf numFmtId="0" fontId="19" fillId="0" borderId="0" applyAlignment="1" pivotButton="0" quotePrefix="0" xfId="0">
      <alignment horizontal="left" vertical="center"/>
    </xf>
    <xf numFmtId="0" fontId="16" fillId="8" borderId="4" applyAlignment="1" pivotButton="0" quotePrefix="0" xfId="5">
      <alignment horizontal="center"/>
    </xf>
    <xf numFmtId="0" fontId="0" fillId="0" borderId="87" pivotButton="0" quotePrefix="0" xfId="0"/>
    <xf numFmtId="0" fontId="0" fillId="0" borderId="88" pivotButton="0" quotePrefix="0" xfId="0"/>
    <xf numFmtId="176" fontId="53" fillId="35" borderId="91" applyAlignment="1" pivotButton="0" quotePrefix="0" xfId="6">
      <alignment horizontal="left" vertical="center"/>
    </xf>
    <xf numFmtId="167" fontId="49" fillId="0" borderId="33" applyAlignment="1" pivotButton="0" quotePrefix="0" xfId="9">
      <alignment horizontal="left"/>
    </xf>
    <xf numFmtId="167" fontId="49" fillId="0" borderId="22" applyAlignment="1" pivotButton="0" quotePrefix="0" xfId="9">
      <alignment horizontal="left"/>
    </xf>
    <xf numFmtId="167" fontId="48" fillId="0" borderId="0" applyAlignment="1" pivotButton="0" quotePrefix="0" xfId="9">
      <alignment horizontal="center" vertical="center"/>
    </xf>
    <xf numFmtId="167" fontId="48" fillId="0" borderId="20" applyAlignment="1" pivotButton="0" quotePrefix="0" xfId="9">
      <alignment horizontal="center"/>
    </xf>
    <xf numFmtId="167" fontId="49" fillId="0" borderId="30" applyAlignment="1" pivotButton="0" quotePrefix="0" xfId="9">
      <alignment horizontal="center" vertical="center"/>
    </xf>
    <xf numFmtId="167" fontId="49" fillId="0" borderId="52" applyAlignment="1" pivotButton="0" quotePrefix="0" xfId="9">
      <alignment horizontal="center" vertical="center"/>
    </xf>
    <xf numFmtId="167" fontId="49" fillId="0" borderId="33" applyAlignment="1" pivotButton="0" quotePrefix="0" xfId="9">
      <alignment horizontal="center" vertical="center"/>
    </xf>
    <xf numFmtId="168" fontId="48" fillId="0" borderId="8" applyAlignment="1" pivotButton="0" quotePrefix="0" xfId="9">
      <alignment horizontal="center"/>
    </xf>
    <xf numFmtId="168" fontId="48" fillId="0" borderId="10" applyAlignment="1" pivotButton="0" quotePrefix="0" xfId="6">
      <alignment horizontal="right"/>
    </xf>
    <xf numFmtId="168" fontId="48" fillId="0" borderId="1" applyAlignment="1" pivotButton="0" quotePrefix="0" xfId="9">
      <alignment horizontal="center"/>
    </xf>
    <xf numFmtId="168" fontId="48" fillId="0" borderId="5" applyAlignment="1" pivotButton="0" quotePrefix="0" xfId="9">
      <alignment horizontal="center"/>
    </xf>
    <xf numFmtId="168" fontId="48" fillId="0" borderId="2" applyAlignment="1" pivotButton="0" quotePrefix="0" xfId="9">
      <alignment horizontal="center"/>
    </xf>
    <xf numFmtId="167" fontId="49" fillId="0" borderId="41" applyAlignment="1" pivotButton="0" quotePrefix="0" xfId="9">
      <alignment horizontal="center"/>
    </xf>
    <xf numFmtId="167" fontId="48" fillId="0" borderId="0" applyAlignment="1" pivotButton="0" quotePrefix="0" xfId="9">
      <alignment horizontal="center"/>
    </xf>
    <xf numFmtId="167" fontId="49" fillId="0" borderId="10" applyAlignment="1" pivotButton="0" quotePrefix="0" xfId="9">
      <alignment horizontal="center"/>
    </xf>
    <xf numFmtId="167" fontId="49" fillId="0" borderId="35" applyAlignment="1" pivotButton="0" quotePrefix="0" xfId="9">
      <alignment horizontal="center"/>
    </xf>
    <xf numFmtId="167" fontId="49" fillId="0" borderId="12" applyAlignment="1" pivotButton="0" quotePrefix="0" xfId="9">
      <alignment horizontal="center"/>
    </xf>
    <xf numFmtId="167" fontId="49" fillId="0" borderId="60" applyAlignment="1" pivotButton="0" quotePrefix="0" xfId="9">
      <alignment horizontal="center"/>
    </xf>
    <xf numFmtId="169" fontId="48" fillId="0" borderId="1" applyAlignment="1" pivotButton="0" quotePrefix="0" xfId="6">
      <alignment horizontal="center"/>
    </xf>
    <xf numFmtId="168" fontId="48" fillId="0" borderId="10" applyAlignment="1" pivotButton="0" quotePrefix="0" xfId="9">
      <alignment horizontal="center"/>
    </xf>
    <xf numFmtId="170" fontId="48" fillId="0" borderId="61" applyAlignment="1" pivotButton="0" quotePrefix="0" xfId="3">
      <alignment horizontal="center"/>
    </xf>
    <xf numFmtId="171" fontId="48" fillId="0" borderId="61" applyAlignment="1" pivotButton="0" quotePrefix="0" xfId="3">
      <alignment horizontal="center"/>
    </xf>
    <xf numFmtId="167" fontId="49" fillId="0" borderId="54" applyAlignment="1" pivotButton="0" quotePrefix="0" xfId="9">
      <alignment horizontal="center"/>
    </xf>
    <xf numFmtId="168" fontId="49" fillId="0" borderId="53" applyAlignment="1" pivotButton="0" quotePrefix="0" xfId="9">
      <alignment horizontal="center"/>
    </xf>
    <xf numFmtId="168" fontId="49" fillId="0" borderId="60" applyAlignment="1" pivotButton="0" quotePrefix="0" xfId="9">
      <alignment horizontal="center"/>
    </xf>
    <xf numFmtId="167" fontId="49" fillId="0" borderId="0" applyAlignment="1" pivotButton="0" quotePrefix="0" xfId="9">
      <alignment horizontal="center"/>
    </xf>
    <xf numFmtId="168" fontId="49" fillId="0" borderId="3" applyAlignment="1" pivotButton="0" quotePrefix="0" xfId="9">
      <alignment horizontal="left" vertical="center"/>
    </xf>
    <xf numFmtId="168" fontId="49" fillId="0" borderId="0" applyAlignment="1" pivotButton="0" quotePrefix="0" xfId="9">
      <alignment horizontal="left" vertical="center"/>
    </xf>
    <xf numFmtId="168" fontId="49" fillId="0" borderId="1" applyAlignment="1" pivotButton="0" quotePrefix="0" xfId="9">
      <alignment horizontal="left" vertical="center"/>
    </xf>
    <xf numFmtId="168" fontId="49" fillId="0" borderId="1" applyAlignment="1" pivotButton="0" quotePrefix="0" xfId="9">
      <alignment horizontal="right" vertical="center"/>
    </xf>
    <xf numFmtId="168" fontId="49" fillId="0" borderId="0" applyAlignment="1" pivotButton="0" quotePrefix="0" xfId="9">
      <alignment horizontal="right" vertical="center"/>
    </xf>
    <xf numFmtId="168" fontId="49" fillId="0" borderId="57" applyAlignment="1" pivotButton="0" quotePrefix="0" xfId="9">
      <alignment horizontal="center"/>
    </xf>
    <xf numFmtId="168" fontId="49" fillId="0" borderId="17" applyAlignment="1" pivotButton="0" quotePrefix="0" xfId="9">
      <alignment horizontal="center"/>
    </xf>
    <xf numFmtId="167" fontId="49" fillId="0" borderId="57" applyAlignment="1" pivotButton="0" quotePrefix="0" xfId="9">
      <alignment horizontal="center"/>
    </xf>
    <xf numFmtId="168" fontId="49" fillId="17" borderId="75" applyAlignment="1" pivotButton="0" quotePrefix="0" xfId="9">
      <alignment horizontal="center" vertical="center"/>
    </xf>
    <xf numFmtId="168" fontId="52" fillId="17" borderId="69" applyAlignment="1" pivotButton="0" quotePrefix="0" xfId="9">
      <alignment horizontal="center" vertical="center"/>
    </xf>
    <xf numFmtId="168" fontId="52" fillId="17" borderId="21" applyAlignment="1" pivotButton="0" quotePrefix="0" xfId="9">
      <alignment horizontal="center" vertical="center"/>
    </xf>
    <xf numFmtId="168" fontId="48" fillId="0" borderId="51" applyAlignment="1" pivotButton="0" quotePrefix="0" xfId="6">
      <alignment horizontal="center"/>
    </xf>
    <xf numFmtId="164" fontId="0" fillId="9" borderId="1" applyAlignment="1" pivotButton="0" quotePrefix="0" xfId="0">
      <alignment horizontal="center" vertical="center"/>
    </xf>
    <xf numFmtId="169" fontId="0" fillId="0" borderId="1" applyAlignment="1" pivotButton="0" quotePrefix="0" xfId="1">
      <alignment horizontal="center" vertical="center"/>
    </xf>
    <xf numFmtId="169" fontId="0" fillId="17" borderId="1" applyAlignment="1" pivotButton="0" quotePrefix="0" xfId="1">
      <alignment horizontal="center" vertical="center"/>
    </xf>
    <xf numFmtId="169" fontId="0" fillId="4" borderId="1" pivotButton="0" quotePrefix="0" xfId="0"/>
    <xf numFmtId="169" fontId="0" fillId="0" borderId="0" pivotButton="0" quotePrefix="0" xfId="0"/>
    <xf numFmtId="169" fontId="0" fillId="0" borderId="1" pivotButton="0" quotePrefix="0" xfId="0"/>
    <xf numFmtId="165" fontId="0" fillId="0" borderId="0" pivotButton="0" quotePrefix="0" xfId="0"/>
    <xf numFmtId="165" fontId="0" fillId="0" borderId="0" pivotButton="0" quotePrefix="0" xfId="2"/>
    <xf numFmtId="166" fontId="0" fillId="0" borderId="0" pivotButton="0" quotePrefix="0" xfId="0"/>
    <xf numFmtId="172" fontId="0" fillId="0" borderId="0" pivotButton="0" quotePrefix="0" xfId="2"/>
    <xf numFmtId="165" fontId="23" fillId="16" borderId="40" applyAlignment="1" pivotButton="0" quotePrefix="0" xfId="2">
      <alignment vertical="center"/>
    </xf>
    <xf numFmtId="172" fontId="45" fillId="7" borderId="41" applyAlignment="1" pivotButton="0" quotePrefix="0" xfId="0">
      <alignment vertical="center"/>
    </xf>
    <xf numFmtId="172" fontId="0" fillId="0" borderId="0" pivotButton="0" quotePrefix="0" xfId="0"/>
    <xf numFmtId="173" fontId="0" fillId="0" borderId="3" pivotButton="0" quotePrefix="0" xfId="0"/>
    <xf numFmtId="172" fontId="21" fillId="7" borderId="41" applyAlignment="1" pivotButton="0" quotePrefix="0" xfId="0">
      <alignment vertical="center"/>
    </xf>
    <xf numFmtId="173" fontId="0" fillId="0" borderId="1" pivotButton="0" quotePrefix="0" xfId="0"/>
    <xf numFmtId="173" fontId="21" fillId="7" borderId="1" pivotButton="0" quotePrefix="0" xfId="0"/>
    <xf numFmtId="173" fontId="0" fillId="0" borderId="28" pivotButton="0" quotePrefix="0" xfId="0"/>
    <xf numFmtId="173" fontId="21" fillId="7" borderId="28" pivotButton="0" quotePrefix="0" xfId="0"/>
    <xf numFmtId="177" fontId="46" fillId="0" borderId="0" applyAlignment="1" pivotButton="0" quotePrefix="0" xfId="0">
      <alignment horizontal="center"/>
    </xf>
    <xf numFmtId="174" fontId="32" fillId="26" borderId="1" applyAlignment="1" pivotButton="0" quotePrefix="0" xfId="0">
      <alignment horizontal="center" vertical="center" wrapText="1"/>
    </xf>
    <xf numFmtId="175" fontId="0" fillId="20" borderId="1" applyAlignment="1" pivotButton="0" quotePrefix="0" xfId="0">
      <alignment vertical="center"/>
    </xf>
    <xf numFmtId="174" fontId="0" fillId="7" borderId="1" applyAlignment="1" pivotButton="0" quotePrefix="0" xfId="0">
      <alignment horizontal="center"/>
    </xf>
    <xf numFmtId="175" fontId="0" fillId="0" borderId="0" applyAlignment="1" pivotButton="0" quotePrefix="0" xfId="0">
      <alignment horizontal="center"/>
    </xf>
    <xf numFmtId="165" fontId="16" fillId="8" borderId="4" pivotButton="0" quotePrefix="0" xfId="2"/>
  </cellXfs>
  <cellStyles count="10">
    <cellStyle name="Normal" xfId="0" builtinId="0"/>
    <cellStyle name="Comma" xfId="1" builtinId="3"/>
    <cellStyle name="Currency" xfId="2" builtinId="4"/>
    <cellStyle name="Percent" xfId="3" builtinId="5"/>
    <cellStyle name="40% - Accent2" xfId="4" builtinId="35"/>
    <cellStyle name="Output" xfId="5" builtinId="21"/>
    <cellStyle name="Normal 2" xfId="6"/>
    <cellStyle name="20% - Accent4" xfId="7" builtinId="42"/>
    <cellStyle name="Comma 2" xfId="8"/>
    <cellStyle name="Comma 2 2" xfId="9"/>
  </cellStyles>
  <dxfs count="182">
    <dxf>
      <numFmt numFmtId="0" formatCode="General"/>
      <alignment horizontal="center" vertical="center"/>
    </dxf>
    <dxf>
      <alignment horizontal="center" vertical="center"/>
    </dxf>
    <dxf>
      <alignment horizontal="center" vertical="cent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numFmt numFmtId="2" formatCode="0.00"/>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numFmt numFmtId="2" formatCode="0.00"/>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horizontal="center"/>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numFmt numFmtId="2" formatCode="0.00"/>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numFmt numFmtId="2" formatCode="0.00"/>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horizontal="center"/>
      <border>
        <left/>
        <right style="thin">
          <color auto="1"/>
        </right>
        <top style="thin">
          <color auto="1"/>
        </top>
        <bottom style="thin">
          <color auto="1"/>
        </bottom>
      </border>
    </dxf>
    <dxf>
      <numFmt numFmtId="2" formatCode="0.00"/>
    </dxf>
    <dxf>
      <fill>
        <patternFill patternType="solid">
          <bgColor rgb="FFFFC000"/>
        </patternFill>
      </fill>
    </dxf>
    <dxf>
      <border>
        <left style="thin">
          <color auto="1"/>
        </left>
        <right/>
        <top style="thin">
          <color auto="1"/>
        </top>
        <bottom style="thin">
          <color auto="1"/>
        </bottom>
      </border>
    </dxf>
    <dxf>
      <border>
        <left/>
        <right style="thin">
          <color auto="1"/>
        </right>
        <top style="thin">
          <color auto="1"/>
        </top>
        <bottom style="thin">
          <color auto="1"/>
        </bottom>
      </border>
    </dxf>
    <dxf>
      <alignment horizontal="center" vertical="center"/>
    </dxf>
    <dxf>
      <alignment horizontal="right" vertical="center"/>
    </dxf>
    <dxf>
      <alignment horizontal="center" vertical="center"/>
    </dxf>
    <dxf>
      <font>
        <name val="Calibri"/>
        <strike val="0"/>
        <color theme="1"/>
        <sz val="11"/>
      </font>
      <fill>
        <patternFill patternType="solid">
          <bgColor theme="2" tint="-0.09997863704336681"/>
        </patternFill>
      </fill>
      <border>
        <left style="thin">
          <color auto="1"/>
        </left>
        <right/>
        <top style="thin">
          <color auto="1"/>
        </top>
        <bottom style="thin">
          <color auto="1"/>
        </bottom>
      </border>
    </dxf>
    <dxf>
      <fill>
        <patternFill patternType="solid">
          <bgColor theme="2" tint="-0.09997863704336681"/>
        </patternFill>
      </fill>
      <border>
        <left/>
        <right style="thin">
          <color auto="1"/>
        </right>
        <top style="thin">
          <color auto="1"/>
        </top>
        <bottom style="thin">
          <color auto="1"/>
        </bottom>
      </border>
    </dxf>
    <dxf>
      <alignment horizontal="right" vertical="center"/>
    </dxf>
    <dxf>
      <alignment horizontal="right" vertical="center"/>
    </dxf>
    <dxf>
      <alignment horizontal="right" vertical="center"/>
    </dxf>
    <dxf>
      <alignment horizontal="right" vertical="center"/>
    </dxf>
    <dxf>
      <alignment horizontal="center" vertical="center"/>
    </dxf>
    <dxf>
      <numFmt numFmtId="0" formatCode="General"/>
      <fill>
        <patternFill patternType="solid">
          <bgColor theme="5" tint="0.7999511703848384"/>
        </patternFill>
      </fill>
      <alignment vertical="center"/>
      <border>
        <left style="thin">
          <color auto="1"/>
        </left>
        <right style="thin">
          <color auto="1"/>
        </right>
        <top style="thin">
          <color auto="1"/>
        </top>
        <bottom style="thin">
          <color auto="1"/>
        </bottom>
      </border>
    </dxf>
    <dxf>
      <fill>
        <patternFill patternType="solid">
          <bgColor theme="5" tint="0.7999511703848384"/>
        </patternFill>
      </fill>
      <alignment vertical="center"/>
      <border>
        <left style="thin">
          <color auto="1"/>
        </left>
        <right style="thin">
          <color auto="1"/>
        </right>
        <top style="thin">
          <color auto="1"/>
        </top>
        <bottom style="thin">
          <color auto="1"/>
        </bottom>
      </border>
    </dxf>
    <dxf>
      <fill>
        <patternFill patternType="solid">
          <bgColor theme="5" tint="0.7999511703848384"/>
        </patternFill>
      </fill>
      <alignment vertical="center"/>
      <border>
        <left style="thin">
          <color auto="1"/>
        </left>
        <right style="thin">
          <color auto="1"/>
        </right>
        <top style="thin">
          <color auto="1"/>
        </top>
        <bottom style="thin">
          <color auto="1"/>
        </bottom>
      </border>
    </dxf>
    <dxf>
      <numFmt numFmtId="0" formatCode="General"/>
      <fill>
        <patternFill patternType="solid">
          <bgColor theme="9" tint="0.7999511703848384"/>
        </patternFill>
      </fill>
      <border>
        <left style="thin">
          <color auto="1"/>
        </left>
        <right style="thin">
          <color auto="1"/>
        </right>
        <top style="thin">
          <color auto="1"/>
        </top>
        <bottom style="thin">
          <color auto="1"/>
        </bottom>
      </border>
    </dxf>
    <dxf>
      <alignment vertical="center"/>
    </dxf>
    <dxf>
      <alignment vertical="center"/>
    </dxf>
    <dxf>
      <alignment vertical="center"/>
    </dxf>
    <dxf>
      <fill>
        <patternFill patternType="solid">
          <bgColor rgb="FF0070C0"/>
        </patternFill>
      </fill>
    </dxf>
    <dxf>
      <fill>
        <patternFill patternType="solid">
          <bgColor theme="1"/>
        </patternFill>
      </fill>
    </dxf>
    <dxf>
      <fill>
        <patternFill patternType="solid">
          <bgColor theme="1"/>
        </patternFill>
      </fill>
    </dxf>
    <dxf>
      <fill>
        <patternFill patternType="solid">
          <bgColor theme="1"/>
        </patternFill>
      </fill>
    </dxf>
    <dxf>
      <numFmt numFmtId="1" formatCode="0"/>
      <border>
        <left style="thin">
          <color auto="1"/>
        </left>
        <right/>
        <top style="thin">
          <color auto="1"/>
        </top>
        <bottom style="thin">
          <color auto="1"/>
        </bottom>
      </border>
    </dxf>
    <dxf>
      <numFmt numFmtId="0" formatCode="General"/>
      <border>
        <left style="thin">
          <color auto="1"/>
        </left>
        <right style="thin">
          <color auto="1"/>
        </right>
        <top style="thin">
          <color auto="1"/>
        </top>
        <bottom style="thin">
          <color auto="1"/>
        </bottom>
      </border>
    </dxf>
    <dxf>
      <numFmt numFmtId="2" formatCode="0.00"/>
      <alignment horizontal="center" vertical="center"/>
      <border>
        <left style="thin">
          <color auto="1"/>
        </left>
        <right style="thin">
          <color auto="1"/>
        </right>
        <top style="thin">
          <color auto="1"/>
        </top>
        <bottom style="thin">
          <color auto="1"/>
        </bottom>
      </border>
    </dxf>
    <dxf>
      <font>
        <name val="Arial"/>
        <strike val="0"/>
        <color auto="1"/>
        <sz val="10"/>
      </font>
      <numFmt numFmtId="2" formatCode="0.00"/>
      <fill>
        <patternFill patternType="solid">
          <bgColor theme="2"/>
        </patternFill>
      </fill>
      <alignment horizontal="center" vertical="center"/>
      <border>
        <left style="thin">
          <color auto="1"/>
        </left>
        <right style="thin">
          <color auto="1"/>
        </right>
        <top style="thin">
          <color auto="1"/>
        </top>
        <bottom style="thin">
          <color auto="1"/>
        </bottom>
      </border>
      <protection locked="0" hidden="0"/>
    </dxf>
    <dxf>
      <font>
        <name val="Arial"/>
        <strike val="0"/>
        <color auto="1"/>
        <sz val="10"/>
      </font>
      <numFmt numFmtId="2" formatCode="0.00"/>
      <fill>
        <patternFill patternType="solid">
          <bgColor indexed="9"/>
        </patternFill>
      </fill>
      <alignment horizontal="center" vertical="center"/>
      <border>
        <left style="thin">
          <color auto="1"/>
        </left>
        <right style="thin">
          <color auto="1"/>
        </right>
        <top style="thin">
          <color auto="1"/>
        </top>
        <bottom style="thin">
          <color auto="1"/>
        </bottom>
      </border>
      <protection locked="0" hidden="0"/>
    </dxf>
    <dxf>
      <numFmt numFmtId="2" formatCode="0.00"/>
      <fill>
        <patternFill patternType="solid">
          <bgColor theme="0" tint="-0.1498764000366222"/>
        </patternFill>
      </fill>
      <alignment horizontal="center" vertical="center"/>
      <border>
        <left style="thin">
          <color auto="1"/>
        </left>
        <right style="thin">
          <color auto="1"/>
        </right>
        <top style="thin">
          <color auto="1"/>
        </top>
        <bottom style="thin">
          <color auto="1"/>
        </bottom>
      </border>
    </dxf>
    <dxf>
      <numFmt numFmtId="0" formatCode="General"/>
      <border>
        <left style="thin">
          <color auto="1"/>
        </left>
        <right style="thin">
          <color auto="1"/>
        </right>
        <top style="thin">
          <color auto="1"/>
        </top>
        <bottom style="thin">
          <color auto="1"/>
        </bottom>
      </border>
    </dxf>
    <dxf>
      <font>
        <name val="Arial"/>
        <strike val="0"/>
        <color auto="1"/>
        <sz val="10"/>
      </font>
      <border>
        <left style="thin">
          <color auto="1"/>
        </left>
        <right style="thin">
          <color auto="1"/>
        </right>
        <top style="thin">
          <color auto="1"/>
        </top>
        <bottom style="thin">
          <color auto="1"/>
        </bottom>
      </border>
      <protection locked="0" hidden="0"/>
    </dxf>
    <dxf>
      <font>
        <name val="Arial"/>
        <strike val="0"/>
        <color auto="1"/>
        <sz val="10"/>
      </font>
      <border>
        <left style="thin">
          <color auto="1"/>
        </left>
        <right style="thin">
          <color auto="1"/>
        </right>
        <top style="thin">
          <color auto="1"/>
        </top>
        <bottom style="thin">
          <color auto="1"/>
        </bottom>
      </border>
      <protection locked="0" hidden="0"/>
    </dxf>
    <dxf>
      <font>
        <name val="Arial"/>
        <strike val="0"/>
        <color auto="1"/>
        <sz val="10"/>
      </font>
      <alignment horizontal="center" vertical="center"/>
      <border>
        <left style="thin">
          <color auto="1"/>
        </left>
        <right style="thin">
          <color auto="1"/>
        </right>
        <top style="thin">
          <color auto="1"/>
        </top>
        <bottom style="thin">
          <color auto="1"/>
        </bottom>
      </border>
      <protection locked="0" hidden="0"/>
    </dxf>
    <dxf>
      <font>
        <name val="Arial"/>
        <strike val="0"/>
        <color auto="1"/>
        <sz val="10"/>
      </font>
      <numFmt numFmtId="0" formatCode="General"/>
      <fill>
        <patternFill patternType="solid">
          <bgColor indexed="9"/>
        </patternFill>
      </fill>
      <border>
        <left style="thin">
          <color auto="1"/>
        </left>
        <right style="thin">
          <color auto="1"/>
        </right>
        <top style="thin">
          <color auto="1"/>
        </top>
        <bottom style="thin">
          <color auto="1"/>
        </bottom>
      </border>
      <protection locked="0" hidden="0"/>
    </dxf>
    <dxf>
      <font>
        <name val="Arial"/>
        <strike val="0"/>
        <color auto="1"/>
        <sz val="10"/>
      </font>
      <fill>
        <patternFill patternType="solid">
          <bgColor indexed="9"/>
        </patternFill>
      </fill>
      <alignment wrapText="1"/>
      <border>
        <left style="thin">
          <color auto="1"/>
        </left>
        <right style="thin">
          <color auto="1"/>
        </right>
        <top style="thin">
          <color auto="1"/>
        </top>
        <bottom style="thin">
          <color auto="1"/>
        </bottom>
      </border>
      <protection locked="0" hidden="0"/>
    </dxf>
    <dxf>
      <font>
        <name val="Arial"/>
        <strike val="0"/>
        <color auto="1"/>
        <sz val="10"/>
      </font>
      <fill>
        <patternFill patternType="solid">
          <bgColor indexed="9"/>
        </patternFill>
      </fill>
      <alignment vertical="center" wrapText="1"/>
      <border>
        <left/>
        <right style="thin">
          <color auto="1"/>
        </right>
        <top style="thin">
          <color auto="1"/>
        </top>
        <bottom style="thin">
          <color auto="1"/>
        </bottom>
      </border>
      <protection locked="0" hidden="0"/>
    </dxf>
    <dxf>
      <numFmt numFmtId="1" formatCode="0"/>
      <border outline="0">
        <left/>
        <right/>
        <top style="thin">
          <color auto="1"/>
        </top>
        <bottom/>
      </border>
    </dxf>
    <dxf>
      <border outline="0">
        <left/>
        <right/>
        <top style="thin">
          <color auto="1"/>
        </top>
        <bottom/>
      </border>
    </dxf>
    <dxf>
      <numFmt numFmtId="0" formatCode="General"/>
    </dxf>
    <dxf>
      <numFmt numFmtId="2" formatCode="0.00"/>
      <border outline="0">
        <left style="thin">
          <color auto="1"/>
        </left>
        <right/>
        <top style="thin">
          <color auto="1"/>
        </top>
        <bottom/>
      </border>
    </dxf>
    <dxf>
      <alignment horizontal="general" vertical="center"/>
      <border outline="0">
        <left/>
        <right style="thin">
          <color auto="1"/>
        </right>
        <top style="thin">
          <color auto="1"/>
        </top>
        <bottom/>
      </border>
    </dxf>
    <dxf>
      <font>
        <name val="Calibri"/>
        <strike val="0"/>
        <color theme="1"/>
        <sz val="11"/>
      </font>
      <alignment vertical="center"/>
      <border>
        <left/>
        <right/>
        <top style="thin">
          <color auto="1"/>
        </top>
        <bottom style="thin">
          <color auto="1"/>
        </bottom>
      </border>
    </dxf>
    <dxf>
      <numFmt numFmtId="0" formatCode="General"/>
    </dxf>
    <dxf>
      <fill>
        <patternFill patternType="solid">
          <bgColor theme="1" tint="0.0499893185216834"/>
        </patternFill>
      </fill>
    </dxf>
    <dxf>
      <fill>
        <patternFill patternType="solid">
          <bgColor theme="9" tint="0.3999145481734672"/>
        </patternFill>
      </fill>
    </dxf>
    <dxf>
      <fill>
        <patternFill patternType="solid">
          <bgColor theme="9" tint="0.3999145481734672"/>
        </patternFill>
      </fill>
    </dxf>
    <dxf>
      <font>
        <name val="Calibri"/>
        <strike val="0"/>
        <outline val="0"/>
        <shadow val="0"/>
        <condense val="0"/>
        <color auto="1"/>
        <extend val="0"/>
        <sz val="11"/>
        <vertAlign val="baseline"/>
        <scheme val="minor"/>
      </font>
      <numFmt numFmtId="13" formatCode="0%"/>
    </dxf>
    <dxf>
      <font>
        <name val="Calibri"/>
        <strike val="0"/>
        <outline val="0"/>
        <shadow val="0"/>
        <color auto="1"/>
        <sz val="11"/>
        <vertAlign val="baseline"/>
        <scheme val="minor"/>
      </font>
      <numFmt numFmtId="14" formatCode="0.00%"/>
      <border>
        <left style="thin">
          <color indexed="64"/>
        </left>
        <right style="thin">
          <color indexed="64"/>
        </right>
        <top style="thin">
          <color indexed="64"/>
        </top>
        <bottom style="thin">
          <color indexed="64"/>
        </bottom>
        <vertical style="thin">
          <color indexed="64"/>
        </vertical>
        <horizontal style="thin">
          <color indexed="64"/>
        </horizontal>
      </border>
    </dxf>
    <dxf>
      <font>
        <name val="Calibri"/>
        <strike val="0"/>
        <outline val="0"/>
        <shadow val="0"/>
        <condense val="0"/>
        <color auto="1"/>
        <extend val="0"/>
        <sz val="11"/>
        <vertAlign val="baseline"/>
        <scheme val="minor"/>
      </font>
      <numFmt numFmtId="13" formatCode="0%"/>
    </dxf>
    <dxf>
      <font>
        <name val="Calibri"/>
        <strike val="0"/>
        <outline val="0"/>
        <shadow val="0"/>
        <color auto="1"/>
        <sz val="11"/>
        <vertAlign val="baseline"/>
        <scheme val="minor"/>
      </font>
      <numFmt numFmtId="13" formatCode="0%"/>
      <border>
        <left style="thin">
          <color indexed="64"/>
        </left>
        <right style="thin">
          <color indexed="64"/>
        </right>
        <top style="thin">
          <color indexed="64"/>
        </top>
        <bottom style="thin">
          <color indexed="64"/>
        </bottom>
        <vertical style="thin">
          <color indexed="64"/>
        </vertical>
        <horizontal style="thin">
          <color indexed="64"/>
        </horizontal>
      </border>
    </dxf>
    <dxf>
      <font>
        <name val="Calibri"/>
        <strike val="0"/>
        <outline val="0"/>
        <shadow val="0"/>
        <condense val="0"/>
        <color auto="1"/>
        <extend val="0"/>
        <sz val="11"/>
        <vertAlign val="baseline"/>
        <scheme val="minor"/>
      </font>
      <numFmt numFmtId="13" formatCode="0%"/>
    </dxf>
    <dxf>
      <font>
        <name val="Calibri"/>
        <strike val="0"/>
        <outline val="0"/>
        <shadow val="0"/>
        <color auto="1"/>
        <sz val="11"/>
        <vertAlign val="baseline"/>
        <scheme val="minor"/>
      </font>
      <numFmt numFmtId="13" formatCode="0%"/>
      <border>
        <left style="thin">
          <color indexed="64"/>
        </left>
        <right style="thin">
          <color indexed="64"/>
        </right>
        <top style="thin">
          <color indexed="64"/>
        </top>
        <bottom style="thin">
          <color indexed="64"/>
        </bottom>
        <vertical style="thin">
          <color indexed="64"/>
        </vertical>
        <horizontal style="thin">
          <color indexed="64"/>
        </horizontal>
      </border>
    </dxf>
    <dxf>
      <font>
        <name val="Calibri"/>
        <strike val="0"/>
        <outline val="0"/>
        <shadow val="0"/>
        <condense val="0"/>
        <color auto="1"/>
        <extend val="0"/>
        <sz val="11"/>
        <vertAlign val="baseline"/>
        <scheme val="minor"/>
      </font>
      <numFmt numFmtId="13" formatCode="0%"/>
    </dxf>
    <dxf>
      <font>
        <name val="Calibri"/>
        <strike val="0"/>
        <outline val="0"/>
        <shadow val="0"/>
        <color auto="1"/>
        <sz val="11"/>
        <vertAlign val="baseline"/>
        <scheme val="minor"/>
      </font>
      <numFmt numFmtId="13" formatCode="0%"/>
      <border>
        <left style="thin">
          <color indexed="64"/>
        </left>
        <right style="thin">
          <color indexed="64"/>
        </right>
        <top style="thin">
          <color indexed="64"/>
        </top>
        <bottom style="thin">
          <color indexed="64"/>
        </bottom>
        <vertical style="thin">
          <color indexed="64"/>
        </vertical>
        <horizontal style="thin">
          <color indexed="64"/>
        </horizontal>
      </border>
    </dxf>
    <dxf>
      <font>
        <name val="Calibri"/>
        <strike val="0"/>
        <outline val="0"/>
        <shadow val="0"/>
        <condense val="0"/>
        <color auto="1"/>
        <extend val="0"/>
        <sz val="11"/>
        <vertAlign val="baseline"/>
        <scheme val="minor"/>
      </font>
      <numFmt numFmtId="13" formatCode="0%"/>
    </dxf>
    <dxf>
      <font>
        <name val="Calibri"/>
        <strike val="0"/>
        <outline val="0"/>
        <shadow val="0"/>
        <color auto="1"/>
        <sz val="11"/>
        <vertAlign val="baseline"/>
        <scheme val="minor"/>
      </font>
      <numFmt numFmtId="13" formatCode="0%"/>
      <border>
        <left style="thin">
          <color indexed="64"/>
        </left>
        <right style="thin">
          <color indexed="64"/>
        </right>
        <top style="thin">
          <color indexed="64"/>
        </top>
        <bottom style="thin">
          <color indexed="64"/>
        </bottom>
        <vertical style="thin">
          <color indexed="64"/>
        </vertical>
        <horizontal style="thin">
          <color indexed="64"/>
        </horizontal>
      </border>
    </dxf>
    <dxf>
      <font>
        <name val="Calibri"/>
        <strike val="0"/>
        <outline val="0"/>
        <shadow val="0"/>
        <condense val="0"/>
        <color auto="1"/>
        <extend val="0"/>
        <sz val="11"/>
        <vertAlign val="baseline"/>
        <scheme val="minor"/>
      </font>
      <numFmt numFmtId="13" formatCode="0%"/>
    </dxf>
    <dxf>
      <font>
        <name val="Calibri"/>
        <strike val="0"/>
        <outline val="0"/>
        <shadow val="0"/>
        <color auto="1"/>
        <sz val="11"/>
        <vertAlign val="baseline"/>
        <scheme val="minor"/>
      </font>
      <numFmt numFmtId="13" formatCode="0%"/>
      <border>
        <left style="thin">
          <color indexed="64"/>
        </left>
        <right style="thin">
          <color indexed="64"/>
        </right>
        <top style="thin">
          <color indexed="64"/>
        </top>
        <bottom style="thin">
          <color indexed="64"/>
        </bottom>
        <vertical style="thin">
          <color indexed="64"/>
        </vertical>
        <horizontal style="thin">
          <color indexed="64"/>
        </horizontal>
      </border>
    </dxf>
    <dxf>
      <font>
        <name val="Calibri"/>
        <strike val="0"/>
        <outline val="0"/>
        <shadow val="0"/>
        <condense val="0"/>
        <color auto="1"/>
        <extend val="0"/>
        <sz val="11"/>
        <vertAlign val="baseline"/>
        <scheme val="minor"/>
      </font>
      <numFmt numFmtId="13" formatCode="0%"/>
    </dxf>
    <dxf>
      <font>
        <name val="Calibri"/>
        <strike val="0"/>
        <outline val="0"/>
        <shadow val="0"/>
        <color auto="1"/>
        <sz val="11"/>
        <vertAlign val="baseline"/>
        <scheme val="minor"/>
      </font>
      <numFmt numFmtId="13" formatCode="0%"/>
      <border>
        <left style="thin">
          <color indexed="64"/>
        </left>
        <right style="thin">
          <color indexed="64"/>
        </right>
        <top style="thin">
          <color indexed="64"/>
        </top>
        <bottom style="thin">
          <color indexed="64"/>
        </bottom>
        <vertical style="thin">
          <color indexed="64"/>
        </vertical>
        <horizontal style="thin">
          <color indexed="64"/>
        </horizontal>
      </border>
    </dxf>
    <dxf>
      <font>
        <name val="Calibri"/>
        <strike val="0"/>
        <outline val="0"/>
        <shadow val="0"/>
        <condense val="0"/>
        <color auto="1"/>
        <extend val="0"/>
        <sz val="11"/>
        <vertAlign val="baseline"/>
        <scheme val="minor"/>
      </font>
      <numFmt numFmtId="13" formatCode="0%"/>
    </dxf>
    <dxf>
      <font>
        <name val="Calibri"/>
        <strike val="0"/>
        <outline val="0"/>
        <shadow val="0"/>
        <color auto="1"/>
        <sz val="11"/>
        <vertAlign val="baseline"/>
        <scheme val="minor"/>
      </font>
      <numFmt numFmtId="13" formatCode="0%"/>
      <border>
        <left style="thin">
          <color indexed="64"/>
        </left>
        <right style="thin">
          <color indexed="64"/>
        </right>
        <top style="thin">
          <color indexed="64"/>
        </top>
        <bottom style="thin">
          <color indexed="64"/>
        </bottom>
        <vertical style="thin">
          <color indexed="64"/>
        </vertical>
        <horizontal style="thin">
          <color indexed="64"/>
        </horizontal>
      </border>
    </dxf>
    <dxf>
      <font>
        <name val="Calibri"/>
        <strike val="0"/>
        <outline val="0"/>
        <shadow val="0"/>
        <condense val="0"/>
        <color auto="1"/>
        <extend val="0"/>
        <sz val="11"/>
        <vertAlign val="baseline"/>
        <scheme val="minor"/>
      </font>
      <numFmt numFmtId="13" formatCode="0%"/>
    </dxf>
    <dxf>
      <font>
        <name val="Calibri"/>
        <strike val="0"/>
        <outline val="0"/>
        <shadow val="0"/>
        <color auto="1"/>
        <sz val="11"/>
        <vertAlign val="baseline"/>
        <scheme val="minor"/>
      </font>
      <numFmt numFmtId="13" formatCode="0%"/>
      <border>
        <left style="thin">
          <color indexed="64"/>
        </left>
        <right style="thin">
          <color indexed="64"/>
        </right>
        <top style="thin">
          <color indexed="64"/>
        </top>
        <bottom style="thin">
          <color indexed="64"/>
        </bottom>
        <vertical style="thin">
          <color indexed="64"/>
        </vertical>
        <horizontal style="thin">
          <color indexed="64"/>
        </horizontal>
      </border>
    </dxf>
    <dxf>
      <font>
        <name val="Calibri"/>
        <strike val="0"/>
        <outline val="0"/>
        <shadow val="0"/>
        <condense val="0"/>
        <color auto="1"/>
        <extend val="0"/>
        <sz val="11"/>
        <vertAlign val="baseline"/>
        <scheme val="minor"/>
      </font>
    </dxf>
    <dxf>
      <font>
        <name val="Calibri"/>
        <strike val="0"/>
        <outline val="0"/>
        <shadow val="0"/>
        <color auto="1"/>
        <sz val="11"/>
        <vertAlign val="baseline"/>
        <scheme val="minor"/>
      </font>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rgb="FFE2EFDA"/>
          <bgColor rgb="FF000000"/>
        </patternFill>
      </fill>
    </dxf>
    <dxf>
      <font>
        <name val="Calibri"/>
        <strike val="0"/>
        <outline val="0"/>
        <shadow val="0"/>
        <color auto="1"/>
        <sz val="11"/>
        <vertAlign val="baseline"/>
        <scheme val="minor"/>
      </font>
    </dxf>
    <dxf>
      <font>
        <name val="Calibri"/>
        <strike val="0"/>
        <outline val="0"/>
        <shadow val="0"/>
        <color auto="1"/>
        <sz val="11"/>
        <vertAlign val="baseline"/>
        <scheme val="minor"/>
      </font>
      <fill>
        <patternFill patternType="solid">
          <fgColor indexed="64"/>
          <bgColor rgb="FFFFFF00"/>
        </patternFill>
      </fill>
      <border>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600" b="1" i="0" strike="noStrike" kern="1200" spc="100" baseline="0">
                <a:solidFill>
                  <a:schemeClr val="lt1">
                    <a:lumMod val="95000"/>
                  </a:schemeClr>
                </a:solidFill>
                <a:latin typeface="+mn-lt"/>
                <a:ea typeface="+mn-ea"/>
                <a:cs typeface="+mn-cs"/>
              </a:defRPr>
            </a:pPr>
            <a:r>
              <a:rPr lang="en-IN"/>
              <a:t>Cost</a:t>
            </a:r>
            <a:r>
              <a:rPr lang="en-IN" baseline="0"/>
              <a:t xml:space="preserve"> % vs Components</a:t>
            </a:r>
            <a:endParaRPr lang="en-IN"/>
          </a:p>
        </rich>
      </tx>
      <overlay val="0"/>
      <spPr>
        <a:noFill/>
        <a:ln>
          <a:noFill/>
          <a:prstDash val="solid"/>
        </a:ln>
      </spPr>
    </title>
    <plotArea>
      <layout/>
      <barChart>
        <barDir val="col"/>
        <grouping val="stacked"/>
        <varyColors val="0"/>
        <ser>
          <idx val="0"/>
          <order val="0"/>
          <spPr>
            <a:gradFill rotWithShape="1">
              <a:gsLst>
                <a:gs pos="0">
                  <a:schemeClr val="accent3">
                    <a:tint val="94000"/>
                    <a:satMod val="103000"/>
                    <a:lumMod val="102000"/>
                  </a:schemeClr>
                </a:gs>
                <a:gs pos="50000">
                  <a:schemeClr val="accent3">
                    <a:shade val="100000"/>
                    <a:satMod val="110000"/>
                    <a:lumMod val="100000"/>
                  </a:schemeClr>
                </a:gs>
                <a:gs pos="100000">
                  <a:schemeClr val="accent3">
                    <a:shade val="78000"/>
                    <a:satMod val="120000"/>
                    <a:lumMod val="99000"/>
                  </a:schemeClr>
                </a:gs>
              </a:gsLst>
              <a:lin ang="5400000" scaled="0"/>
            </a:gradFill>
            <a:ln>
              <a:noFill/>
              <a:prstDash val="solid"/>
            </a:ln>
          </spPr>
          <invertIfNegative val="0"/>
          <errBars>
            <errBarType val="both"/>
            <errValType val="stdErr"/>
            <noEndCap val="0"/>
            <spPr>
              <a:noFill/>
              <a:ln w="9525" cap="flat" cmpd="sng" algn="ctr">
                <a:solidFill>
                  <a:schemeClr val="lt1">
                    <a:lumMod val="95000"/>
                  </a:schemeClr>
                </a:solidFill>
                <a:prstDash val="solid"/>
                <a:round/>
              </a:ln>
            </spPr>
          </errBars>
          <cat>
            <strRef>
              <f>Sheet1!$B$3:$B$32</f>
              <strCache>
                <ptCount val="30"/>
                <pt idx="0">
                  <v xml:space="preserve">CORE </v>
                </pt>
                <pt idx="1">
                  <v>CAVITY</v>
                </pt>
                <pt idx="2">
                  <v>MOULD BASE</v>
                </pt>
                <pt idx="3">
                  <v>HRS</v>
                </pt>
                <pt idx="4">
                  <v>SPACER BLOCK</v>
                </pt>
                <pt idx="5">
                  <v>EJECTOR PLATE</v>
                </pt>
                <pt idx="6">
                  <v>CLAMPING PLATE</v>
                </pt>
                <pt idx="7">
                  <v>STANDARD ITEMS</v>
                </pt>
                <pt idx="8">
                  <v>TEXTURING</v>
                </pt>
                <pt idx="9">
                  <v>HARDENING + POLISHING</v>
                </pt>
                <pt idx="10">
                  <v>ELECTRODES</v>
                </pt>
                <pt idx="11">
                  <v>OTHER PARTS</v>
                </pt>
                <pt idx="12">
                  <v>Surface Grinding</v>
                </pt>
                <pt idx="13">
                  <v>Conv Milling - Facing</v>
                </pt>
                <pt idx="14">
                  <v>CNC Milling</v>
                </pt>
                <pt idx="15">
                  <v>CNC Lathe</v>
                </pt>
                <pt idx="16">
                  <v>Radial Drilling - Hole drilling</v>
                </pt>
                <pt idx="17">
                  <v>CNC EDM</v>
                </pt>
                <pt idx="18">
                  <v>Radial Drilling - Reaming / Tapping</v>
                </pt>
                <pt idx="19">
                  <v>Conv Milling - End Milling</v>
                </pt>
                <pt idx="20">
                  <v>Gun Drilling</v>
                </pt>
                <pt idx="21">
                  <v>Bench Work</v>
                </pt>
                <pt idx="22">
                  <v>Conv Lathe - Facing / Turning</v>
                </pt>
                <pt idx="23">
                  <v>Cylindrical Grinding</v>
                </pt>
                <pt idx="24">
                  <v>Pillar Drilling</v>
                </pt>
                <pt idx="25">
                  <v>NC EDM</v>
                </pt>
                <pt idx="26">
                  <v>Wirecut EDM</v>
                </pt>
                <pt idx="27">
                  <v>Jig Boring</v>
                </pt>
                <pt idx="28">
                  <v>Design Cost</v>
                </pt>
                <pt idx="29">
                  <v>Other Cost</v>
                </pt>
              </strCache>
            </strRef>
          </cat>
          <val>
            <numRef>
              <f>Sheet1!$K$3:$K$30</f>
              <numCache>
                <formatCode>0.00%</formatCode>
                <ptCount val="28"/>
                <pt idx="0">
                  <v>0.0626287801493782</v>
                </pt>
                <pt idx="1">
                  <v>0.06065540172160171</v>
                </pt>
                <pt idx="2">
                  <v>0.04774647259762918</v>
                </pt>
                <pt idx="3">
                  <v>0.02921601804692904</v>
                </pt>
                <pt idx="4">
                  <v>0.02817158844125876</v>
                </pt>
                <pt idx="5">
                  <v>0.01733004648371832</v>
                </pt>
                <pt idx="6">
                  <v>0.01725944756186448</v>
                </pt>
                <pt idx="7">
                  <v>0.0130194682065769</v>
                </pt>
                <pt idx="8">
                  <v>0.009428084218349807</v>
                </pt>
                <pt idx="9">
                  <v>0.00749216582982858</v>
                </pt>
                <pt idx="10">
                  <v>0.005835642885079172</v>
                </pt>
                <pt idx="11">
                  <v>0.004289953103861945</v>
                </pt>
                <pt idx="12">
                  <v>0.1071118005309912</v>
                </pt>
                <pt idx="13">
                  <v>0.09710510492384292</v>
                </pt>
                <pt idx="14">
                  <v>0.0790462070987081</v>
                </pt>
                <pt idx="15">
                  <v>0.06319560003915922</v>
                </pt>
                <pt idx="16">
                  <v>0.01698801741636077</v>
                </pt>
                <pt idx="17">
                  <v>0.009899575567172823</v>
                </pt>
                <pt idx="18">
                  <v>0.006302986336531307</v>
                </pt>
                <pt idx="19">
                  <v>0.00328709948955393</v>
                </pt>
                <pt idx="20">
                  <v>0.002296332430178012</v>
                </pt>
                <pt idx="21">
                  <v>0.001963430520525124</v>
                </pt>
                <pt idx="22">
                  <v>0</v>
                </pt>
                <pt idx="23">
                  <v>0</v>
                </pt>
                <pt idx="24">
                  <v>0</v>
                </pt>
                <pt idx="25">
                  <v>0</v>
                </pt>
                <pt idx="26">
                  <v>0</v>
                </pt>
                <pt idx="27">
                  <v>0</v>
                </pt>
              </numCache>
            </numRef>
          </val>
        </ser>
        <dLbls>
          <showLegendKey val="0"/>
          <showVal val="0"/>
          <showCatName val="0"/>
          <showSerName val="0"/>
          <showPercent val="0"/>
          <showBubbleSize val="0"/>
        </dLbls>
        <gapWidth val="150"/>
        <overlap val="100"/>
        <axId val="1943646880"/>
        <axId val="1943637312"/>
      </barChart>
      <catAx>
        <axId val="1943646880"/>
        <scaling>
          <orientation val="minMax"/>
        </scaling>
        <delete val="0"/>
        <axPos val="b"/>
        <numFmt formatCode="General" sourceLinked="1"/>
        <majorTickMark val="none"/>
        <minorTickMark val="none"/>
        <tickLblPos val="nextTo"/>
        <spPr>
          <a:noFill/>
          <a:ln w="12700" cap="flat" cmpd="sng" algn="ctr">
            <a:solidFill>
              <a:schemeClr val="lt1">
                <a:alpha val="54000"/>
                <a:lumMod val="95000"/>
              </a:schemeClr>
            </a:solidFill>
            <a:prstDash val="solid"/>
            <a:round/>
          </a:ln>
        </spPr>
        <txPr>
          <a:bodyPr rot="-60000000" spcFirstLastPara="1" vertOverflow="ellipsis" vert="horz" wrap="square" anchor="ctr" anchorCtr="1"/>
          <a:lstStyle/>
          <a:p>
            <a:pPr>
              <a:defRPr sz="900" b="0" i="0" strike="noStrike" kern="1200" baseline="0">
                <a:solidFill>
                  <a:schemeClr val="lt1">
                    <a:lumMod val="85000"/>
                  </a:schemeClr>
                </a:solidFill>
                <a:latin typeface="+mn-lt"/>
                <a:ea typeface="+mn-ea"/>
                <a:cs typeface="+mn-cs"/>
              </a:defRPr>
            </a:pPr>
            <a:r>
              <a:t>None</a:t>
            </a:r>
            <a:endParaRPr lang="en-US"/>
          </a:p>
        </txPr>
        <crossAx val="1943637312"/>
        <crosses val="autoZero"/>
        <auto val="1"/>
        <lblAlgn val="ctr"/>
        <lblOffset val="100"/>
        <noMultiLvlLbl val="0"/>
      </catAx>
      <valAx>
        <axId val="1943637312"/>
        <scaling>
          <orientation val="minMax"/>
        </scaling>
        <delete val="0"/>
        <axPos val="l"/>
        <majorGridlines>
          <spPr>
            <a:ln w="9525" cap="flat" cmpd="sng" algn="ctr">
              <a:solidFill>
                <a:schemeClr val="lt1">
                  <a:alpha val="10000"/>
                  <a:lumMod val="95000"/>
                </a:schemeClr>
              </a:solidFill>
              <a:prstDash val="solid"/>
              <a:round/>
            </a:ln>
          </spPr>
        </majorGridlines>
        <numFmt formatCode="0.00%"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lt1">
                    <a:lumMod val="85000"/>
                  </a:schemeClr>
                </a:solidFill>
                <a:latin typeface="+mn-lt"/>
                <a:ea typeface="+mn-ea"/>
                <a:cs typeface="+mn-cs"/>
              </a:defRPr>
            </a:pPr>
            <a:r>
              <a:t>None</a:t>
            </a:r>
            <a:endParaRPr lang="en-US"/>
          </a:p>
        </txPr>
        <crossAx val="1943646880"/>
        <crosses val="autoZero"/>
        <crossBetween val="between"/>
      </valAx>
    </plotArea>
    <plotVisOnly val="1"/>
    <dispBlanksAs val="gap"/>
  </chart>
  <spPr>
    <a:gradFill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prstDash val="solid"/>
    </a:ln>
  </spPr>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600" b="1" i="0" strike="noStrike" kern="1200" cap="all" spc="120" normalizeH="0" baseline="0">
                <a:solidFill>
                  <a:schemeClr val="tx1">
                    <a:lumMod val="65000"/>
                    <a:lumOff val="35000"/>
                  </a:schemeClr>
                </a:solidFill>
                <a:latin typeface="+mn-lt"/>
                <a:ea typeface="+mn-ea"/>
                <a:cs typeface="+mn-cs"/>
              </a:defRPr>
            </a:pPr>
            <a:r>
              <a:rPr lang="en-IN"/>
              <a:t xml:space="preserve">mOULD </a:t>
            </a:r>
            <a:r>
              <a:rPr lang="en-IN" baseline="0"/>
              <a:t xml:space="preserve">- RAW MATERIAL </a:t>
            </a:r>
            <a:endParaRPr lang="en-IN"/>
          </a:p>
        </rich>
      </tx>
      <overlay val="0"/>
      <spPr>
        <a:noFill/>
        <a:ln>
          <a:noFill/>
          <a:prstDash val="solid"/>
        </a:ln>
      </spPr>
    </title>
    <plotArea>
      <layout/>
      <barChart>
        <barDir val="col"/>
        <grouping val="clustered"/>
        <varyColors val="0"/>
        <ser>
          <idx val="0"/>
          <order val="0"/>
          <tx>
            <strRef>
              <f>DASHBOARD!$B$14</f>
              <strCache>
                <ptCount val="1"/>
                <pt idx="0">
                  <v>MOULD BASE</v>
                </pt>
              </strCache>
            </strRef>
          </tx>
          <spPr>
            <a:solidFill>
              <a:schemeClr val="accent1"/>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DASHBOARD!$I$14</f>
              <numCache>
                <formatCode>0%</formatCode>
                <ptCount val="1"/>
                <pt idx="0">
                  <v>0.1858747571399975</v>
                </pt>
              </numCache>
            </numRef>
          </val>
        </ser>
        <ser>
          <idx val="1"/>
          <order val="1"/>
          <tx>
            <strRef>
              <f>DASHBOARD!$B$15</f>
              <strCache>
                <ptCount val="1"/>
                <pt idx="0">
                  <v xml:space="preserve">CORE </v>
                </pt>
              </strCache>
            </strRef>
          </tx>
          <spPr>
            <a:solidFill>
              <a:schemeClr val="accent2"/>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DASHBOARD!$I$15</f>
              <numCache>
                <formatCode>0%</formatCode>
                <ptCount val="1"/>
                <pt idx="0">
                  <v>0.2430648222540248</v>
                </pt>
              </numCache>
            </numRef>
          </val>
        </ser>
        <ser>
          <idx val="2"/>
          <order val="2"/>
          <tx>
            <strRef>
              <f>DASHBOARD!$B$16</f>
              <strCache>
                <ptCount val="1"/>
                <pt idx="0">
                  <v>CAVITY</v>
                </pt>
              </strCache>
            </strRef>
          </tx>
          <spPr>
            <a:solidFill>
              <a:schemeClr val="accent3"/>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DASHBOARD!$I$16</f>
              <numCache>
                <formatCode>0%</formatCode>
                <ptCount val="1"/>
                <pt idx="0">
                  <v>0.2370791183774564</v>
                </pt>
              </numCache>
            </numRef>
          </val>
        </ser>
        <ser>
          <idx val="3"/>
          <order val="3"/>
          <tx>
            <strRef>
              <f>DASHBOARD!$B$17</f>
              <strCache>
                <ptCount val="1"/>
                <pt idx="0">
                  <v>ELECTRODES</v>
                </pt>
              </strCache>
            </strRef>
          </tx>
          <spPr>
            <a:solidFill>
              <a:schemeClr val="accent4"/>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DASHBOARD!$I$17</f>
              <numCache>
                <formatCode>0%</formatCode>
                <ptCount val="1"/>
                <pt idx="0">
                  <v>0.03136810211091381</v>
                </pt>
              </numCache>
            </numRef>
          </val>
        </ser>
        <ser>
          <idx val="4"/>
          <order val="4"/>
          <tx>
            <strRef>
              <f>DASHBOARD!$B$18</f>
              <strCache>
                <ptCount val="1"/>
                <pt idx="0">
                  <v>SPACER BLOCK</v>
                </pt>
              </strCache>
            </strRef>
          </tx>
          <spPr>
            <a:solidFill>
              <a:schemeClr val="accent5"/>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DASHBOARD!$I$18</f>
              <numCache>
                <formatCode>0%</formatCode>
                <ptCount val="1"/>
                <pt idx="0">
                  <v>0.1199949835046251</v>
                </pt>
              </numCache>
            </numRef>
          </val>
        </ser>
        <ser>
          <idx val="5"/>
          <order val="5"/>
          <tx>
            <strRef>
              <f>DASHBOARD!$B$19</f>
              <strCache>
                <ptCount val="1"/>
                <pt idx="0">
                  <v>EJECTOR PLATE</v>
                </pt>
              </strCache>
            </strRef>
          </tx>
          <spPr>
            <a:solidFill>
              <a:schemeClr val="accent6"/>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DASHBOARD!$I$19</f>
              <numCache>
                <formatCode>0%</formatCode>
                <ptCount val="1"/>
                <pt idx="0">
                  <v>0.04515627163747877</v>
                </pt>
              </numCache>
            </numRef>
          </val>
        </ser>
        <ser>
          <idx val="6"/>
          <order val="6"/>
          <tx>
            <strRef>
              <f>DASHBOARD!$B$20</f>
              <strCache>
                <ptCount val="1"/>
                <pt idx="0">
                  <v>OTHER PARTS</v>
                </pt>
              </strCache>
            </strRef>
          </tx>
          <spPr>
            <a:solidFill>
              <a:schemeClr val="accent1">
                <a:lumMod val="60000"/>
              </a:schemeClr>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DASHBOARD!$I$20</f>
              <numCache>
                <formatCode>0%</formatCode>
                <ptCount val="1"/>
                <pt idx="0">
                  <v>0.01301239973167023</v>
                </pt>
              </numCache>
            </numRef>
          </val>
        </ser>
        <ser>
          <idx val="7"/>
          <order val="7"/>
          <tx>
            <strRef>
              <f>DASHBOARD!$B$21</f>
              <strCache>
                <ptCount val="1"/>
                <pt idx="0">
                  <v>STANDARD ITEMS</v>
                </pt>
              </strCache>
            </strRef>
          </tx>
          <spPr>
            <a:solidFill>
              <a:schemeClr val="accent2">
                <a:lumMod val="60000"/>
              </a:schemeClr>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DASHBOARD!$I$21</f>
              <numCache>
                <formatCode>0%</formatCode>
                <ptCount val="1"/>
                <pt idx="0">
                  <v>0.04925146157343418</v>
                </pt>
              </numCache>
            </numRef>
          </val>
        </ser>
        <ser>
          <idx val="8"/>
          <order val="8"/>
          <tx>
            <strRef>
              <f>DASHBOARD!$B$22</f>
              <strCache>
                <ptCount val="1"/>
                <pt idx="0">
                  <v>TEXTURING</v>
                </pt>
              </strCache>
            </strRef>
          </tx>
          <spPr>
            <a:solidFill>
              <a:schemeClr val="accent3">
                <a:lumMod val="60000"/>
              </a:schemeClr>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DASHBOARD!$I$22</f>
              <numCache>
                <formatCode>0%</formatCode>
                <ptCount val="1"/>
                <pt idx="0">
                  <v>0</v>
                </pt>
              </numCache>
            </numRef>
          </val>
        </ser>
        <ser>
          <idx val="9"/>
          <order val="9"/>
          <tx>
            <strRef>
              <f>DASHBOARD!$B$23</f>
              <strCache>
                <ptCount val="1"/>
                <pt idx="0">
                  <v>CLAMPING PLATE</v>
                </pt>
              </strCache>
            </strRef>
          </tx>
          <spPr>
            <a:solidFill>
              <a:schemeClr val="accent4">
                <a:lumMod val="60000"/>
              </a:schemeClr>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DASHBOARD!$I$23</f>
              <numCache>
                <formatCode>0%</formatCode>
                <ptCount val="1"/>
                <pt idx="0">
                  <v>0.07053853196051908</v>
                </pt>
              </numCache>
            </numRef>
          </val>
        </ser>
        <ser>
          <idx val="10"/>
          <order val="10"/>
          <tx>
            <strRef>
              <f>DASHBOARD!$B$24</f>
              <strCache>
                <ptCount val="1"/>
                <pt idx="0">
                  <v>HRS</v>
                </pt>
              </strCache>
            </strRef>
          </tx>
          <spPr>
            <a:solidFill>
              <a:schemeClr val="accent5">
                <a:lumMod val="60000"/>
              </a:schemeClr>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DASHBOARD!$I$24</f>
              <numCache>
                <formatCode>0%</formatCode>
                <ptCount val="1"/>
                <pt idx="0">
                  <v>0.004659551709880244</v>
                </pt>
              </numCache>
            </numRef>
          </val>
        </ser>
        <ser>
          <idx val="11"/>
          <order val="11"/>
          <tx>
            <strRef>
              <f>DASHBOARD!$B$25</f>
              <strCache>
                <ptCount val="1"/>
                <pt idx="0">
                  <v>HARDENING + POLISHING</v>
                </pt>
              </strCache>
            </strRef>
          </tx>
          <spPr>
            <a:solidFill>
              <a:schemeClr val="accent6">
                <a:lumMod val="60000"/>
              </a:schemeClr>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DASHBOARD!$I$25</f>
              <numCache>
                <formatCode>0%</formatCode>
                <ptCount val="1"/>
                <pt idx="0">
                  <v>0</v>
                </pt>
              </numCache>
            </numRef>
          </val>
        </ser>
        <dLbls>
          <dLblPos val="outEnd"/>
          <showLegendKey val="0"/>
          <showVal val="1"/>
          <showCatName val="0"/>
          <showSerName val="0"/>
          <showPercent val="0"/>
          <showBubbleSize val="0"/>
        </dLbls>
        <gapWidth val="444"/>
        <overlap val="-90"/>
        <axId val="872408624"/>
        <axId val="872414032"/>
      </barChart>
      <catAx>
        <axId val="872408624"/>
        <scaling>
          <orientation val="minMax"/>
        </scaling>
        <delete val="0"/>
        <axPos val="b"/>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800" b="0" i="0" strike="noStrike" kern="1200" cap="all" spc="120" normalizeH="0" baseline="0">
                <a:solidFill>
                  <a:schemeClr val="tx1">
                    <a:lumMod val="65000"/>
                    <a:lumOff val="35000"/>
                  </a:schemeClr>
                </a:solidFill>
                <a:latin typeface="+mn-lt"/>
                <a:ea typeface="+mn-ea"/>
                <a:cs typeface="+mn-cs"/>
              </a:defRPr>
            </a:pPr>
            <a:r>
              <a:t>None</a:t>
            </a:r>
            <a:endParaRPr lang="en-US"/>
          </a:p>
        </txPr>
        <crossAx val="872414032"/>
        <crosses val="autoZero"/>
        <auto val="1"/>
        <lblAlgn val="ctr"/>
        <lblOffset val="100"/>
        <noMultiLvlLbl val="0"/>
      </catAx>
      <valAx>
        <axId val="872414032"/>
        <scaling>
          <orientation val="minMax"/>
        </scaling>
        <delete val="1"/>
        <axPos val="l"/>
        <numFmt formatCode="0%" sourceLinked="1"/>
        <majorTickMark val="none"/>
        <minorTickMark val="none"/>
        <tickLblPos val="nextTo"/>
        <crossAx val="872408624"/>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spPr>
    <a:solidFill>
      <a:schemeClr val="lt1"/>
    </a:solidFill>
    <a:ln w="9525" cap="flat" cmpd="sng" algn="ctr">
      <a:solidFill>
        <a:schemeClr val="tx1">
          <a:lumMod val="15000"/>
          <a:lumOff val="85000"/>
        </a:schemeClr>
      </a:solidFill>
      <a:prstDash val="solid"/>
      <a:round/>
    </a:ln>
  </spPr>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IN"/>
              <a:t>CONVERSION</a:t>
            </a:r>
            <a:r>
              <a:rPr lang="en-IN" baseline="0"/>
              <a:t xml:space="preserve"> COST</a:t>
            </a:r>
            <a:endParaRPr lang="en-IN"/>
          </a:p>
        </rich>
      </tx>
      <overlay val="0"/>
      <spPr>
        <a:noFill/>
        <a:ln>
          <a:noFill/>
          <a:prstDash val="solid"/>
        </a:ln>
      </spPr>
    </title>
    <plotArea>
      <layout/>
      <barChart>
        <barDir val="col"/>
        <grouping val="clustered"/>
        <varyColors val="0"/>
        <ser>
          <idx val="0"/>
          <order val="0"/>
          <tx>
            <strRef>
              <f>DASHBOARD!$B$34</f>
              <strCache>
                <ptCount val="1"/>
                <pt idx="0">
                  <v>Conv Milling - Facing</v>
                </pt>
              </strCache>
            </strRef>
          </tx>
          <spPr>
            <a:solidFill>
              <a:schemeClr val="accent1"/>
            </a:solidFill>
            <a:ln w="19050">
              <a:solidFill>
                <a:schemeClr val="lt1"/>
              </a:solidFill>
              <a:prstDash val="solid"/>
            </a:ln>
          </spPr>
          <invertIfNegative val="0"/>
          <dPt>
            <idx val="0"/>
            <invertIfNegative val="0"/>
            <bubble3D val="0"/>
            <spPr>
              <a:ln>
                <a:prstDash val="solid"/>
              </a:ln>
            </spPr>
          </dPt>
          <dPt>
            <idx val="1"/>
            <invertIfNegative val="0"/>
            <bubble3D val="0"/>
            <spPr>
              <a:ln>
                <a:prstDash val="solid"/>
              </a:ln>
            </spPr>
          </dPt>
          <dPt>
            <idx val="2"/>
            <invertIfNegative val="0"/>
            <bubble3D val="0"/>
            <spPr>
              <a:ln>
                <a:prstDash val="solid"/>
              </a:ln>
            </spPr>
          </dPt>
          <dPt>
            <idx val="3"/>
            <invertIfNegative val="0"/>
            <bubble3D val="0"/>
            <spPr>
              <a:ln>
                <a:prstDash val="solid"/>
              </a:ln>
            </spPr>
          </dPt>
          <dPt>
            <idx val="4"/>
            <invertIfNegative val="0"/>
            <bubble3D val="0"/>
            <spPr>
              <a:ln>
                <a:prstDash val="solid"/>
              </a:ln>
            </spPr>
          </dPt>
          <dPt>
            <idx val="5"/>
            <invertIfNegative val="0"/>
            <bubble3D val="0"/>
            <spPr>
              <a:ln>
                <a:prstDash val="solid"/>
              </a:ln>
            </spPr>
          </dPt>
          <dPt>
            <idx val="6"/>
            <invertIfNegative val="0"/>
            <bubble3D val="0"/>
            <spPr>
              <a:ln>
                <a:prstDash val="solid"/>
              </a:ln>
            </spPr>
          </dPt>
          <dPt>
            <idx val="7"/>
            <invertIfNegative val="0"/>
            <bubble3D val="0"/>
            <spPr>
              <a:ln>
                <a:prstDash val="solid"/>
              </a:ln>
            </spPr>
          </dPt>
          <dPt>
            <idx val="8"/>
            <invertIfNegative val="0"/>
            <bubble3D val="0"/>
            <spPr>
              <a:ln>
                <a:prstDash val="solid"/>
              </a:ln>
            </spPr>
          </dPt>
          <dPt>
            <idx val="9"/>
            <invertIfNegative val="0"/>
            <bubble3D val="0"/>
            <spPr>
              <a:ln>
                <a:prstDash val="solid"/>
              </a:ln>
            </spPr>
          </dPt>
          <dPt>
            <idx val="10"/>
            <invertIfNegative val="0"/>
            <bubble3D val="0"/>
            <spPr>
              <a:ln>
                <a:prstDash val="solid"/>
              </a:ln>
            </spPr>
          </dPt>
          <dPt>
            <idx val="11"/>
            <invertIfNegative val="0"/>
            <bubble3D val="0"/>
            <spPr>
              <a:ln>
                <a:prstDash val="solid"/>
              </a:ln>
            </spPr>
          </dPt>
          <dPt>
            <idx val="12"/>
            <invertIfNegative val="0"/>
            <bubble3D val="0"/>
            <spPr>
              <a:ln>
                <a:prstDash val="solid"/>
              </a:ln>
            </spPr>
          </dPt>
          <dPt>
            <idx val="13"/>
            <invertIfNegative val="0"/>
            <bubble3D val="0"/>
            <spPr>
              <a:ln>
                <a:prstDash val="solid"/>
              </a:ln>
            </spPr>
          </dPt>
          <dPt>
            <idx val="14"/>
            <invertIfNegative val="0"/>
            <bubble3D val="0"/>
            <spPr>
              <a:ln>
                <a:prstDash val="solid"/>
              </a:ln>
            </spPr>
          </dPt>
          <dPt>
            <idx val="15"/>
            <invertIfNegative val="0"/>
            <bubble3D val="0"/>
            <spPr>
              <a:ln>
                <a:prstDash val="solid"/>
              </a:ln>
            </spPr>
          </dPt>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DASHBOARD!$I$34</f>
              <numCache>
                <formatCode>0%</formatCode>
                <ptCount val="1"/>
                <pt idx="0">
                  <v>0.2560699508158326</v>
                </pt>
              </numCache>
            </numRef>
          </val>
        </ser>
        <ser>
          <idx val="1"/>
          <order val="1"/>
          <tx>
            <strRef>
              <f>DASHBOARD!$B$35</f>
              <strCache>
                <ptCount val="1"/>
                <pt idx="0">
                  <v>Conv Milling - End Milling</v>
                </pt>
              </strCache>
            </strRef>
          </tx>
          <spPr>
            <a:solidFill>
              <a:schemeClr val="accent2"/>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DASHBOARD!$I$35</f>
              <numCache>
                <formatCode>0.0%</formatCode>
                <ptCount val="1"/>
                <pt idx="0">
                  <v>0.009992973690373956</v>
                </pt>
              </numCache>
            </numRef>
          </val>
        </ser>
        <ser>
          <idx val="2"/>
          <order val="2"/>
          <tx>
            <strRef>
              <f>DASHBOARD!$B$36</f>
              <strCache>
                <ptCount val="1"/>
                <pt idx="0">
                  <v>Conv Lathe - Facing / Turning</v>
                </pt>
              </strCache>
            </strRef>
          </tx>
          <spPr>
            <a:solidFill>
              <a:schemeClr val="accent3"/>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DASHBOARD!$I$36</f>
              <numCache>
                <formatCode>0.0%</formatCode>
                <ptCount val="1"/>
                <pt idx="0">
                  <v>0</v>
                </pt>
              </numCache>
            </numRef>
          </val>
        </ser>
        <ser>
          <idx val="3"/>
          <order val="3"/>
          <tx>
            <strRef>
              <f>DASHBOARD!$B$37</f>
              <strCache>
                <ptCount val="1"/>
                <pt idx="0">
                  <v>Surface Grinding</v>
                </pt>
              </strCache>
            </strRef>
          </tx>
          <spPr>
            <a:solidFill>
              <a:schemeClr val="accent4"/>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DASHBOARD!$I$37</f>
              <numCache>
                <formatCode>0%</formatCode>
                <ptCount val="1"/>
                <pt idx="0">
                  <v>0.270122570067921</v>
                </pt>
              </numCache>
            </numRef>
          </val>
        </ser>
        <ser>
          <idx val="4"/>
          <order val="4"/>
          <tx>
            <strRef>
              <f>DASHBOARD!$B$38</f>
              <strCache>
                <ptCount val="1"/>
                <pt idx="0">
                  <v>Cylindrical Grinding</v>
                </pt>
              </strCache>
            </strRef>
          </tx>
          <spPr>
            <a:solidFill>
              <a:schemeClr val="accent5"/>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DASHBOARD!$I$38</f>
              <numCache>
                <formatCode>0.00%</formatCode>
                <ptCount val="1"/>
                <pt idx="0">
                  <v>0</v>
                </pt>
              </numCache>
            </numRef>
          </val>
        </ser>
        <ser>
          <idx val="5"/>
          <order val="5"/>
          <tx>
            <strRef>
              <f>DASHBOARD!$B$39</f>
              <strCache>
                <ptCount val="1"/>
                <pt idx="0">
                  <v>Radial Drilling - Hole drilling</v>
                </pt>
              </strCache>
            </strRef>
          </tx>
          <spPr>
            <a:solidFill>
              <a:schemeClr val="accent6"/>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DASHBOARD!$I$39</f>
              <numCache>
                <formatCode>0%</formatCode>
                <ptCount val="1"/>
                <pt idx="0">
                  <v>0.04684206417362792</v>
                </pt>
              </numCache>
            </numRef>
          </val>
        </ser>
        <ser>
          <idx val="6"/>
          <order val="6"/>
          <tx>
            <strRef>
              <f>DASHBOARD!$B$40</f>
              <strCache>
                <ptCount val="1"/>
                <pt idx="0">
                  <v>Radial Drilling - Reaming / Tapping</v>
                </pt>
              </strCache>
            </strRef>
          </tx>
          <spPr>
            <a:solidFill>
              <a:schemeClr val="accent1">
                <a:lumMod val="6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DASHBOARD!$I$40</f>
              <numCache>
                <formatCode>0.0%</formatCode>
                <ptCount val="1"/>
                <pt idx="0">
                  <v>0.01873682566945117</v>
                </pt>
              </numCache>
            </numRef>
          </val>
        </ser>
        <ser>
          <idx val="7"/>
          <order val="7"/>
          <tx>
            <strRef>
              <f>DASHBOARD!$B$41</f>
              <strCache>
                <ptCount val="1"/>
                <pt idx="0">
                  <v>Pillar Drilling</v>
                </pt>
              </strCache>
            </strRef>
          </tx>
          <spPr>
            <a:solidFill>
              <a:schemeClr val="accent2">
                <a:lumMod val="6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DASHBOARD!$I$41</f>
              <numCache>
                <formatCode>0.00%</formatCode>
                <ptCount val="1"/>
                <pt idx="0">
                  <v>0</v>
                </pt>
              </numCache>
            </numRef>
          </val>
        </ser>
        <ser>
          <idx val="8"/>
          <order val="8"/>
          <tx>
            <strRef>
              <f>DASHBOARD!$B$42</f>
              <strCache>
                <ptCount val="1"/>
                <pt idx="0">
                  <v>Gun Drilling</v>
                </pt>
              </strCache>
            </strRef>
          </tx>
          <spPr>
            <a:solidFill>
              <a:schemeClr val="accent3">
                <a:lumMod val="6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DASHBOARD!$I$42</f>
              <numCache>
                <formatCode>0.000%</formatCode>
                <ptCount val="1"/>
                <pt idx="0">
                  <v>0.006245608556483723</v>
                </pt>
              </numCache>
            </numRef>
          </val>
        </ser>
        <ser>
          <idx val="9"/>
          <order val="9"/>
          <tx>
            <strRef>
              <f>DASHBOARD!$B$43</f>
              <strCache>
                <ptCount val="1"/>
                <pt idx="0">
                  <v>NC EDM</v>
                </pt>
              </strCache>
            </strRef>
          </tx>
          <spPr>
            <a:solidFill>
              <a:schemeClr val="accent4">
                <a:lumMod val="6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DASHBOARD!$I$43</f>
              <numCache>
                <formatCode>0.00%</formatCode>
                <ptCount val="1"/>
                <pt idx="0">
                  <v>0</v>
                </pt>
              </numCache>
            </numRef>
          </val>
        </ser>
        <ser>
          <idx val="10"/>
          <order val="10"/>
          <tx>
            <strRef>
              <f>DASHBOARD!$B$44</f>
              <strCache>
                <ptCount val="1"/>
                <pt idx="0">
                  <v>Wirecut EDM</v>
                </pt>
              </strCache>
            </strRef>
          </tx>
          <spPr>
            <a:solidFill>
              <a:schemeClr val="accent5">
                <a:lumMod val="6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DASHBOARD!$I$44</f>
              <numCache>
                <formatCode>0.00%</formatCode>
                <ptCount val="1"/>
                <pt idx="0">
                  <v>0</v>
                </pt>
              </numCache>
            </numRef>
          </val>
        </ser>
        <ser>
          <idx val="11"/>
          <order val="11"/>
          <tx>
            <strRef>
              <f>DASHBOARD!$B$45</f>
              <strCache>
                <ptCount val="1"/>
                <pt idx="0">
                  <v>Jig Boring</v>
                </pt>
              </strCache>
            </strRef>
          </tx>
          <spPr>
            <a:solidFill>
              <a:schemeClr val="accent6">
                <a:lumMod val="6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DASHBOARD!$I$45</f>
              <numCache>
                <formatCode>0.00%</formatCode>
                <ptCount val="1"/>
                <pt idx="0">
                  <v>0</v>
                </pt>
              </numCache>
            </numRef>
          </val>
        </ser>
        <ser>
          <idx val="12"/>
          <order val="12"/>
          <tx>
            <strRef>
              <f>DASHBOARD!$B$46</f>
              <strCache>
                <ptCount val="1"/>
                <pt idx="0">
                  <v>CNC Lathe</v>
                </pt>
              </strCache>
            </strRef>
          </tx>
          <spPr>
            <a:solidFill>
              <a:schemeClr val="accent1">
                <a:lumMod val="80000"/>
                <a:lumOff val="2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DASHBOARD!$I$46</f>
              <numCache>
                <formatCode>0%</formatCode>
                <ptCount val="1"/>
                <pt idx="0">
                  <v>0.1686314310250605</v>
                </pt>
              </numCache>
            </numRef>
          </val>
        </ser>
        <ser>
          <idx val="13"/>
          <order val="13"/>
          <tx>
            <strRef>
              <f>DASHBOARD!$B$47</f>
              <strCache>
                <ptCount val="1"/>
                <pt idx="0">
                  <v>CNC Milling</v>
                </pt>
              </strCache>
            </strRef>
          </tx>
          <spPr>
            <a:solidFill>
              <a:schemeClr val="accent2">
                <a:lumMod val="80000"/>
                <a:lumOff val="2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DASHBOARD!$I$47</f>
              <numCache>
                <formatCode>0%</formatCode>
                <ptCount val="1"/>
                <pt idx="0">
                  <v>0.1873682566945117</v>
                </pt>
              </numCache>
            </numRef>
          </val>
        </ser>
        <ser>
          <idx val="14"/>
          <order val="14"/>
          <tx>
            <strRef>
              <f>DASHBOARD!$B$48</f>
              <strCache>
                <ptCount val="1"/>
                <pt idx="0">
                  <v>CNC EDM</v>
                </pt>
              </strCache>
            </strRef>
          </tx>
          <spPr>
            <a:solidFill>
              <a:schemeClr val="accent3">
                <a:lumMod val="80000"/>
                <a:lumOff val="2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DASHBOARD!$I$48</f>
              <numCache>
                <formatCode>0%</formatCode>
                <ptCount val="1"/>
                <pt idx="0">
                  <v>0.02997892107112187</v>
                </pt>
              </numCache>
            </numRef>
          </val>
        </ser>
        <ser>
          <idx val="15"/>
          <order val="15"/>
          <tx>
            <strRef>
              <f>DASHBOARD!$B$49</f>
              <strCache>
                <ptCount val="1"/>
                <pt idx="0">
                  <v>Bench Work</v>
                </pt>
              </strCache>
            </strRef>
          </tx>
          <spPr>
            <a:solidFill>
              <a:schemeClr val="accent4">
                <a:lumMod val="80000"/>
                <a:lumOff val="2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DASHBOARD!$I$49</f>
              <numCache>
                <formatCode>0.00%</formatCode>
                <ptCount val="1"/>
                <pt idx="0">
                  <v>0.006011398235615583</v>
                </pt>
              </numCache>
            </numRef>
          </val>
        </ser>
        <dLbls>
          <dLblPos val="inEnd"/>
          <showLegendKey val="0"/>
          <showVal val="1"/>
          <showCatName val="0"/>
          <showSerName val="0"/>
          <showPercent val="0"/>
          <showBubbleSize val="0"/>
        </dLbls>
        <gapWidth val="100"/>
        <axId val="872407792"/>
        <axId val="872412784"/>
      </barChart>
      <catAx>
        <axId val="872407792"/>
        <scaling>
          <orientation val="minMax"/>
        </scaling>
        <delete val="0"/>
        <axPos val="b"/>
        <majorTickMark val="out"/>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872412784"/>
        <crosses val="autoZero"/>
        <auto val="1"/>
        <lblAlgn val="ctr"/>
        <lblOffset val="100"/>
        <noMultiLvlLbl val="0"/>
      </catAx>
      <valAx>
        <axId val="872412784"/>
        <scaling>
          <orientation val="minMax"/>
        </scaling>
        <delete val="0"/>
        <axPos val="l"/>
        <majorGridlines>
          <spPr>
            <a:ln w="9525" cap="flat" cmpd="sng" algn="ctr">
              <a:solidFill>
                <a:schemeClr val="tx1">
                  <a:lumMod val="15000"/>
                  <a:lumOff val="85000"/>
                </a:schemeClr>
              </a:solidFill>
              <a:prstDash val="solid"/>
              <a:round/>
            </a:ln>
          </spPr>
        </majorGridlines>
        <numFmt formatCode="0%" sourceLinked="1"/>
        <majorTickMark val="out"/>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872407792"/>
        <crosses val="autoZero"/>
        <crossBetween val="between"/>
      </valAx>
    </plotArea>
    <legend>
      <legendPos val="r"/>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4.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IN"/>
              <a:t>OVERALL</a:t>
            </a:r>
            <a:r>
              <a:rPr lang="en-IN" baseline="0"/>
              <a:t xml:space="preserve"> COST BREAKUP</a:t>
            </a:r>
            <a:endParaRPr lang="en-IN"/>
          </a:p>
        </rich>
      </tx>
      <overlay val="0"/>
      <spPr>
        <a:noFill/>
        <a:ln>
          <a:noFill/>
          <a:prstDash val="solid"/>
        </a:ln>
      </spPr>
    </title>
    <plotArea>
      <layout/>
      <pieChart>
        <varyColors val="1"/>
        <ser>
          <idx val="0"/>
          <order val="0"/>
          <spPr>
            <a:ln>
              <a:prstDash val="solid"/>
            </a:ln>
          </spPr>
          <dPt>
            <idx val="0"/>
            <bubble3D val="0"/>
            <spPr>
              <a:solidFill>
                <a:schemeClr val="accent1"/>
              </a:solidFill>
              <a:ln w="19050">
                <a:solidFill>
                  <a:schemeClr val="lt1"/>
                </a:solidFill>
                <a:prstDash val="solid"/>
              </a:ln>
            </spPr>
          </dPt>
          <dPt>
            <idx val="1"/>
            <bubble3D val="0"/>
            <spPr>
              <a:solidFill>
                <a:schemeClr val="accent2"/>
              </a:solidFill>
              <a:ln w="19050">
                <a:solidFill>
                  <a:schemeClr val="lt1"/>
                </a:solidFill>
                <a:prstDash val="solid"/>
              </a:ln>
            </spPr>
          </dPt>
          <dPt>
            <idx val="2"/>
            <bubble3D val="0"/>
            <spPr>
              <a:solidFill>
                <a:schemeClr val="accent3"/>
              </a:solidFill>
              <a:ln w="19050">
                <a:solidFill>
                  <a:schemeClr val="lt1"/>
                </a:solidFill>
                <a:prstDash val="solid"/>
              </a:ln>
            </spPr>
          </dPt>
          <dPt>
            <idx val="3"/>
            <bubble3D val="0"/>
            <spPr>
              <a:solidFill>
                <a:schemeClr val="accent4"/>
              </a:solidFill>
              <a:ln w="19050">
                <a:solidFill>
                  <a:schemeClr val="lt1"/>
                </a:solidFill>
                <a:prstDash val="solid"/>
              </a:ln>
            </spPr>
          </dPt>
          <dPt>
            <idx val="4"/>
            <bubble3D val="0"/>
            <spPr>
              <a:solidFill>
                <a:schemeClr val="accent5"/>
              </a:solidFill>
              <a:ln w="19050">
                <a:solidFill>
                  <a:schemeClr val="lt1"/>
                </a:solidFill>
                <a:prstDash val="solid"/>
              </a:ln>
            </spPr>
          </dPt>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bestFit"/>
            <showLegendKey val="0"/>
            <showVal val="1"/>
            <showCatName val="0"/>
            <showSerName val="0"/>
            <showPercent val="0"/>
            <showBubbleSize val="0"/>
            <showLeaderLines val="1"/>
          </dLbls>
          <cat>
            <strRef>
              <f>Infographics!$K$2:$K$6</f>
              <strCache>
                <ptCount val="5"/>
                <pt idx="0">
                  <v xml:space="preserve">I) DESIGN COST +MOULD FLOW   : </v>
                </pt>
                <pt idx="1">
                  <v>II) RAW MATERIAL COST :</v>
                </pt>
                <pt idx="2">
                  <v>III) PROCESS COST :</v>
                </pt>
                <pt idx="3">
                  <v>IV) PROFIT &amp; OVERHEADS COST :</v>
                </pt>
                <pt idx="4">
                  <v xml:space="preserve">V) OTHER EXPENSES :                         </v>
                </pt>
              </strCache>
            </strRef>
          </cat>
          <val>
            <numRef>
              <f>Infographics!$L$2:$L$6</f>
              <numCache>
                <formatCode>General</formatCode>
                <ptCount val="5"/>
                <pt idx="0">
                  <formatCode>0</formatCode>
                  <v>97860</v>
                </pt>
                <pt idx="1">
                  <v>214612.9203544564</v>
                </pt>
                <pt idx="2">
                  <v>224157.5</v>
                </pt>
                <pt idx="3">
                  <v>85694.825</v>
                </pt>
                <pt idx="4">
                  <v>0</v>
                </pt>
              </numCache>
            </numRef>
          </val>
        </ser>
        <dLbls>
          <dLblPos val="bestFit"/>
          <showLegendKey val="0"/>
          <showVal val="1"/>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5.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lang="en-US" sz="1400" b="0" i="0" strike="noStrike" kern="1200" spc="0" baseline="0">
                <a:solidFill>
                  <a:schemeClr val="tx1"/>
                </a:solidFill>
                <a:latin typeface="+mn-lt"/>
                <a:ea typeface="+mn-ea"/>
                <a:cs typeface="+mn-cs"/>
              </a:defRPr>
            </a:pPr>
            <a:r>
              <a:rPr lang="en-IN"/>
              <a:t>MOULD COST COMPONENTS</a:t>
            </a:r>
          </a:p>
        </rich>
      </tx>
      <overlay val="0"/>
      <spPr>
        <a:noFill/>
        <a:ln>
          <a:noFill/>
          <a:prstDash val="solid"/>
        </a:ln>
      </spPr>
    </title>
    <plotArea>
      <layout>
        <manualLayout>
          <layoutTarget val="inner"/>
          <xMode val="edge"/>
          <yMode val="edge"/>
          <wMode val="factor"/>
          <hMode val="factor"/>
          <x val="0.0736172307881674"/>
          <y val="0.162453703703704"/>
          <w val="0.461206692913386"/>
          <h val="0.76867782152231"/>
        </manualLayout>
      </layout>
      <doughnutChart>
        <varyColors val="1"/>
        <ser>
          <idx val="0"/>
          <order val="0"/>
          <spPr>
            <a:ln>
              <a:prstDash val="solid"/>
            </a:ln>
          </spPr>
          <dPt>
            <idx val="0"/>
            <bubble3D val="0"/>
            <spPr>
              <a:solidFill>
                <a:schemeClr val="accent1"/>
              </a:solidFill>
              <a:ln w="19050">
                <a:solidFill>
                  <a:schemeClr val="lt1"/>
                </a:solidFill>
                <a:prstDash val="solid"/>
              </a:ln>
            </spPr>
          </dPt>
          <dPt>
            <idx val="1"/>
            <bubble3D val="0"/>
            <spPr>
              <a:solidFill>
                <a:schemeClr val="accent2"/>
              </a:solidFill>
              <a:ln w="19050">
                <a:solidFill>
                  <a:schemeClr val="lt1"/>
                </a:solidFill>
                <a:prstDash val="solid"/>
              </a:ln>
            </spPr>
          </dPt>
          <dPt>
            <idx val="2"/>
            <bubble3D val="0"/>
            <spPr>
              <a:solidFill>
                <a:schemeClr val="accent3"/>
              </a:solidFill>
              <a:ln w="19050">
                <a:solidFill>
                  <a:schemeClr val="lt1"/>
                </a:solidFill>
                <a:prstDash val="solid"/>
              </a:ln>
            </spPr>
          </dPt>
          <dPt>
            <idx val="3"/>
            <bubble3D val="0"/>
            <spPr>
              <a:solidFill>
                <a:schemeClr val="accent4"/>
              </a:solidFill>
              <a:ln w="19050">
                <a:solidFill>
                  <a:schemeClr val="lt1"/>
                </a:solidFill>
                <a:prstDash val="solid"/>
              </a:ln>
            </spPr>
          </dPt>
          <dPt>
            <idx val="4"/>
            <bubble3D val="0"/>
            <spPr>
              <a:solidFill>
                <a:schemeClr val="accent5"/>
              </a:solidFill>
              <a:ln w="19050">
                <a:solidFill>
                  <a:schemeClr val="lt1"/>
                </a:solidFill>
                <a:prstDash val="solid"/>
              </a:ln>
            </spPr>
          </dPt>
          <dPt>
            <idx val="5"/>
            <bubble3D val="0"/>
            <spPr>
              <a:solidFill>
                <a:schemeClr val="accent6"/>
              </a:solidFill>
              <a:ln w="19050">
                <a:solidFill>
                  <a:schemeClr val="lt1"/>
                </a:solidFill>
                <a:prstDash val="solid"/>
              </a:ln>
            </spPr>
          </dPt>
          <dPt>
            <idx val="6"/>
            <bubble3D val="0"/>
            <spPr>
              <a:solidFill>
                <a:schemeClr val="accent1">
                  <a:lumMod val="60000"/>
                </a:schemeClr>
              </a:solidFill>
              <a:ln w="19050">
                <a:solidFill>
                  <a:schemeClr val="lt1"/>
                </a:solidFill>
                <a:prstDash val="solid"/>
              </a:ln>
            </spPr>
          </dPt>
          <dPt>
            <idx val="7"/>
            <bubble3D val="0"/>
            <spPr>
              <a:solidFill>
                <a:schemeClr val="accent2">
                  <a:lumMod val="60000"/>
                </a:schemeClr>
              </a:solidFill>
              <a:ln w="19050">
                <a:solidFill>
                  <a:schemeClr val="lt1"/>
                </a:solidFill>
                <a:prstDash val="solid"/>
              </a:ln>
            </spPr>
          </dPt>
          <dPt>
            <idx val="8"/>
            <bubble3D val="0"/>
            <spPr>
              <a:solidFill>
                <a:schemeClr val="accent3">
                  <a:lumMod val="60000"/>
                </a:schemeClr>
              </a:solidFill>
              <a:ln w="19050">
                <a:solidFill>
                  <a:schemeClr val="lt1"/>
                </a:solidFill>
                <a:prstDash val="solid"/>
              </a:ln>
            </spPr>
          </dPt>
          <dPt>
            <idx val="9"/>
            <bubble3D val="0"/>
            <spPr>
              <a:solidFill>
                <a:schemeClr val="accent4">
                  <a:lumMod val="60000"/>
                </a:schemeClr>
              </a:solidFill>
              <a:ln w="19050">
                <a:solidFill>
                  <a:schemeClr val="lt1"/>
                </a:solidFill>
                <a:prstDash val="solid"/>
              </a:ln>
            </spPr>
          </dPt>
          <dLbls>
            <spPr>
              <a:noFill/>
              <a:ln>
                <a:noFill/>
                <a:prstDash val="solid"/>
              </a:ln>
            </spPr>
            <txPr>
              <a:bodyPr rot="0" spcFirstLastPara="1" vertOverflow="ellipsis" vert="horz" wrap="square" lIns="38100" tIns="19050" rIns="38100" bIns="19050" anchor="ctr" anchorCtr="1">
                <a:spAutoFit/>
              </a:bodyPr>
              <a:lstStyle/>
              <a:p>
                <a:pPr>
                  <a:defRPr lang="en-US" sz="900" b="0" i="0" strike="noStrike" kern="1200" baseline="0">
                    <a:solidFill>
                      <a:schemeClr val="tx1"/>
                    </a:solidFill>
                    <a:latin typeface="+mn-lt"/>
                    <a:ea typeface="+mn-ea"/>
                    <a:cs typeface="+mn-cs"/>
                  </a:defRPr>
                </a:pPr>
                <a:r>
                  <a:t>None</a:t>
                </a:r>
                <a:endParaRPr lang="en-US"/>
              </a:p>
            </txPr>
            <showLegendKey val="0"/>
            <showVal val="1"/>
            <showCatName val="0"/>
            <showSerName val="0"/>
            <showPercent val="0"/>
            <showBubbleSize val="0"/>
            <showLeaderLines val="1"/>
          </dLbls>
          <cat>
            <strRef>
              <f>'INJ. MOULDING ESTIMATION'!$B$26:$B$35</f>
              <strCache>
                <ptCount val="10"/>
                <pt idx="0">
                  <v>Material Cost</v>
                </pt>
                <pt idx="1">
                  <v>Conversion Cost</v>
                </pt>
                <pt idx="2">
                  <v>Standard Items</v>
                </pt>
                <pt idx="3">
                  <v>Hot Runner</v>
                </pt>
                <pt idx="4">
                  <v>Texturizing</v>
                </pt>
                <pt idx="5">
                  <v>Design &amp; Mould Flow</v>
                </pt>
                <pt idx="6">
                  <v>Polishing &amp; Treatment</v>
                </pt>
                <pt idx="7">
                  <v>Packaging &amp; Movement</v>
                </pt>
                <pt idx="8">
                  <v>Service Charges</v>
                </pt>
                <pt idx="9">
                  <v>Profit &amp; Overhead</v>
                </pt>
              </strCache>
            </strRef>
          </cat>
          <val>
            <numRef>
              <f>'INJ. MOULDING ESTIMATION'!$C$26:$C$35</f>
              <numCache>
                <formatCode>0%</formatCode>
                <ptCount val="10"/>
                <pt idx="0">
                  <v>0.3277072339017237</v>
                </pt>
                <pt idx="1">
                  <v>0.3594224147575846</v>
                </pt>
                <pt idx="2">
                  <v>0.01694832840296519</v>
                </pt>
                <pt idx="3">
                  <v>0.001603436935001437</v>
                </pt>
                <pt idx="4">
                  <v>0</v>
                </pt>
                <pt idx="5">
                  <v>0.1569123384592406</v>
                </pt>
                <pt idx="6">
                  <v>0</v>
                </pt>
                <pt idx="7">
                  <v>0.008017184675007186</v>
                </pt>
                <pt idx="8">
                  <v>0</v>
                </pt>
                <pt idx="9">
                  <v>0.1293890628684773</v>
                </pt>
              </numCache>
            </numRef>
          </val>
        </ser>
        <dLbls>
          <showLegendKey val="0"/>
          <showVal val="1"/>
          <showCatName val="0"/>
          <showSerName val="0"/>
          <showPercent val="0"/>
          <showBubbleSize val="0"/>
          <showLeaderLines val="1"/>
        </dLbls>
        <firstSliceAng val="0"/>
        <holeSize val="50"/>
      </doughnutChart>
    </plotArea>
    <legend>
      <legendPos val="b"/>
      <layout>
        <manualLayout>
          <xMode val="edge"/>
          <yMode val="edge"/>
          <wMode val="factor"/>
          <hMode val="factor"/>
          <x val="0.59660542432196"/>
          <y val="0.171872265966754"/>
          <w val="0.359566929133858"/>
          <h val="0.7262758821813941"/>
        </manualLayout>
      </layout>
      <overlay val="0"/>
      <spPr>
        <a:noFill/>
        <a:ln>
          <a:noFill/>
          <a:prstDash val="solid"/>
        </a:ln>
      </spPr>
      <txPr>
        <a:bodyPr rot="0" spcFirstLastPara="1" vertOverflow="ellipsis" vert="horz" wrap="square" anchor="ctr" anchorCtr="1"/>
        <a:lstStyle/>
        <a:p>
          <a:pPr>
            <a:defRPr lang="en-US" sz="900" b="0" i="0" strike="noStrike" kern="1200" baseline="0">
              <a:ln>
                <a:noFill/>
                <a:prstDash val="solid"/>
              </a:ln>
              <a:solidFill>
                <a:schemeClr val="tx1"/>
              </a:solidFill>
              <a:latin typeface="+mn-lt"/>
              <a:ea typeface="+mn-ea"/>
              <a:cs typeface="+mn-cs"/>
            </a:defRPr>
          </a:pPr>
          <a:r>
            <a:t>None</a:t>
          </a:r>
          <a:endParaRPr lang="en-US"/>
        </a:p>
      </txPr>
    </legend>
    <plotVisOnly val="1"/>
    <dispBlanksAs val="gap"/>
  </chart>
  <spPr>
    <a:solidFill>
      <a:schemeClr val="bg1"/>
    </a:solidFill>
    <a:ln w="9525" cap="flat" cmpd="sng" algn="ctr">
      <a:solidFill>
        <a:schemeClr val="tx1"/>
      </a:solidFill>
      <a:prstDash val="solid"/>
      <a:round/>
    </a:ln>
  </spPr>
</chartSpace>
</file>

<file path=xl/charts/chart6.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lang="en-US" sz="1400" b="0" i="0" strike="noStrike" kern="1200" spc="0" baseline="0">
                <a:solidFill>
                  <a:schemeClr val="tx1">
                    <a:lumMod val="65000"/>
                    <a:lumOff val="35000"/>
                  </a:schemeClr>
                </a:solidFill>
                <a:latin typeface="+mn-lt"/>
                <a:ea typeface="+mn-ea"/>
                <a:cs typeface="+mn-cs"/>
              </a:defRPr>
            </a:pPr>
            <a:r>
              <a:rPr lang="en-IN"/>
              <a:t>Cavity</a:t>
            </a:r>
            <a:r>
              <a:rPr lang="en-IN" baseline="0"/>
              <a:t xml:space="preserve"> 1</a:t>
            </a:r>
            <a:endParaRPr lang="en-IN"/>
          </a:p>
        </rich>
      </tx>
      <overlay val="0"/>
      <spPr>
        <a:noFill/>
        <a:ln>
          <a:noFill/>
          <a:prstDash val="solid"/>
        </a:ln>
      </spPr>
    </title>
    <plotArea>
      <layout/>
      <scatterChart>
        <scatterStyle val="lineMarker"/>
        <varyColors val="0"/>
        <ser>
          <idx val="0"/>
          <order val="0"/>
          <spPr>
            <a:ln w="19050" cap="rnd">
              <a:noFill/>
              <a:prstDash val="solid"/>
              <a:round/>
            </a:ln>
          </spPr>
          <marker>
            <symbol val="circle"/>
            <size val="5"/>
            <spPr>
              <a:solidFill>
                <a:schemeClr val="accent1"/>
              </a:solidFill>
              <a:ln w="9525">
                <a:solidFill>
                  <a:schemeClr val="accent1"/>
                </a:solidFill>
                <a:prstDash val="solid"/>
              </a:ln>
            </spPr>
          </marker>
          <trendline>
            <spPr>
              <a:ln w="19050" cap="rnd">
                <a:solidFill>
                  <a:schemeClr val="accent1"/>
                </a:solidFill>
                <a:prstDash val="sysDot"/>
              </a:ln>
            </spPr>
            <trendlineType val="linear"/>
            <dispRSqr val="0"/>
            <dispEq val="0"/>
          </trendline>
          <xVal>
            <numRef>
              <f>'No of Cavity'!$A$23:$A$29</f>
              <numCache>
                <formatCode>General</formatCode>
                <ptCount val="7"/>
                <pt idx="0">
                  <v>700</v>
                </pt>
                <pt idx="1">
                  <v>600</v>
                </pt>
                <pt idx="2">
                  <v>500</v>
                </pt>
                <pt idx="3">
                  <v>400</v>
                </pt>
                <pt idx="4">
                  <v>300</v>
                </pt>
                <pt idx="5">
                  <v>200</v>
                </pt>
                <pt idx="6">
                  <v>100</v>
                </pt>
              </numCache>
            </numRef>
          </xVal>
          <yVal>
            <numRef>
              <f>'No of Cavity'!$B$23:$B$29</f>
              <numCache>
                <formatCode>General</formatCode>
                <ptCount val="7"/>
                <pt idx="0">
                  <v>976</v>
                </pt>
                <pt idx="1">
                  <v>849</v>
                </pt>
                <pt idx="2">
                  <v>722</v>
                </pt>
                <pt idx="3">
                  <v>594</v>
                </pt>
                <pt idx="4">
                  <v>476</v>
                </pt>
                <pt idx="5">
                  <v>357</v>
                </pt>
                <pt idx="6">
                  <v>246</v>
                </pt>
              </numCache>
            </numRef>
          </yVal>
          <smooth val="0"/>
        </ser>
        <dLbls>
          <showLegendKey val="0"/>
          <showVal val="0"/>
          <showCatName val="0"/>
          <showSerName val="0"/>
          <showPercent val="0"/>
          <showBubbleSize val="0"/>
        </dLbls>
        <axId val="999786928"/>
        <axId val="999782128"/>
      </scatterChart>
      <valAx>
        <axId val="999786928"/>
        <scaling>
          <orientation val="minMax"/>
        </scaling>
        <delete val="0"/>
        <axPos val="b"/>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w="9525" cap="flat" cmpd="sng" algn="ctr">
            <a:solidFill>
              <a:schemeClr val="tx1">
                <a:lumMod val="25000"/>
                <a:lumOff val="75000"/>
              </a:schemeClr>
            </a:solidFill>
            <a:prstDash val="solid"/>
            <a:round/>
          </a:ln>
        </spPr>
        <txPr>
          <a:bodyPr rot="-60000000" spcFirstLastPara="1" vertOverflow="ellipsis" vert="horz" wrap="square" anchor="ctr" anchorCtr="1"/>
          <a:lstStyle/>
          <a:p>
            <a:pPr>
              <a:defRPr lang="en-US" sz="900" b="0" i="0" strike="noStrike" kern="1200" baseline="0">
                <a:solidFill>
                  <a:schemeClr val="tx1">
                    <a:lumMod val="65000"/>
                    <a:lumOff val="35000"/>
                  </a:schemeClr>
                </a:solidFill>
                <a:latin typeface="+mn-lt"/>
                <a:ea typeface="+mn-ea"/>
                <a:cs typeface="+mn-cs"/>
              </a:defRPr>
            </a:pPr>
            <a:r>
              <a:t>None</a:t>
            </a:r>
            <a:endParaRPr lang="en-US"/>
          </a:p>
        </txPr>
        <crossAx val="999782128"/>
        <crosses val="autoZero"/>
        <crossBetween val="midCat"/>
      </valAx>
      <valAx>
        <axId val="999782128"/>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w="9525" cap="flat" cmpd="sng" algn="ctr">
            <a:solidFill>
              <a:schemeClr val="tx1">
                <a:lumMod val="25000"/>
                <a:lumOff val="75000"/>
              </a:schemeClr>
            </a:solidFill>
            <a:prstDash val="solid"/>
            <a:round/>
          </a:ln>
        </spPr>
        <txPr>
          <a:bodyPr rot="-60000000" spcFirstLastPara="1" vertOverflow="ellipsis" vert="horz" wrap="square" anchor="ctr" anchorCtr="1"/>
          <a:lstStyle/>
          <a:p>
            <a:pPr>
              <a:defRPr lang="en-US" sz="900" b="0" i="0" strike="noStrike" kern="1200" baseline="0">
                <a:solidFill>
                  <a:schemeClr val="tx1">
                    <a:lumMod val="65000"/>
                    <a:lumOff val="35000"/>
                  </a:schemeClr>
                </a:solidFill>
                <a:latin typeface="+mn-lt"/>
                <a:ea typeface="+mn-ea"/>
                <a:cs typeface="+mn-cs"/>
              </a:defRPr>
            </a:pPr>
            <a:r>
              <a:t>None</a:t>
            </a:r>
            <a:endParaRPr lang="en-US"/>
          </a:p>
        </txPr>
        <crossAx val="999786928"/>
        <crosses val="autoZero"/>
        <crossBetween val="midCat"/>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7.xml><?xml version="1.0" encoding="utf-8"?>
<chartSpace xmlns:a="http://schemas.openxmlformats.org/drawingml/2006/main" xmlns="http://schemas.openxmlformats.org/drawingml/2006/chart">
  <chart>
    <title>
      <tx>
        <rich>
          <a:bodyPr/>
          <a:lstStyle/>
          <a:p>
            <a:r>
              <a:rPr lang="en-IN"/>
              <a:t>None</a:t>
            </a:r>
          </a:p>
        </rich>
      </tx>
      <overlay val="0"/>
      <spPr>
        <a:noFill/>
        <a:ln>
          <a:noFill/>
          <a:prstDash val="solid"/>
        </a:ln>
      </spPr>
    </title>
    <plotArea>
      <layout/>
      <barChart>
        <barDir val="col"/>
        <grouping val="clustered"/>
        <varyColors val="0"/>
        <ser>
          <idx val="0"/>
          <order val="0"/>
          <spPr>
            <a:solidFill>
              <a:schemeClr val="accent1"/>
            </a:solidFill>
            <a:ln w="19050" cap="rnd">
              <a:noFill/>
              <a:prstDash val="solid"/>
              <a:round/>
            </a:ln>
          </spPr>
          <invertIfNegative val="0"/>
          <cat>
            <numRef>
              <f>'Mould Layout'!$B$26:$F$26</f>
              <numCache>
                <formatCode>General</formatCode>
                <ptCount val="5"/>
                <pt idx="0">
                  <v>1</v>
                </pt>
                <pt idx="1">
                  <v>2</v>
                </pt>
                <pt idx="2">
                  <v>4</v>
                </pt>
                <pt idx="3">
                  <v>6</v>
                </pt>
                <pt idx="4">
                  <v>8</v>
                </pt>
              </numCache>
            </numRef>
          </cat>
          <val>
            <numRef>
              <f>'Mould Layout'!$B$30:$F$30</f>
              <numCache>
                <formatCode>General</formatCode>
                <ptCount val="5"/>
                <pt idx="0">
                  <v>427.4335930061532</v>
                </pt>
                <pt idx="1">
                  <v>427.4335930061532</v>
                </pt>
                <pt idx="2">
                  <v>677.4335930061532</v>
                </pt>
                <pt idx="3">
                  <v>927.4335930061532</v>
                </pt>
                <pt idx="4">
                  <v>677.4335930061532</v>
                </pt>
              </numCache>
            </numRef>
          </val>
        </ser>
        <dLbls>
          <showLegendKey val="0"/>
          <showVal val="0"/>
          <showCatName val="0"/>
          <showSerName val="0"/>
          <showPercent val="0"/>
          <showBubbleSize val="0"/>
        </dLbls>
        <gapWidth val="150"/>
        <axId val="1105768544"/>
        <axId val="1105769024"/>
      </barChart>
      <catAx>
        <axId val="1105768544"/>
        <scaling>
          <orientation val="minMax"/>
        </scaling>
        <delete val="0"/>
        <axPos val="b"/>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w="9525" cap="flat" cmpd="sng" algn="ctr">
            <a:solidFill>
              <a:schemeClr val="tx1">
                <a:lumMod val="25000"/>
                <a:lumOff val="75000"/>
              </a:schemeClr>
            </a:solidFill>
            <a:prstDash val="solid"/>
            <a:round/>
          </a:ln>
        </spPr>
        <txPr>
          <a:bodyPr rot="-60000000" spcFirstLastPara="0" vertOverflow="ellipsis" vert="horz" wrap="square" anchor="ctr" anchorCtr="1" forceAA="0"/>
          <a:lstStyle/>
          <a:p>
            <a:pPr>
              <a:defRPr lang="en-US" sz="900" b="0" i="0" strike="noStrike" kern="1200" baseline="0">
                <a:solidFill>
                  <a:schemeClr val="tx1">
                    <a:lumMod val="65000"/>
                    <a:lumOff val="35000"/>
                  </a:schemeClr>
                </a:solidFill>
                <a:latin typeface="+mn-lt"/>
                <a:ea typeface="+mn-ea"/>
                <a:cs typeface="+mn-cs"/>
              </a:defRPr>
            </a:pPr>
            <a:r>
              <a:t>None</a:t>
            </a:r>
            <a:endParaRPr lang="en-US"/>
          </a:p>
        </txPr>
        <crossAx val="1105769024"/>
        <crosses val="autoZero"/>
        <auto val="1"/>
        <lblAlgn val="ctr"/>
        <lblOffset val="100"/>
        <noMultiLvlLbl val="0"/>
      </catAx>
      <valAx>
        <axId val="1105769024"/>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w="9525" cap="flat" cmpd="sng" algn="ctr">
            <a:solidFill>
              <a:schemeClr val="tx1">
                <a:lumMod val="25000"/>
                <a:lumOff val="75000"/>
              </a:schemeClr>
            </a:solidFill>
            <a:prstDash val="solid"/>
            <a:round/>
          </a:ln>
        </spPr>
        <txPr>
          <a:bodyPr rot="-60000000" spcFirstLastPara="1" vertOverflow="ellipsis" vert="horz" wrap="square" anchor="ctr" anchorCtr="1"/>
          <a:lstStyle/>
          <a:p>
            <a:pPr>
              <a:defRPr lang="en-US" sz="900" b="0" i="0" strike="noStrike" kern="1200" baseline="0">
                <a:solidFill>
                  <a:schemeClr val="tx1">
                    <a:lumMod val="65000"/>
                    <a:lumOff val="35000"/>
                  </a:schemeClr>
                </a:solidFill>
                <a:latin typeface="+mn-lt"/>
                <a:ea typeface="+mn-ea"/>
                <a:cs typeface="+mn-cs"/>
              </a:defRPr>
            </a:pPr>
            <a:r>
              <a:t>None</a:t>
            </a:r>
            <a:endParaRPr lang="en-US"/>
          </a:p>
        </txPr>
        <crossAx val="1105768544"/>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 /></Relationships>
</file>

<file path=xl/drawings/_rels/drawing2.xml.rels><Relationships xmlns="http://schemas.openxmlformats.org/package/2006/relationships"><Relationship Type="http://schemas.openxmlformats.org/officeDocument/2006/relationships/chart" Target="/xl/charts/chart2.xml" Id="rId1" /><Relationship Type="http://schemas.openxmlformats.org/officeDocument/2006/relationships/chart" Target="/xl/charts/chart3.xml" Id="rId2" /><Relationship Type="http://schemas.openxmlformats.org/officeDocument/2006/relationships/chart" Target="/xl/charts/chart4.xml" Id="rId3" /></Relationships>
</file>

<file path=xl/drawings/_rels/drawing3.xml.rels><Relationships xmlns="http://schemas.openxmlformats.org/package/2006/relationships"><Relationship Type="http://schemas.openxmlformats.org/officeDocument/2006/relationships/chart" Target="/xl/charts/chart5.xml" Id="rId1" /></Relationships>
</file>

<file path=xl/drawings/_rels/drawing4.xml.rels><Relationships xmlns="http://schemas.openxmlformats.org/package/2006/relationships"><Relationship Type="http://schemas.openxmlformats.org/officeDocument/2006/relationships/chart" Target="/xl/charts/chart6.xml" Id="rId1" /></Relationships>
</file>

<file path=xl/drawings/_rels/drawing5.xml.rels><Relationships xmlns="http://schemas.openxmlformats.org/package/2006/relationships"><Relationship Type="http://schemas.openxmlformats.org/officeDocument/2006/relationships/chart" Target="/xl/charts/chart7.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col>
      <colOff>22224</colOff>
      <row>36</row>
      <rowOff>25400</rowOff>
    </from>
    <to>
      <col>13</col>
      <colOff>95250</colOff>
      <row>59</row>
      <rowOff>19050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60475</colOff>
      <row>1</row>
      <rowOff>151189</rowOff>
    </from>
    <to>
      <col>9</col>
      <colOff>453570</colOff>
      <row>22</row>
      <rowOff>60476</rowOff>
    </to>
    <graphicFrame>
      <nvGraphicFramePr>
        <cNvPr id="1" name="Chart 1"/>
        <cNvGraphicFramePr/>
      </nvGraphicFramePr>
      <xfrm/>
      <a:graphic>
        <a:graphicData uri="http://schemas.openxmlformats.org/drawingml/2006/chart">
          <c:chart r:id="rId1"/>
        </a:graphicData>
      </a:graphic>
    </graphicFrame>
    <clientData/>
  </twoCellAnchor>
  <twoCellAnchor>
    <from>
      <col>0</col>
      <colOff>70555</colOff>
      <row>23</row>
      <rowOff>60477</rowOff>
    </from>
    <to>
      <col>9</col>
      <colOff>524127</colOff>
      <row>53</row>
      <rowOff>124732</rowOff>
    </to>
    <graphicFrame>
      <nvGraphicFramePr>
        <cNvPr id="2" name="Chart 2"/>
        <cNvGraphicFramePr/>
      </nvGraphicFramePr>
      <xfrm/>
      <a:graphic>
        <a:graphicData uri="http://schemas.openxmlformats.org/drawingml/2006/chart">
          <c:chart r:id="rId2"/>
        </a:graphicData>
      </a:graphic>
    </graphicFrame>
    <clientData/>
  </twoCellAnchor>
  <twoCellAnchor>
    <from>
      <col>9</col>
      <colOff>917347</colOff>
      <row>6</row>
      <rowOff>57150</rowOff>
    </from>
    <to>
      <col>16</col>
      <colOff>22678</colOff>
      <row>31</row>
      <rowOff>102053</rowOff>
    </to>
    <graphicFrame>
      <nvGraphicFramePr>
        <cNvPr id="3" name="Chart 3"/>
        <cNvGraphicFramePr/>
      </nvGraphicFramePr>
      <xfrm/>
      <a:graphic>
        <a:graphicData uri="http://schemas.openxmlformats.org/drawingml/2006/chart">
          <c:chart r:id="rId3"/>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6350</colOff>
      <row>21</row>
      <rowOff>11430</rowOff>
    </from>
    <to>
      <col>8</col>
      <colOff>3615055</colOff>
      <row>36</row>
      <rowOff>5715</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799064</colOff>
      <row>19</row>
      <rowOff>220307</rowOff>
    </from>
    <to>
      <col>9</col>
      <colOff>300589</colOff>
      <row>29</row>
      <rowOff>2398</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5.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13</col>
      <colOff>394980</colOff>
      <row>22</row>
      <rowOff>54544</rowOff>
    </from>
    <to>
      <col>19</col>
      <colOff>386829</colOff>
      <row>35</row>
      <rowOff>35494</rowOff>
    </to>
    <graphicFrame>
      <nvGraphicFramePr>
        <cNvPr id="1" name="Chart 1"/>
        <cNvGraphicFramePr/>
      </nvGraphicFramePr>
      <xfrm/>
      <a:graphic>
        <a:graphicData uri="http://schemas.openxmlformats.org/drawingml/2006/chart">
          <c:chart r:id="rId1"/>
        </a:graphicData>
      </a:graphic>
    </graphicFrame>
    <clientData/>
  </twoCellAnchor>
</wsDr>
</file>

<file path=xl/tables/table1.xml><?xml version="1.0" encoding="utf-8"?>
<table xmlns="http://schemas.openxmlformats.org/spreadsheetml/2006/main" id="1" name="Table5" displayName="Table5" ref="B2:K33" headerRowCount="1" totalsRowCount="1" headerRowDxfId="181" dataDxfId="180">
  <autoFilter ref="B2:K32"/>
  <sortState ref="B3:K32">
    <sortCondition sortBy="cellColor" ref="K2:K32" dxfId="179"/>
  </sortState>
  <tableColumns count="10">
    <tableColumn id="1" name="Cost Component" dataDxfId="178" totalsRowDxfId="177"/>
    <tableColumn id="2" name="1" totalsRowFunction="custom" dataDxfId="176" totalsRowDxfId="175">
      <totalsRowFormula>SUM(Table5[1])</totalsRowFormula>
    </tableColumn>
    <tableColumn id="3" name="2" totalsRowFunction="custom" dataDxfId="174" totalsRowDxfId="173">
      <totalsRowFormula>SUM(Table5[2])</totalsRowFormula>
    </tableColumn>
    <tableColumn id="4" name="3" totalsRowFunction="custom" dataDxfId="172" totalsRowDxfId="171">
      <totalsRowFormula>SUM(Table5[3])</totalsRowFormula>
    </tableColumn>
    <tableColumn id="5" name="4" totalsRowFunction="custom" dataDxfId="170" totalsRowDxfId="169">
      <totalsRowFormula>SUM(Table5[4])</totalsRowFormula>
    </tableColumn>
    <tableColumn id="6" name="5" totalsRowFunction="custom" dataDxfId="168" totalsRowDxfId="167">
      <totalsRowFormula>SUM(Table5[5])</totalsRowFormula>
    </tableColumn>
    <tableColumn id="7" name="6" totalsRowFunction="custom" dataDxfId="166" totalsRowDxfId="165">
      <totalsRowFormula>SUM(Table5[6])</totalsRowFormula>
    </tableColumn>
    <tableColumn id="8" name="7" totalsRowFunction="custom" dataDxfId="164" totalsRowDxfId="163">
      <totalsRowFormula>SUM(Table5[7])</totalsRowFormula>
    </tableColumn>
    <tableColumn id="9" name="8" totalsRowFunction="custom" dataDxfId="162" totalsRowDxfId="161">
      <totalsRowFormula>SUM(Table5[8])</totalsRowFormula>
    </tableColumn>
    <tableColumn id="11" name="Average contribution" totalsRowFunction="custom" dataDxfId="160" totalsRowDxfId="159">
      <totalsRowFormula>SUM(Table5[Average contribution])</totalsRowFormula>
    </tableColumn>
  </tableColumns>
  <tableStyleInfo name="TableStyleLight11" showFirstColumn="0" showLastColumn="0" showRowStripes="1" showColumnStripes="0"/>
</table>
</file>

<file path=xl/tables/table2.xml><?xml version="1.0" encoding="utf-8"?>
<table xmlns="http://schemas.openxmlformats.org/spreadsheetml/2006/main" id="2" name="Table2" displayName="Table2" ref="A2:B5" headerRowCount="1" totalsRowShown="0">
  <autoFilter ref="A2:B5"/>
  <tableColumns count="2">
    <tableColumn id="1" name="Mould Dimesnsions"/>
    <tableColumn id="2" name="Dimensions" dataDxfId="155">
      <calculatedColumnFormula>'Input-Output'!F3</calculatedColumnFormula>
    </tableColumn>
  </tableColumns>
  <tableStyleInfo name="TableStyleLight11" showFirstColumn="0" showLastColumn="0" showRowStripes="1" showColumnStripes="0"/>
</table>
</file>

<file path=xl/tables/table3.xml><?xml version="1.0" encoding="utf-8"?>
<table xmlns="http://schemas.openxmlformats.org/spreadsheetml/2006/main" id="3" name="Table3" displayName="Table3" ref="A23:D34" headerRowCount="1" totalsRowCount="1">
  <autoFilter ref="A23:D33"/>
  <tableColumns count="4">
    <tableColumn id="1" name="Material" dataDxfId="154" totalsRowDxfId="153"/>
    <tableColumn id="2" name="Total(in KG)" totalsRowFunction="custom" totalsRowDxfId="152">
      <calculatedColumnFormula>SUM(B24:B33)</calculatedColumnFormula>
      <totalsRowFormula>SUM(B24:B33)</totalsRowFormula>
    </tableColumn>
    <tableColumn id="3" name="Price/kg" dataDxfId="151" totalsRowDxfId="150">
      <calculatedColumnFormula>VLOOKUP(Table3[[#This Row],[Material]],Table1[],4,FALSE)</calculatedColumnFormula>
    </tableColumn>
    <tableColumn id="4" name="Total Price" totalsRowFunction="custom" totalsRowDxfId="149">
      <calculatedColumnFormula>SUM(Table3[Total Price])</calculatedColumnFormula>
      <totalsRowFormula>INT(SUM(Table3[Total Price]))</totalsRowFormula>
    </tableColumn>
  </tableColumns>
  <tableStyleInfo name="TableStyleLight11" showFirstColumn="0" showLastColumn="0" showRowStripes="1" showColumnStripes="0"/>
</table>
</file>

<file path=xl/tables/table4.xml><?xml version="1.0" encoding="utf-8"?>
<table xmlns="http://schemas.openxmlformats.org/spreadsheetml/2006/main" id="4" name="Table4" displayName="Table4" ref="A8:M21" headerRowCount="1" totalsRowShown="0">
  <autoFilter ref="A8:M21"/>
  <tableColumns count="13">
    <tableColumn id="1" name="Item Description" dataDxfId="148"/>
    <tableColumn id="2" name="Material" dataDxfId="147"/>
    <tableColumn id="3" name="Density(g/cm3)" dataDxfId="146">
      <calculatedColumnFormula>VLOOKUP(Table4[[#This Row],[Material]],Table1[[Various Tool Steel]:[Density(g/cc3)]],2,FALSE)</calculatedColumnFormula>
    </tableColumn>
    <tableColumn id="4" name="Length" dataDxfId="145"/>
    <tableColumn id="5" name="Width / Diameter" dataDxfId="144"/>
    <tableColumn id="6" name="Height" dataDxfId="143"/>
    <tableColumn id="7" name="Volume(in cm3)" dataDxfId="142">
      <calculatedColumnFormula>3.14*Table4[[#This Row],[Width / Diameter]]^2*Table4[[#This Row],[Height]]/1000</calculatedColumnFormula>
    </tableColumn>
    <tableColumn id="8" name="Weight in Kg" dataDxfId="141">
      <calculatedColumnFormula>Table4[[#This Row],[Volume(in cm3)]]*Table4[[#This Row],[Density(g/cm3)]]/1000</calculatedColumnFormula>
    </tableColumn>
    <tableColumn id="9" name="Total Weight in Kg (10% Machining Allowance)" dataDxfId="140">
      <calculatedColumnFormula>Table4[[#This Row],[Weight in Kg]]*1.1</calculatedColumnFormula>
    </tableColumn>
    <tableColumn id="10" name="QTY" dataDxfId="139"/>
    <tableColumn id="13" name="Total weight" dataDxfId="138">
      <calculatedColumnFormula>Table4[[#This Row],[Total Weight in Kg (10% Machining Allowance)]]*Table4[[#This Row],[QTY]]</calculatedColumnFormula>
    </tableColumn>
    <tableColumn id="11" name="Price/kg" dataDxfId="137">
      <calculatedColumnFormula>VLOOKUP(Table4[[#This Row],[Material]],Table1[[Various Tool Steel]:[Price/Kg]],4,FALSE)</calculatedColumnFormula>
    </tableColumn>
    <tableColumn id="12" name="Total Price" dataDxfId="136">
      <calculatedColumnFormula>Table4[[#This Row],[Total weight]]*Table4[[#This Row],[Price/kg]]</calculatedColumnFormula>
    </tableColumn>
  </tableColumns>
  <tableStyleInfo name="TableStyleMedium4" showFirstColumn="0" showLastColumn="0" showRowStripes="1" showColumnStripes="0"/>
</table>
</file>

<file path=xl/tables/table5.xml><?xml version="1.0" encoding="utf-8"?>
<table xmlns="http://schemas.openxmlformats.org/spreadsheetml/2006/main" id="5" name="Table1" displayName="Table1" ref="A2:G16" headerRowCount="1" totalsRowShown="0">
  <autoFilter ref="A2:G16"/>
  <tableColumns count="7">
    <tableColumn id="1" name="Various Tool Steel" dataDxfId="131"/>
    <tableColumn id="4" name="Density(g/cc3)" dataDxfId="130"/>
    <tableColumn id="2" name="Uses" dataDxfId="129"/>
    <tableColumn id="3" name="Price/Kg" dataDxfId="128">
      <calculatedColumnFormula>Table1[[#This Row],[Total]]</calculatedColumnFormula>
    </tableColumn>
    <tableColumn id="5" name="RM cost" dataDxfId="127"/>
    <tableColumn id="6" name="Extra cost" dataDxfId="126"/>
    <tableColumn id="7" name="Total" dataDxfId="125"/>
  </tableColumns>
  <tableStyleInfo name="TableStyleLight8" showFirstColumn="0" showLastColumn="0" showRowStripes="1" showColumnStripes="0"/>
</table>
</file>

<file path=xl/tables/table6.xml><?xml version="1.0" encoding="utf-8"?>
<table xmlns="http://schemas.openxmlformats.org/spreadsheetml/2006/main" id="6" name="Table11" displayName="Table11" ref="A19:E27" headerRowCount="1" totalsRowShown="0">
  <autoFilter ref="A19:E27"/>
  <tableColumns count="5">
    <tableColumn id="1" name="Part Material" dataDxfId="124"/>
    <tableColumn id="2" name="Price/kg" dataDxfId="123"/>
    <tableColumn id="3" name="Tonnage Constant(/cm2)" dataDxfId="122"/>
    <tableColumn id="4" name="Density" dataDxfId="121"/>
    <tableColumn id="5" name="Young modulus" dataDxfId="120"/>
  </tableColumns>
  <tableStyleInfo name="TableStyleMedium4" showFirstColumn="0" showLastColumn="0" showRowStripes="1" showColumnStripes="0"/>
</table>
</file>

<file path=xl/tables/table7.xml><?xml version="1.0" encoding="utf-8"?>
<table xmlns="http://schemas.openxmlformats.org/spreadsheetml/2006/main" id="7" name="Table15" displayName="Table15" ref="I2:L17" headerRowCount="1" totalsRowShown="0">
  <autoFilter ref="I2:L17"/>
  <tableColumns count="4">
    <tableColumn id="1" name="Machining Process" dataDxfId="119"/>
    <tableColumn id="2" name="MRR in cm3/min" dataDxfId="118"/>
    <tableColumn id="3" name="MHR"/>
    <tableColumn id="4" name="Column1"/>
  </tableColumns>
  <tableStyleInfo name="TableStyleMedium4" showFirstColumn="0" showLastColumn="0" showRowStripes="1" showColumnStripes="0"/>
</table>
</file>

<file path=xl/tables/table8.xml><?xml version="1.0" encoding="utf-8"?>
<table xmlns="http://schemas.openxmlformats.org/spreadsheetml/2006/main" id="8" name="Table7" displayName="Table7" ref="A1:C17" headerRowCount="1" totalsRowShown="0">
  <autoFilter ref="A1:C17"/>
  <tableColumns count="3">
    <tableColumn id="1" name="Part " dataDxfId="117"/>
    <tableColumn id="2" name="Dimensions" dataDxfId="116"/>
    <tableColumn id="3" name="unit" dataDxfId="115"/>
  </tableColumns>
  <tableStyleInfo name="TableStyleLight8" showFirstColumn="0" showLastColumn="0" showRowStripes="1" showColumnStripes="0"/>
</table>
</file>

<file path=xl/tables/table9.xml><?xml version="1.0" encoding="utf-8"?>
<table xmlns="http://schemas.openxmlformats.org/spreadsheetml/2006/main" id="9" name="Table16" displayName="Table16" ref="A18:B24" headerRowCount="1" totalsRowShown="0">
  <autoFilter ref="A18:B24"/>
  <tableColumns count="2">
    <tableColumn id="1" name="Output" dataDxfId="114"/>
    <tableColumn id="2" name="Price" dataDxfId="113"/>
  </tableColumns>
  <tableStyleInfo name="TableStyleMedium14" showFirstColumn="0" showLastColumn="0" showRowStripes="1" showColumnStripes="0"/>
</table>
</file>

<file path=xl/tables/table10.xml><?xml version="1.0" encoding="utf-8"?>
<table xmlns="http://schemas.openxmlformats.org/spreadsheetml/2006/main" id="10" name="Table6" displayName="Table6" ref="A1:B7" headerRowCount="1" totalsRowShown="0">
  <autoFilter ref="A1:B7"/>
  <tableColumns count="2">
    <tableColumn id="1" name="Complexity index"/>
    <tableColumn id="2" name="Complexity factor" dataDxfId="111"/>
  </tableColumns>
  <tableStyleInfo name="TableStyleMedium4" showFirstColumn="0" showLastColumn="0" showRowStripes="1" showColumnStripes="0"/>
</table>
</file>

<file path=xl/tables/table11.xml><?xml version="1.0" encoding="utf-8"?>
<table xmlns="http://schemas.openxmlformats.org/spreadsheetml/2006/main" id="11" name="Table18" displayName="Table18" ref="A3:L19" headerRowCount="1" totalsRowShown="0">
  <autoFilter ref="A3:L19"/>
  <tableColumns count="12">
    <tableColumn id="1" name="Opn No" dataDxfId="110"/>
    <tableColumn id="2" name="Operation Name" dataDxfId="109"/>
    <tableColumn id="3" name="M/c Selected" dataDxfId="108"/>
    <tableColumn id="4" name="Initial Volume in cm3" dataDxfId="107"/>
    <tableColumn id="5" name="Final Volume in cm3" dataDxfId="106"/>
    <tableColumn id="6" name="Material to be removed in cm3" dataDxfId="105"/>
    <tableColumn id="7" name="Standard MRR in cm3 per min" dataDxfId="104"/>
    <tableColumn id="8" name="Cycle Time in Mins" dataDxfId="103"/>
    <tableColumn id="9" name="Programming" dataDxfId="102"/>
    <tableColumn id="10" name="Tool Change Time" dataDxfId="101"/>
    <tableColumn id="11" name="Fixture Set-up time in mins" dataDxfId="100"/>
    <tableColumn id="12" name="M/c Time in Hrs" dataDxfId="99">
      <calculatedColumnFormula>ROUNDUP((K4+H4+I4+J4)/60,0)</calculatedColumnFormula>
    </tableColumn>
  </tableColumns>
  <tableStyleInfo name="TableStyleLight18" showFirstColumn="0" showLastColumn="0" showRowStripes="1" showColumnStripes="0"/>
</table>
</file>

<file path=xl/tables/table12.xml><?xml version="1.0" encoding="utf-8"?>
<table xmlns="http://schemas.openxmlformats.org/spreadsheetml/2006/main" id="12" name="Table19" displayName="Table19" ref="A41:L57" headerRowCount="1" totalsRowShown="0">
  <autoFilter ref="A41:L57"/>
  <tableColumns count="12">
    <tableColumn id="1" name="Opn No" dataDxfId="98"/>
    <tableColumn id="2" name="Operation Name" dataDxfId="97"/>
    <tableColumn id="3" name="M/c Selected" dataDxfId="96"/>
    <tableColumn id="4" name="Initial Volume in cm3" dataDxfId="95"/>
    <tableColumn id="5" name="Final Volume in cm3" dataDxfId="94"/>
    <tableColumn id="6" name="Material to be removed in cm3" dataDxfId="93"/>
    <tableColumn id="7" name="Standard MRR in cm3 per min" dataDxfId="92"/>
    <tableColumn id="8" name="Cycle Time in Mins" dataDxfId="91"/>
    <tableColumn id="9" name="Programming" dataDxfId="90"/>
    <tableColumn id="10" name="Tool Change Time" dataDxfId="89"/>
    <tableColumn id="11" name="Fixture Set-up time in mins" dataDxfId="88"/>
    <tableColumn id="12" name="M/c Time" dataDxfId="87"/>
  </tableColumns>
  <tableStyleInfo name="TableStyleLight11" showFirstColumn="0" showLastColumn="0" showRowStripes="1" showColumnStripes="0"/>
</table>
</file>

<file path=xl/tables/table13.xml><?xml version="1.0" encoding="utf-8"?>
<table xmlns="http://schemas.openxmlformats.org/spreadsheetml/2006/main" id="13" name="Table20" displayName="Table20" ref="A22:L38" headerRowCount="1" totalsRowShown="0">
  <autoFilter ref="A22:L38"/>
  <tableColumns count="12">
    <tableColumn id="1" name="Opn No" dataDxfId="86"/>
    <tableColumn id="2" name="Operation Name" dataDxfId="85"/>
    <tableColumn id="3" name="M/c Selected" dataDxfId="84"/>
    <tableColumn id="4" name="Initial Volume in cm3" dataDxfId="83"/>
    <tableColumn id="5" name="Final Volume in cm3" dataDxfId="82"/>
    <tableColumn id="6" name="Material to be removed in cm3" dataDxfId="81"/>
    <tableColumn id="7" name="Standard MRR in cm3 per min" dataDxfId="80"/>
    <tableColumn id="8" name="Cycle Time in Mins" dataDxfId="79"/>
    <tableColumn id="9" name="Programming" dataDxfId="78"/>
    <tableColumn id="10" name="Tool Change Time" dataDxfId="77"/>
    <tableColumn id="11" name="Fixture Set-up time in mins" dataDxfId="76"/>
    <tableColumn id="12" name="M/c Time in Hrs" dataDxfId="75">
      <calculatedColumnFormula>ROUNDUP((K23+H23+I23+J23)/60,0)</calculatedColumnFormula>
    </tableColumn>
  </tableColumns>
  <tableStyleInfo name="TableStyleLight18" showFirstColumn="0" showLastColumn="0" showRowStripes="1" showColumnStripes="0"/>
</table>
</file>

<file path=xl/tables/table14.xml><?xml version="1.0" encoding="utf-8"?>
<table xmlns="http://schemas.openxmlformats.org/spreadsheetml/2006/main" id="14" name="Table21" displayName="Table21" ref="A60:L76" headerRowCount="1" totalsRowShown="0">
  <autoFilter ref="A60:L76"/>
  <tableColumns count="12">
    <tableColumn id="1" name="Opn No" dataDxfId="74"/>
    <tableColumn id="2" name="Operation Name" dataDxfId="73"/>
    <tableColumn id="3" name="M/c Selected" dataDxfId="72"/>
    <tableColumn id="4" name="Initial Volume in cm3" dataDxfId="71"/>
    <tableColumn id="5" name="Final Volume in cm3" dataDxfId="70"/>
    <tableColumn id="6" name="Material to be removed in cm3" dataDxfId="69">
      <calculatedColumnFormula>D61-E61</calculatedColumnFormula>
    </tableColumn>
    <tableColumn id="7" name="Standard MRR in cm3 per min" dataDxfId="68">
      <calculatedColumnFormula>VLOOKUP(C61,Table15[],2,FALSE)</calculatedColumnFormula>
    </tableColumn>
    <tableColumn id="8" name="Cycle Time in Mins" dataDxfId="67">
      <calculatedColumnFormula>F61/G61</calculatedColumnFormula>
    </tableColumn>
    <tableColumn id="9" name="Programming" dataDxfId="66"/>
    <tableColumn id="10" name="Tool Change Time" dataDxfId="65"/>
    <tableColumn id="11" name="Fixture Set-up time in mins" dataDxfId="64"/>
    <tableColumn id="12" name="M/c Time" dataDxfId="63">
      <calculatedColumnFormula>ROUNDUP((K61+H61+I61+J61)/60,0)</calculatedColumnFormula>
    </tableColumn>
  </tableColumns>
  <tableStyleInfo name="TableStyleLight18" showFirstColumn="0" showLastColumn="0" showRowStripes="1" showColumnStripes="0"/>
</table>
</file>

<file path=xl/tables/table15.xml><?xml version="1.0" encoding="utf-8"?>
<table xmlns="http://schemas.openxmlformats.org/spreadsheetml/2006/main" id="15" name="Table22" displayName="Table22" ref="A79:L95" headerRowCount="1" totalsRowShown="0">
  <autoFilter ref="A79:L95"/>
  <tableColumns count="12">
    <tableColumn id="1" name="Opn No" dataDxfId="62"/>
    <tableColumn id="2" name="Operation Name" dataDxfId="61"/>
    <tableColumn id="3" name="M/c Selected" dataDxfId="60"/>
    <tableColumn id="4" name="Initial Volume in cm3" dataDxfId="59"/>
    <tableColumn id="5" name="Final Volume in cm3" dataDxfId="58"/>
    <tableColumn id="6" name="Material to be removed in m3" dataDxfId="57"/>
    <tableColumn id="7" name="Standard MRR in cm3 per min" dataDxfId="56"/>
    <tableColumn id="8" name="Cycle Time in Mins" dataDxfId="55"/>
    <tableColumn id="9" name="Programming" dataDxfId="54"/>
    <tableColumn id="10" name="Tool Change Time" dataDxfId="53"/>
    <tableColumn id="11" name="Fixture Set-up time in mins" dataDxfId="52"/>
    <tableColumn id="12" name="M/c Time" dataDxfId="51"/>
  </tableColumns>
  <tableStyleInfo name="TableStyleLight18" showFirstColumn="0" showLastColumn="0" showRowStripes="1" showColumnStripes="0"/>
</table>
</file>

<file path=xl/tables/table16.xml><?xml version="1.0" encoding="utf-8"?>
<table xmlns="http://schemas.openxmlformats.org/spreadsheetml/2006/main" id="16" name="Table23" displayName="Table23" ref="A98:L115" headerRowCount="1" totalsRowShown="0">
  <autoFilter ref="A98:L115"/>
  <tableColumns count="12">
    <tableColumn id="1" name="Opn No" dataDxfId="50"/>
    <tableColumn id="2" name="Operation Name" dataDxfId="49"/>
    <tableColumn id="3" name="M/c Selected" dataDxfId="48"/>
    <tableColumn id="4" name="Initial Volume in cm3" dataDxfId="47"/>
    <tableColumn id="5" name="Final Volume in cm3" dataDxfId="46"/>
    <tableColumn id="6" name="Material to be removed in cm3" dataDxfId="45"/>
    <tableColumn id="7" name="Standard MRR in cm3 per min" dataDxfId="44"/>
    <tableColumn id="8" name="Cycle Time in Mins" dataDxfId="43"/>
    <tableColumn id="9" name="Programming" dataDxfId="42"/>
    <tableColumn id="10" name="Tool Change Time" dataDxfId="41"/>
    <tableColumn id="11" name="Fixture Set-up time in mins" dataDxfId="40"/>
    <tableColumn id="12" name="M/c Time" dataDxfId="39"/>
  </tableColumns>
  <tableStyleInfo name="TableStyleLight18" showFirstColumn="0" showLastColumn="0" showRowStripes="1" showColumnStripes="0"/>
</table>
</file>

<file path=xl/tables/table17.xml><?xml version="1.0" encoding="utf-8"?>
<table xmlns="http://schemas.openxmlformats.org/spreadsheetml/2006/main" id="17" name="Table24" displayName="Table24" ref="A119:L136" headerRowCount="1" totalsRowShown="0">
  <autoFilter ref="A119:L136"/>
  <tableColumns count="12">
    <tableColumn id="1" name="Opn No" dataDxfId="38"/>
    <tableColumn id="2" name="Operation Name" dataDxfId="37"/>
    <tableColumn id="3" name="M/c Selected" dataDxfId="36"/>
    <tableColumn id="4" name="Initial Volume in cm3" dataDxfId="35"/>
    <tableColumn id="5" name="Final Volume in cm3" dataDxfId="34"/>
    <tableColumn id="6" name="Material to be removed in cm3" dataDxfId="33"/>
    <tableColumn id="7" name="Standard MRR in icm per min" dataDxfId="32"/>
    <tableColumn id="8" name="Cycle Time in Mins" dataDxfId="31"/>
    <tableColumn id="9" name="Programming" dataDxfId="30"/>
    <tableColumn id="10" name="Tool Change Time" dataDxfId="29"/>
    <tableColumn id="11" name="Fixture Set-up time in mins" dataDxfId="28"/>
    <tableColumn id="12" name="M/c Time" dataDxfId="27"/>
  </tableColumns>
  <tableStyleInfo name="TableStyleLight18" showFirstColumn="0" showLastColumn="0" showRowStripes="1" showColumnStripes="0"/>
</table>
</file>

<file path=xl/tables/table18.xml><?xml version="1.0" encoding="utf-8"?>
<table xmlns="http://schemas.openxmlformats.org/spreadsheetml/2006/main" id="18" name="Table25" displayName="Table25" ref="A139:L155" headerRowCount="1" totalsRowShown="0">
  <autoFilter ref="A139:L155"/>
  <tableColumns count="12">
    <tableColumn id="1" name="Opn No" dataDxfId="26"/>
    <tableColumn id="2" name="Operation Name" dataDxfId="25"/>
    <tableColumn id="3" name="M/c Selected" dataDxfId="24"/>
    <tableColumn id="4" name="Initial Volume in cm3" dataDxfId="23"/>
    <tableColumn id="5" name="Final Volume in cm3" dataDxfId="22"/>
    <tableColumn id="6" name="Material to be removed in cm3" dataDxfId="21"/>
    <tableColumn id="7" name="Standard MRR in cm3 per min" dataDxfId="20"/>
    <tableColumn id="8" name="Cycle Time in Mins" dataDxfId="19"/>
    <tableColumn id="9" name="Programming" dataDxfId="18"/>
    <tableColumn id="10" name="Tool Change Time" dataDxfId="17"/>
    <tableColumn id="11" name="Fixture Set-up time in mins" dataDxfId="16"/>
    <tableColumn id="12" name="M/c Time" dataDxfId="15"/>
  </tableColumns>
  <tableStyleInfo name="TableStyleLight18" showFirstColumn="0" showLastColumn="0" showRowStripes="1" showColumnStripes="0"/>
</table>
</file>

<file path=xl/tables/table19.xml><?xml version="1.0" encoding="utf-8"?>
<table xmlns="http://schemas.openxmlformats.org/spreadsheetml/2006/main" id="19" name="Table26" displayName="Table26" ref="A158:L174" headerRowCount="1" totalsRowShown="0">
  <autoFilter ref="A158:L174"/>
  <tableColumns count="12">
    <tableColumn id="1" name="Opn No" dataDxfId="14"/>
    <tableColumn id="2" name="Operation Name" dataDxfId="13"/>
    <tableColumn id="3" name="M/c Selected" dataDxfId="12"/>
    <tableColumn id="4" name="Initial Volume in cm3" dataDxfId="11"/>
    <tableColumn id="5" name="Final Volume in cm3" dataDxfId="10"/>
    <tableColumn id="6" name="Material to be removed in cm3" dataDxfId="9"/>
    <tableColumn id="7" name="Standard MRR in cm3 per min" dataDxfId="8"/>
    <tableColumn id="8" name="Cycle Time in Mins" dataDxfId="7"/>
    <tableColumn id="9" name="Programming" dataDxfId="6"/>
    <tableColumn id="10" name="Tool Change Time" dataDxfId="5"/>
    <tableColumn id="11" name="Fixture Set-up time in mins" dataDxfId="4"/>
    <tableColumn id="12" name="M/c Time" dataDxfId="3"/>
  </tableColumns>
  <tableStyleInfo name="TableStyleLight18" showFirstColumn="0" showLastColumn="0" showRowStripes="1" showColumnStripes="0"/>
</table>
</file>

<file path=xl/tables/table20.xml><?xml version="1.0" encoding="utf-8"?>
<table xmlns="http://schemas.openxmlformats.org/spreadsheetml/2006/main" id="20" name="Table1113" displayName="Table1113" ref="A26:C34" headerRowCount="1" totalsRowShown="0">
  <autoFilter ref="A26:C34"/>
  <tableColumns count="3">
    <tableColumn id="1" name="Part Material" dataDxfId="2">
      <calculatedColumnFormula>Database!A20</calculatedColumnFormula>
    </tableColumn>
    <tableColumn id="2" name="Price/kg" dataDxfId="1">
      <calculatedColumnFormula>Database!B20</calculatedColumnFormula>
    </tableColumn>
    <tableColumn id="3" name="Tonnage Constant(/mm2)" dataDxfId="0">
      <calculatedColumnFormula>Database!C20/100</calculatedColumnFormula>
    </tableColumn>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Relationships xmlns="http://schemas.openxmlformats.org/package/2006/relationships"><Relationship Type="http://schemas.openxmlformats.org/officeDocument/2006/relationships/drawing" Target="/xl/drawings/drawing1.xml" Id="rId1" /><Relationship Type="http://schemas.openxmlformats.org/officeDocument/2006/relationships/table" Target="/xl/tables/table1.xml" Id="rId2" /></Relationships>
</file>

<file path=xl/worksheets/_rels/sheet5.xml.rels><Relationships xmlns="http://schemas.openxmlformats.org/package/2006/relationships"><Relationship Type="http://schemas.openxmlformats.org/officeDocument/2006/relationships/table" Target="/xl/tables/table2.xml" Id="rId1" /><Relationship Type="http://schemas.openxmlformats.org/officeDocument/2006/relationships/table" Target="/xl/tables/table3.xml" Id="rId2" /><Relationship Type="http://schemas.openxmlformats.org/officeDocument/2006/relationships/table" Target="/xl/tables/table4.xml" Id="rId3" /></Relationships>
</file>

<file path=xl/worksheets/_rels/sheet6.xml.rels><Relationships xmlns="http://schemas.openxmlformats.org/package/2006/relationships"><Relationship Type="http://schemas.openxmlformats.org/officeDocument/2006/relationships/drawing" Target="/xl/drawings/drawing2.xml" Id="rId1" /></Relationships>
</file>

<file path=xl/worksheets/_rels/sheet7.xml.rels><Relationships xmlns="http://schemas.openxmlformats.org/package/2006/relationships"><Relationship Type="http://schemas.openxmlformats.org/officeDocument/2006/relationships/drawing" Target="/xl/drawings/drawing3.xml" Id="rId1" /></Relationships>
</file>

<file path=xl/worksheets/_rels/sheet8.xml.rels><Relationships xmlns="http://schemas.openxmlformats.org/package/2006/relationships"><Relationship Type="http://schemas.openxmlformats.org/officeDocument/2006/relationships/table" Target="/xl/tables/table5.xml" Id="rId1" /><Relationship Type="http://schemas.openxmlformats.org/officeDocument/2006/relationships/table" Target="/xl/tables/table6.xml" Id="rId2" /><Relationship Type="http://schemas.openxmlformats.org/officeDocument/2006/relationships/table" Target="/xl/tables/table7.xml" Id="rId3" /></Relationships>
</file>

<file path=xl/worksheets/_rels/sheet9.xml.rels><Relationships xmlns="http://schemas.openxmlformats.org/package/2006/relationships"><Relationship Type="http://schemas.openxmlformats.org/officeDocument/2006/relationships/table" Target="/xl/tables/table8.xml" Id="rId1" /><Relationship Type="http://schemas.openxmlformats.org/officeDocument/2006/relationships/table" Target="/xl/tables/table9.xml" Id="rId2" /></Relationships>
</file>

<file path=xl/worksheets/_rels/sheet10.xml.rels><Relationships xmlns="http://schemas.openxmlformats.org/package/2006/relationships"><Relationship Type="http://schemas.openxmlformats.org/officeDocument/2006/relationships/drawing" Target="/xl/drawings/drawing4.xml" Id="rId1" /></Relationships>
</file>

<file path=xl/worksheets/_rels/sheet11.xml.rels><Relationships xmlns="http://schemas.openxmlformats.org/package/2006/relationships"><Relationship Type="http://schemas.openxmlformats.org/officeDocument/2006/relationships/table" Target="/xl/tables/table10.xml" Id="rId1" /></Relationships>
</file>

<file path=xl/worksheets/_rels/sheet13.xml.rels><Relationships xmlns="http://schemas.openxmlformats.org/package/2006/relationships"><Relationship Type="http://schemas.openxmlformats.org/officeDocument/2006/relationships/drawing" Target="/xl/drawings/drawing5.xml" Id="rId1" /></Relationships>
</file>

<file path=xl/worksheets/_rels/sheet15.xml.rels><Relationships xmlns="http://schemas.openxmlformats.org/package/2006/relationships"><Relationship Type="http://schemas.openxmlformats.org/officeDocument/2006/relationships/table" Target="/xl/tables/table11.xml" Id="rId1" /><Relationship Type="http://schemas.openxmlformats.org/officeDocument/2006/relationships/table" Target="/xl/tables/table12.xml" Id="rId2" /><Relationship Type="http://schemas.openxmlformats.org/officeDocument/2006/relationships/table" Target="/xl/tables/table13.xml" Id="rId3" /><Relationship Type="http://schemas.openxmlformats.org/officeDocument/2006/relationships/table" Target="/xl/tables/table14.xml" Id="rId4" /><Relationship Type="http://schemas.openxmlformats.org/officeDocument/2006/relationships/table" Target="/xl/tables/table15.xml" Id="rId5" /><Relationship Type="http://schemas.openxmlformats.org/officeDocument/2006/relationships/table" Target="/xl/tables/table16.xml" Id="rId6" /><Relationship Type="http://schemas.openxmlformats.org/officeDocument/2006/relationships/table" Target="/xl/tables/table17.xml" Id="rId7" /><Relationship Type="http://schemas.openxmlformats.org/officeDocument/2006/relationships/table" Target="/xl/tables/table18.xml" Id="rId8" /><Relationship Type="http://schemas.openxmlformats.org/officeDocument/2006/relationships/table" Target="/xl/tables/table19.xml" Id="rId9" /></Relationships>
</file>

<file path=xl/worksheets/_rels/sheet16.xml.rels><Relationships xmlns="http://schemas.openxmlformats.org/package/2006/relationships"><Relationship Type="http://schemas.openxmlformats.org/officeDocument/2006/relationships/table" Target="/xl/tables/table20.xml" Id="rId1" /></Relationships>
</file>

<file path=xl/worksheets/sheet1.xml><?xml version="1.0" encoding="utf-8"?>
<worksheet xmlns="http://schemas.openxmlformats.org/spreadsheetml/2006/main">
  <sheetPr>
    <outlinePr summaryBelow="1" summaryRight="1"/>
    <pageSetUpPr/>
  </sheetPr>
  <dimension ref="A1:F15"/>
  <sheetViews>
    <sheetView tabSelected="1" workbookViewId="0">
      <selection activeCell="G5" sqref="G5"/>
    </sheetView>
  </sheetViews>
  <sheetFormatPr baseColWidth="8" defaultRowHeight="14.5"/>
  <cols>
    <col width="31.36328125" customWidth="1" style="450" min="1" max="1"/>
    <col width="18.26953125" customWidth="1" style="450" min="6" max="6"/>
  </cols>
  <sheetData>
    <row r="1">
      <c r="A1" t="inlineStr">
        <is>
          <t xml:space="preserve">Length (in mm): </t>
        </is>
      </c>
      <c r="B1" t="inlineStr">
        <is>
          <t>200</t>
        </is>
      </c>
      <c r="F1" s="59">
        <f>INT(DASHBOARD!C9)</f>
        <v/>
      </c>
    </row>
    <row r="2">
      <c r="A2" t="inlineStr">
        <is>
          <t xml:space="preserve">Width (in mm): </t>
        </is>
      </c>
      <c r="B2" t="inlineStr">
        <is>
          <t>100</t>
        </is>
      </c>
      <c r="F2" s="59">
        <f>INT(DASHBOARD!H28)</f>
        <v/>
      </c>
    </row>
    <row r="3">
      <c r="A3" t="inlineStr">
        <is>
          <t xml:space="preserve">Height(in): </t>
        </is>
      </c>
      <c r="B3" t="inlineStr">
        <is>
          <t>80</t>
        </is>
      </c>
      <c r="F3" s="59">
        <f>INT(DASHBOARD!H52)</f>
        <v/>
      </c>
    </row>
    <row r="4">
      <c r="A4" t="inlineStr">
        <is>
          <t xml:space="preserve">Cavity: </t>
        </is>
      </c>
      <c r="B4" t="inlineStr">
        <is>
          <t>1</t>
        </is>
      </c>
      <c r="F4" s="385">
        <f>INT(DASHBOARD!G61)</f>
        <v/>
      </c>
    </row>
    <row r="5">
      <c r="A5" t="inlineStr">
        <is>
          <t xml:space="preserve">Complexity: </t>
        </is>
      </c>
      <c r="B5" t="inlineStr">
        <is>
          <t>1</t>
        </is>
      </c>
      <c r="F5" s="59">
        <f>INT(DASHBOARD!H65)</f>
        <v/>
      </c>
    </row>
    <row r="6">
      <c r="A6" t="inlineStr">
        <is>
          <t xml:space="preserve">Hot Runner: </t>
        </is>
      </c>
      <c r="B6" t="inlineStr">
        <is>
          <t>no</t>
        </is>
      </c>
    </row>
    <row r="7">
      <c r="A7" s="351" t="inlineStr">
        <is>
          <t>HRS Cost</t>
        </is>
      </c>
      <c r="B7" t="inlineStr"/>
    </row>
    <row r="8">
      <c r="A8" t="inlineStr">
        <is>
          <t xml:space="preserve">Mould Flow Analysis: </t>
        </is>
      </c>
      <c r="B8" t="b">
        <v>0</v>
      </c>
    </row>
    <row r="9">
      <c r="A9" t="inlineStr">
        <is>
          <t xml:space="preserve">Texturing: </t>
        </is>
      </c>
      <c r="B9" t="b">
        <v>0</v>
      </c>
    </row>
    <row r="10">
      <c r="A10" t="inlineStr">
        <is>
          <t xml:space="preserve">Heat Treatment: </t>
        </is>
      </c>
      <c r="B10" t="b">
        <v>0</v>
      </c>
    </row>
    <row r="11">
      <c r="A11" t="inlineStr">
        <is>
          <t xml:space="preserve">Polishing: </t>
        </is>
      </c>
      <c r="B11" t="b">
        <v>0</v>
      </c>
    </row>
    <row r="15">
      <c r="A15" t="inlineStr">
        <is>
          <t>       </t>
        </is>
      </c>
    </row>
  </sheetData>
  <pageMargins left="0.7" right="0.7" top="0.75" bottom="0.75" header="0.3" footer="0.3"/>
</worksheet>
</file>

<file path=xl/worksheets/sheet2.xml><?xml version="1.0" encoding="utf-8"?>
<worksheet xmlns="http://schemas.openxmlformats.org/spreadsheetml/2006/main">
  <sheetPr codeName="Sheet8">
    <outlinePr summaryBelow="1" summaryRight="1"/>
    <pageSetUpPr/>
  </sheetPr>
  <dimension ref="A1:A24"/>
  <sheetViews>
    <sheetView workbookViewId="0">
      <selection activeCell="D12" sqref="D12"/>
    </sheetView>
  </sheetViews>
  <sheetFormatPr baseColWidth="8" defaultColWidth="8.7265625" defaultRowHeight="14.5"/>
  <cols>
    <col width="8.7265625" customWidth="1" style="207" min="1" max="3"/>
    <col width="8.7265625" customWidth="1" style="207" min="4" max="16384"/>
  </cols>
  <sheetData>
    <row r="1" ht="21" customHeight="1" s="450">
      <c r="A1" s="208" t="inlineStr">
        <is>
          <t>Assumptions</t>
        </is>
      </c>
    </row>
    <row r="2" ht="21" customHeight="1" s="450">
      <c r="A2" s="208" t="n"/>
    </row>
    <row r="3">
      <c r="A3" s="209" t="inlineStr">
        <is>
          <t>• Overall:</t>
        </is>
      </c>
    </row>
    <row r="4">
      <c r="A4" s="209" t="n"/>
    </row>
    <row r="5">
      <c r="A5" s="210" t="inlineStr">
        <is>
          <t>1.       In relevant cases, an efficiency of 90% is taken into consideration.</t>
        </is>
      </c>
    </row>
    <row r="6">
      <c r="A6" s="210" t="inlineStr">
        <is>
          <t>2.       The complexity of the material has an impact on the raw material selection, machining cost, and design cost of the mould.</t>
        </is>
      </c>
    </row>
    <row r="7">
      <c r="A7" s="210" t="inlineStr">
        <is>
          <t>3.       Typically, a single shift of 8 hours per day is assumed, with one machine in operation. (This can be adjusted in the respective sheets or scenarios.)</t>
        </is>
      </c>
    </row>
    <row r="8">
      <c r="A8" s="210" t="inlineStr">
        <is>
          <t>4.       An overhead profit margin of 10% is accounted for.</t>
        </is>
      </c>
    </row>
    <row r="9">
      <c r="A9" s="210" t="inlineStr">
        <is>
          <t>5.       A service charge of 4% is factored into the calculations.</t>
        </is>
      </c>
    </row>
    <row r="10">
      <c r="A10" s="210" t="n"/>
    </row>
    <row r="11">
      <c r="A11" s="211" t="inlineStr">
        <is>
          <t>·Cavity Calculation:</t>
        </is>
      </c>
    </row>
    <row r="12">
      <c r="A12" s="210" t="n"/>
    </row>
    <row r="13">
      <c r="A13" s="210" t="inlineStr">
        <is>
          <t>1.       The injection and dwelling time for the process is set at a duration of 3 seconds.</t>
        </is>
      </c>
    </row>
    <row r="14">
      <c r="A14" s="210" t="inlineStr">
        <is>
          <t>2.       The cooling time required for the part is contingent upon its thickness and the material from which it is made.</t>
        </is>
      </c>
    </row>
    <row r="15">
      <c r="A15" s="210" t="n"/>
    </row>
    <row r="16">
      <c r="A16" s="211" t="inlineStr">
        <is>
          <t>·Mould Construction:</t>
        </is>
      </c>
    </row>
    <row r="17">
      <c r="A17" s="210" t="n"/>
    </row>
    <row r="18">
      <c r="A18" s="210" t="inlineStr">
        <is>
          <t>1.       The number of cavities in a mould has a direct relationship with the length and width of the mould.</t>
        </is>
      </c>
    </row>
    <row r="19">
      <c r="A19" s="210" t="inlineStr">
        <is>
          <t>2.       The assumed tolerance between the two parts is 50 mm.</t>
        </is>
      </c>
    </row>
    <row r="20">
      <c r="A20" s="210" t="inlineStr">
        <is>
          <t>3.       The engineering properties of materials have been considered based on standard or mean data.</t>
        </is>
      </c>
    </row>
    <row r="21">
      <c r="A21" s="210" t="inlineStr">
        <is>
          <t>4.       Standard and pre-determined materials are used for different parts of the mould, and they can be changed if necessary.</t>
        </is>
      </c>
    </row>
    <row r="22">
      <c r="A22" s="210" t="inlineStr">
        <is>
          <t>5.       Standard rates are applied to standard items.</t>
        </is>
      </c>
    </row>
    <row r="23">
      <c r="A23" s="210" t="inlineStr">
        <is>
          <t>6.       Standard processes are used for the machining of different component of mould.</t>
        </is>
      </c>
    </row>
    <row r="24">
      <c r="A24" s="210" t="n"/>
    </row>
  </sheetData>
  <pageMargins left="0.75" right="0.75" top="1" bottom="1" header="0.5" footer="0.5"/>
</worksheet>
</file>

<file path=xl/worksheets/sheet3.xml><?xml version="1.0" encoding="utf-8"?>
<worksheet xmlns="http://schemas.openxmlformats.org/spreadsheetml/2006/main">
  <sheetPr codeName="Sheet1">
    <outlinePr summaryBelow="1" summaryRight="1"/>
    <pageSetUpPr fitToPage="1"/>
  </sheetPr>
  <dimension ref="A1:J69"/>
  <sheetViews>
    <sheetView zoomScale="25" zoomScaleNormal="48" workbookViewId="0">
      <selection activeCell="E4" sqref="E4"/>
    </sheetView>
  </sheetViews>
  <sheetFormatPr baseColWidth="8" defaultRowHeight="14.5"/>
  <cols>
    <col width="31.90625" customWidth="1" style="450" min="1" max="1"/>
    <col width="67.26953125" customWidth="1" style="450" min="2" max="2"/>
    <col width="52.453125" customWidth="1" style="450" min="3" max="3"/>
    <col width="53.6328125" customWidth="1" style="450" min="4" max="5"/>
    <col width="45.08984375" customWidth="1" style="450" min="6" max="6"/>
    <col width="40.90625" customWidth="1" style="450" min="7" max="8"/>
    <col width="17.81640625" customWidth="1" style="450" min="9" max="9"/>
    <col width="71.90625" customWidth="1" style="450" min="10" max="10"/>
  </cols>
  <sheetData>
    <row r="1" ht="52" customHeight="1" s="450">
      <c r="A1" s="506" t="inlineStr">
        <is>
          <t xml:space="preserve">  TOOLING COST BREAK - UP ESTIMATE          </t>
        </is>
      </c>
      <c r="B1" s="447" t="n"/>
      <c r="C1" s="447" t="n"/>
      <c r="D1" s="447" t="n"/>
      <c r="E1" s="447" t="n"/>
      <c r="F1" s="447" t="n"/>
      <c r="G1" s="447" t="n"/>
      <c r="H1" s="447" t="n"/>
      <c r="I1" s="447" t="n"/>
      <c r="J1" s="482" t="n"/>
    </row>
    <row r="2" ht="52.5" customHeight="1" s="450" thickBot="1">
      <c r="A2" s="483" t="n"/>
      <c r="B2" s="444" t="n"/>
      <c r="C2" s="444" t="n"/>
      <c r="D2" s="444" t="n"/>
      <c r="E2" s="444" t="n"/>
      <c r="F2" s="444" t="n"/>
      <c r="G2" s="444" t="n"/>
      <c r="H2" s="444" t="n"/>
      <c r="I2" s="444" t="n"/>
      <c r="J2" s="462" t="n"/>
    </row>
    <row r="3" ht="35.5" customHeight="1" s="450" thickBot="1">
      <c r="A3" s="510" t="inlineStr">
        <is>
          <t>MANUAL ENTRY</t>
        </is>
      </c>
      <c r="B3" s="448" t="n"/>
      <c r="C3" s="463" t="inlineStr">
        <is>
          <t xml:space="preserve">Last modified at:  </t>
        </is>
      </c>
      <c r="D3" s="575">
        <f>IF($D$4&lt;&gt;0,NOW(),NOW())</f>
        <v/>
      </c>
      <c r="E3" s="272" t="n"/>
      <c r="F3" s="273" t="n"/>
      <c r="G3" s="254" t="inlineStr">
        <is>
          <t xml:space="preserve">      DATE : </t>
        </is>
      </c>
      <c r="H3" s="274">
        <f>TODAY()</f>
        <v/>
      </c>
      <c r="I3" s="295" t="n"/>
      <c r="J3" s="271" t="inlineStr">
        <is>
          <t>PART IMAGE</t>
        </is>
      </c>
    </row>
    <row r="4" ht="35" customHeight="1" s="450" thickBot="1">
      <c r="A4" s="509" t="n"/>
      <c r="B4" s="454" t="n"/>
      <c r="C4" s="464" t="n"/>
      <c r="D4" s="454" t="n"/>
      <c r="E4" s="270" t="inlineStr">
        <is>
          <t>CUSTOMER NAME : -</t>
        </is>
      </c>
      <c r="F4" s="440" t="inlineStr">
        <is>
          <t>TVSM</t>
        </is>
      </c>
      <c r="G4" s="439" t="n"/>
      <c r="H4" s="437" t="n"/>
      <c r="I4" s="296" t="n"/>
      <c r="J4" s="511" t="n"/>
    </row>
    <row r="5" ht="35" customHeight="1" s="450">
      <c r="A5" s="180" t="n"/>
      <c r="B5" s="269" t="inlineStr">
        <is>
          <t>LENGTH</t>
        </is>
      </c>
      <c r="C5" s="269" t="inlineStr">
        <is>
          <t>WIDTH</t>
        </is>
      </c>
      <c r="D5" s="269" t="inlineStr">
        <is>
          <t>HEIGHT</t>
        </is>
      </c>
      <c r="E5" s="270" t="inlineStr">
        <is>
          <t>TOOL MAKER NAME : -</t>
        </is>
      </c>
      <c r="F5" s="440" t="n"/>
      <c r="G5" s="439" t="n"/>
      <c r="H5" s="437" t="n"/>
      <c r="I5" s="296" t="n"/>
      <c r="J5" s="512" t="n"/>
    </row>
    <row r="6" ht="35" customHeight="1" s="450">
      <c r="A6" s="275" t="inlineStr">
        <is>
          <t>PART SIZE :-</t>
        </is>
      </c>
      <c r="B6" s="270">
        <f>Website!B1</f>
        <v/>
      </c>
      <c r="C6" s="270">
        <f>Website!B2</f>
        <v/>
      </c>
      <c r="D6" s="270">
        <f>Website!B3</f>
        <v/>
      </c>
      <c r="E6" s="265" t="n"/>
      <c r="F6" s="436" t="inlineStr">
        <is>
          <t>No of Gate</t>
        </is>
      </c>
      <c r="G6" s="436" t="inlineStr">
        <is>
          <t>HRS PRICE</t>
        </is>
      </c>
      <c r="H6" s="249" t="inlineStr">
        <is>
          <t>TOTAL HRS COST</t>
        </is>
      </c>
      <c r="I6" s="297" t="n"/>
      <c r="J6" s="512" t="n"/>
    </row>
    <row r="7" ht="35" customHeight="1" s="450">
      <c r="A7" s="275" t="inlineStr">
        <is>
          <t>NO CAVITY :-</t>
        </is>
      </c>
      <c r="B7" s="270">
        <f>Website!B4</f>
        <v/>
      </c>
      <c r="C7" s="270" t="inlineStr">
        <is>
          <t>COMPLEXITY</t>
        </is>
      </c>
      <c r="D7" s="261">
        <f>Website!B5</f>
        <v/>
      </c>
      <c r="E7" s="270" t="inlineStr">
        <is>
          <t>RUNNER &amp; GATE:-</t>
        </is>
      </c>
      <c r="F7" s="270" t="n">
        <v>1</v>
      </c>
      <c r="G7" s="261">
        <f>Website!B7</f>
        <v/>
      </c>
      <c r="H7" s="276">
        <f>G7*F7</f>
        <v/>
      </c>
      <c r="I7" s="298" t="n"/>
      <c r="J7" s="512" t="n"/>
    </row>
    <row r="8" ht="35.5" customHeight="1" s="450" thickBot="1">
      <c r="A8" s="277" t="inlineStr">
        <is>
          <t>M. DIME</t>
        </is>
      </c>
      <c r="B8" s="315">
        <f>'INJ. MOULDING ESTIMATION'!D22</f>
        <v/>
      </c>
      <c r="C8" s="315">
        <f>'INJ. MOULDING ESTIMATION'!D23</f>
        <v/>
      </c>
      <c r="D8" s="278">
        <f>'INJ. MOULDING ESTIMATION'!D24</f>
        <v/>
      </c>
      <c r="E8" s="255" t="inlineStr">
        <is>
          <t xml:space="preserve">PART WT :- </t>
        </is>
      </c>
      <c r="F8" s="255" t="n"/>
      <c r="G8" s="278" t="inlineStr">
        <is>
          <t>in 3D (KG)</t>
        </is>
      </c>
      <c r="H8" s="576" t="n"/>
      <c r="I8" s="577" t="n"/>
      <c r="J8" s="462" t="n"/>
    </row>
    <row r="9" ht="35.5" customHeight="1" s="450" thickBot="1">
      <c r="A9" s="480" t="inlineStr">
        <is>
          <t xml:space="preserve">I) DESIGN COST +MOULD FLOW   : </t>
        </is>
      </c>
      <c r="B9" s="444" t="n"/>
      <c r="C9" s="455">
        <f>'Mould Costing'!K60</f>
        <v/>
      </c>
      <c r="D9" s="444" t="n"/>
      <c r="E9" s="267" t="inlineStr">
        <is>
          <t>PART DESIGN (RE)</t>
        </is>
      </c>
      <c r="F9" s="268" t="n">
        <v>0</v>
      </c>
      <c r="G9" s="467" t="inlineStr">
        <is>
          <t>(PART 3D SCANNIG+3D DATA RE)</t>
        </is>
      </c>
      <c r="H9" s="462" t="n"/>
      <c r="I9" s="284" t="n"/>
      <c r="J9" s="307" t="inlineStr">
        <is>
          <t xml:space="preserve"> ( A )</t>
        </is>
      </c>
    </row>
    <row r="10" ht="35.5" customHeight="1" s="450" thickBot="1">
      <c r="A10" s="228" t="n"/>
      <c r="B10" s="283" t="n"/>
      <c r="C10" s="320">
        <f>C9/H65</f>
        <v/>
      </c>
      <c r="D10" s="284" t="n"/>
      <c r="E10" s="251" t="n"/>
      <c r="F10" s="284" t="n"/>
      <c r="G10" s="284" t="n"/>
      <c r="H10" s="578" t="n"/>
      <c r="I10" s="578" t="n"/>
      <c r="J10" s="227" t="n"/>
    </row>
    <row r="11" ht="35.5" customHeight="1" s="450" thickBot="1">
      <c r="A11" s="229" t="inlineStr">
        <is>
          <t>II) RAW MATERIAL COST :</t>
        </is>
      </c>
      <c r="B11" s="230" t="n"/>
      <c r="C11" s="230" t="n"/>
      <c r="D11" s="252" t="n"/>
      <c r="E11" s="252" t="n"/>
      <c r="F11" s="252" t="n"/>
      <c r="G11" s="252" t="n"/>
      <c r="H11" s="579" t="n"/>
      <c r="I11" s="579" t="n"/>
      <c r="J11" s="312" t="inlineStr">
        <is>
          <t>FACTORS</t>
        </is>
      </c>
    </row>
    <row r="12" ht="35.5" customHeight="1" s="450" thickBot="1">
      <c r="A12" s="486" t="inlineStr">
        <is>
          <t>S.No.</t>
        </is>
      </c>
      <c r="B12" s="507" t="inlineStr">
        <is>
          <t>SUB PART NAME</t>
        </is>
      </c>
      <c r="C12" s="471" t="inlineStr">
        <is>
          <t>MATERIAL SPEC.</t>
        </is>
      </c>
      <c r="D12" s="486" t="inlineStr">
        <is>
          <t>REMARKS</t>
        </is>
      </c>
      <c r="E12" s="448" t="n"/>
      <c r="F12" s="445" t="inlineStr">
        <is>
          <t xml:space="preserve">RM WEIGHT </t>
        </is>
      </c>
      <c r="G12" s="446" t="inlineStr">
        <is>
          <t>UNIT PRICE</t>
        </is>
      </c>
      <c r="H12" s="580" t="inlineStr">
        <is>
          <t>TOTAL VALUE</t>
        </is>
      </c>
      <c r="I12" s="581" t="n"/>
      <c r="J12" s="235" t="n"/>
    </row>
    <row r="13" ht="35.5" customHeight="1" s="450" thickBot="1">
      <c r="A13" s="488" t="n"/>
      <c r="B13" s="508" t="n"/>
      <c r="C13" s="472" t="n"/>
      <c r="D13" s="509" t="n"/>
      <c r="E13" s="454" t="n"/>
      <c r="F13" s="279" t="inlineStr">
        <is>
          <t>Kg ( 1 )</t>
        </is>
      </c>
      <c r="G13" s="231" t="inlineStr">
        <is>
          <t>Rs/Kg ( 2 )</t>
        </is>
      </c>
      <c r="H13" s="582" t="inlineStr">
        <is>
          <t>Rs.  ( 1X2 )</t>
        </is>
      </c>
      <c r="I13" s="581" t="n"/>
      <c r="J13" s="235" t="n"/>
    </row>
    <row r="14" ht="35.5" customHeight="1" s="450" thickBot="1">
      <c r="A14" s="232" t="n">
        <v>1</v>
      </c>
      <c r="B14" s="233" t="inlineStr">
        <is>
          <t>MOULD BASE</t>
        </is>
      </c>
      <c r="C14" s="465">
        <f>'Mould Costing'!B16</f>
        <v/>
      </c>
      <c r="D14" s="441">
        <f>H14/$H$65</f>
        <v/>
      </c>
      <c r="E14" s="442" t="n"/>
      <c r="F14" s="260">
        <f>'Mould Costing'!K16</f>
        <v/>
      </c>
      <c r="G14" s="260">
        <f>'Mould Costing'!L16</f>
        <v/>
      </c>
      <c r="H14" s="300">
        <f>'Mould Costing'!M16</f>
        <v/>
      </c>
      <c r="I14" s="311">
        <f>H14/$H$28</f>
        <v/>
      </c>
      <c r="J14" s="313" t="inlineStr">
        <is>
          <t>MOULD FLOW</t>
        </is>
      </c>
    </row>
    <row r="15" ht="35.5" customHeight="1" s="450" thickBot="1">
      <c r="A15" s="234" t="n">
        <v>2</v>
      </c>
      <c r="B15" s="235" t="inlineStr">
        <is>
          <t xml:space="preserve">CORE </t>
        </is>
      </c>
      <c r="C15" s="465">
        <f>Table4[[#This Row],[Material]]</f>
        <v/>
      </c>
      <c r="D15" s="441">
        <f>H15/$H$65</f>
        <v/>
      </c>
      <c r="E15" s="442" t="n"/>
      <c r="F15" s="236">
        <f>Table4[[#This Row],[Total weight]]</f>
        <v/>
      </c>
      <c r="G15" s="236">
        <f>Table4[[#This Row],[Price/kg]]</f>
        <v/>
      </c>
      <c r="H15" s="301">
        <f>Table4[[#This Row],[Total Price]]</f>
        <v/>
      </c>
      <c r="I15" s="311">
        <f>H15/$H$28</f>
        <v/>
      </c>
      <c r="J15" s="313" t="inlineStr">
        <is>
          <t>HOT RUNNER</t>
        </is>
      </c>
    </row>
    <row r="16" ht="35.5" customHeight="1" s="450" thickBot="1">
      <c r="A16" s="234" t="n">
        <v>3</v>
      </c>
      <c r="B16" s="235" t="inlineStr">
        <is>
          <t>CAVITY</t>
        </is>
      </c>
      <c r="C16" s="465">
        <f>'Mould Costing'!B14</f>
        <v/>
      </c>
      <c r="D16" s="441">
        <f>H16/$H$65</f>
        <v/>
      </c>
      <c r="E16" s="442" t="n"/>
      <c r="F16" s="236">
        <f>'Mould Costing'!K14</f>
        <v/>
      </c>
      <c r="G16" s="236">
        <f>'Mould Costing'!L14</f>
        <v/>
      </c>
      <c r="H16" s="301">
        <f>'Mould Costing'!M14</f>
        <v/>
      </c>
      <c r="I16" s="311">
        <f>H16/$H$28</f>
        <v/>
      </c>
      <c r="J16" s="313" t="inlineStr">
        <is>
          <t>SERVICE CHARGE</t>
        </is>
      </c>
    </row>
    <row r="17" ht="35.5" customHeight="1" s="450" thickBot="1">
      <c r="A17" s="234" t="n">
        <v>4</v>
      </c>
      <c r="B17" s="237" t="inlineStr">
        <is>
          <t>ELECTRODES</t>
        </is>
      </c>
      <c r="C17" s="436">
        <f>'Mould Costing'!B17</f>
        <v/>
      </c>
      <c r="D17" s="441">
        <f>H17/$H$65</f>
        <v/>
      </c>
      <c r="E17" s="442" t="n"/>
      <c r="F17" s="236">
        <f>'Mould Costing'!K17+'Mould Costing'!K18</f>
        <v/>
      </c>
      <c r="G17" s="236">
        <f>'Mould Costing'!L17</f>
        <v/>
      </c>
      <c r="H17" s="301">
        <f>'Mould Costing'!M17+'Mould Costing'!M18</f>
        <v/>
      </c>
      <c r="I17" s="311">
        <f>H17/$H$28</f>
        <v/>
      </c>
      <c r="J17" s="313" t="inlineStr">
        <is>
          <t>TEXTURING</t>
        </is>
      </c>
    </row>
    <row r="18" ht="35.5" customHeight="1" s="450" thickBot="1">
      <c r="A18" s="234" t="n">
        <v>5</v>
      </c>
      <c r="B18" s="235" t="inlineStr">
        <is>
          <t>SPACER BLOCK</t>
        </is>
      </c>
      <c r="C18" s="436">
        <f>'Mould Costing'!B11</f>
        <v/>
      </c>
      <c r="D18" s="441">
        <f>H18/$H$65</f>
        <v/>
      </c>
      <c r="E18" s="442" t="n"/>
      <c r="F18" s="236">
        <f>'Mould Costing'!K11</f>
        <v/>
      </c>
      <c r="G18" s="236">
        <f>'Mould Costing'!L11</f>
        <v/>
      </c>
      <c r="H18" s="301">
        <f>'Mould Costing'!M11</f>
        <v/>
      </c>
      <c r="I18" s="311">
        <f>H18/$H$28</f>
        <v/>
      </c>
      <c r="J18" s="313" t="inlineStr">
        <is>
          <t>DIMENSION CHANGE</t>
        </is>
      </c>
    </row>
    <row r="19" ht="35.5" customHeight="1" s="450" thickBot="1">
      <c r="A19" s="234" t="n">
        <v>6</v>
      </c>
      <c r="B19" s="235" t="inlineStr">
        <is>
          <t>EJECTOR PLATE</t>
        </is>
      </c>
      <c r="C19" s="465">
        <f>'Mould Costing'!B12</f>
        <v/>
      </c>
      <c r="D19" s="441">
        <f>H19/$H$65</f>
        <v/>
      </c>
      <c r="E19" s="442" t="n"/>
      <c r="F19" s="236">
        <f>'Mould Costing'!K12+'Mould Costing'!K13</f>
        <v/>
      </c>
      <c r="G19" s="236">
        <f>'Mould Costing'!L12+'Mould Costing'!L13</f>
        <v/>
      </c>
      <c r="H19" s="583">
        <f>F19*G19</f>
        <v/>
      </c>
      <c r="I19" s="311">
        <f>H19/$H$28</f>
        <v/>
      </c>
      <c r="J19" s="313" t="n"/>
    </row>
    <row r="20" ht="35.5" customHeight="1" s="450" thickBot="1">
      <c r="A20" s="234" t="n">
        <v>7</v>
      </c>
      <c r="B20" s="235" t="inlineStr">
        <is>
          <t>OTHER PARTS</t>
        </is>
      </c>
      <c r="C20" s="436" t="inlineStr">
        <is>
          <t>-</t>
        </is>
      </c>
      <c r="D20" s="441">
        <f>H20/$H$65</f>
        <v/>
      </c>
      <c r="E20" s="442" t="n"/>
      <c r="F20" s="436" t="n"/>
      <c r="G20" s="436" t="n"/>
      <c r="H20" s="583">
        <f>'Mould Costing'!M19:M21</f>
        <v/>
      </c>
      <c r="I20" s="311">
        <f>H20/$H$28</f>
        <v/>
      </c>
      <c r="J20" s="313" t="n"/>
    </row>
    <row r="21" ht="35.5" customHeight="1" s="450" thickBot="1">
      <c r="A21" s="234" t="n">
        <v>8</v>
      </c>
      <c r="B21" s="235" t="inlineStr">
        <is>
          <t>STANDARD ITEMS</t>
        </is>
      </c>
      <c r="C21" s="436" t="inlineStr">
        <is>
          <t>-</t>
        </is>
      </c>
      <c r="D21" s="441">
        <f>H21/$H$65</f>
        <v/>
      </c>
      <c r="E21" s="442" t="n"/>
      <c r="F21" s="436" t="n"/>
      <c r="G21" s="436" t="n"/>
      <c r="H21" s="583">
        <f>'Mould Costing'!K50</f>
        <v/>
      </c>
      <c r="I21" s="302">
        <f>H21/$H$28</f>
        <v/>
      </c>
      <c r="J21" s="285" t="n"/>
    </row>
    <row r="22" ht="35.5" customHeight="1" s="450" thickBot="1">
      <c r="A22" s="234" t="n">
        <v>9</v>
      </c>
      <c r="B22" s="235" t="inlineStr">
        <is>
          <t>TEXTURING</t>
        </is>
      </c>
      <c r="C22" s="436" t="n"/>
      <c r="D22" s="441">
        <f>H22/$H$65</f>
        <v/>
      </c>
      <c r="E22" s="442" t="n"/>
      <c r="F22" s="436" t="n"/>
      <c r="G22" s="436" t="n"/>
      <c r="H22" s="583">
        <f>'Mould Costing'!L98</f>
        <v/>
      </c>
      <c r="I22" s="302">
        <f>H22/$H$28</f>
        <v/>
      </c>
      <c r="J22" s="227" t="n"/>
    </row>
    <row r="23" ht="35.5" customHeight="1" s="450" thickBot="1">
      <c r="A23" s="234" t="n">
        <v>10</v>
      </c>
      <c r="B23" s="237" t="inlineStr">
        <is>
          <t>CLAMPING PLATE</t>
        </is>
      </c>
      <c r="C23" s="436">
        <f>'Mould Costing'!B9</f>
        <v/>
      </c>
      <c r="D23" s="441">
        <f>H23/$H$65</f>
        <v/>
      </c>
      <c r="E23" s="442" t="n"/>
      <c r="F23" s="236">
        <f>'Mould Costing'!K9+'Mould Costing'!K10</f>
        <v/>
      </c>
      <c r="G23" s="236">
        <f>'Mould Costing'!L9+'Mould Costing'!L10</f>
        <v/>
      </c>
      <c r="H23" s="584">
        <f>'Mould Costing'!M9+'Mould Costing'!M10</f>
        <v/>
      </c>
      <c r="I23" s="302">
        <f>H23/$H$28</f>
        <v/>
      </c>
      <c r="J23" s="227" t="n"/>
    </row>
    <row r="24" ht="35.5" customHeight="1" s="450" thickBot="1">
      <c r="A24" s="234" t="n">
        <v>11</v>
      </c>
      <c r="B24" s="237" t="inlineStr">
        <is>
          <t>HRS</t>
        </is>
      </c>
      <c r="C24" s="436" t="n"/>
      <c r="D24" s="441">
        <f>H24/$H$65</f>
        <v/>
      </c>
      <c r="E24" s="442" t="n"/>
      <c r="F24" s="436" t="n"/>
      <c r="G24" s="436" t="n"/>
      <c r="H24" s="583">
        <f>IF('Mould Costing'!K97,H7,0)</f>
        <v/>
      </c>
      <c r="I24" s="302">
        <f>H24/$H$28</f>
        <v/>
      </c>
      <c r="J24" s="238" t="n"/>
    </row>
    <row r="25" ht="35.5" customHeight="1" s="450" thickBot="1">
      <c r="A25" s="234" t="n">
        <v>12</v>
      </c>
      <c r="B25" s="239" t="inlineStr">
        <is>
          <t>HARDENING + POLISHING</t>
        </is>
      </c>
      <c r="C25" s="456" t="n"/>
      <c r="D25" s="441">
        <f>H25/$H$65</f>
        <v/>
      </c>
      <c r="E25" s="442" t="n"/>
      <c r="F25" s="456" t="n"/>
      <c r="G25" s="456" t="n"/>
      <c r="H25" s="583">
        <f>'Mould Costing'!K89</f>
        <v/>
      </c>
      <c r="I25" s="302">
        <f>H25/$H$28</f>
        <v/>
      </c>
      <c r="J25" s="238" t="n"/>
    </row>
    <row r="26" ht="35.5" customHeight="1" s="450" thickBot="1">
      <c r="A26" s="234" t="n"/>
      <c r="B26" s="239" t="n"/>
      <c r="C26" s="456" t="n"/>
      <c r="D26" s="441" t="n"/>
      <c r="E26" s="442" t="n"/>
      <c r="F26" s="456" t="n"/>
      <c r="G26" s="456" t="n"/>
      <c r="H26" s="583" t="n"/>
      <c r="I26" s="585" t="n"/>
      <c r="J26" s="238" t="n"/>
    </row>
    <row r="27" ht="35.5" customHeight="1" s="450" thickBot="1">
      <c r="A27" s="248" t="n"/>
      <c r="B27" s="239" t="n"/>
      <c r="C27" s="456" t="n"/>
      <c r="D27" s="473" t="n"/>
      <c r="E27" s="442" t="n"/>
      <c r="F27" s="241" t="n"/>
      <c r="G27" s="456" t="n"/>
      <c r="H27" s="586" t="n"/>
      <c r="I27" s="587" t="n"/>
      <c r="J27" s="227" t="n"/>
    </row>
    <row r="28" ht="35.5" customHeight="1" s="450" thickBot="1">
      <c r="A28" s="489" t="n"/>
      <c r="B28" s="490" t="n"/>
      <c r="C28" s="490" t="n"/>
      <c r="D28" s="490" t="n"/>
      <c r="E28" s="490" t="n"/>
      <c r="F28" s="491" t="n"/>
      <c r="G28" s="242" t="inlineStr">
        <is>
          <t>TOTAL IN Rs.</t>
        </is>
      </c>
      <c r="H28" s="588">
        <f>SUM(H14:H27)</f>
        <v/>
      </c>
      <c r="I28" s="303">
        <f>SUM(I14:I27)</f>
        <v/>
      </c>
      <c r="J28" s="243" t="inlineStr">
        <is>
          <t xml:space="preserve">         ( B )</t>
        </is>
      </c>
    </row>
    <row r="29" ht="35" customHeight="1" s="450">
      <c r="A29" s="244" t="n"/>
      <c r="B29" s="250" t="n"/>
      <c r="C29" s="250" t="n"/>
      <c r="D29" s="286" t="n"/>
      <c r="E29" s="286" t="n"/>
      <c r="F29" s="284" t="n"/>
      <c r="G29" s="287" t="n"/>
      <c r="H29" s="589" t="n"/>
      <c r="I29" s="589" t="n"/>
      <c r="J29" s="243" t="n"/>
    </row>
    <row r="30" ht="35.5" customHeight="1" s="450" thickBot="1">
      <c r="A30" s="245" t="inlineStr">
        <is>
          <t>III) PROCESS COST :</t>
        </is>
      </c>
      <c r="B30" s="288" t="n"/>
      <c r="C30" s="288" t="n"/>
      <c r="D30" s="288" t="n"/>
      <c r="E30" s="286" t="n"/>
      <c r="F30" s="286" t="n"/>
      <c r="G30" s="286" t="n"/>
      <c r="H30" s="589" t="n"/>
      <c r="I30" s="589" t="n"/>
      <c r="J30" s="227" t="n"/>
    </row>
    <row r="31" ht="35" customHeight="1" s="450">
      <c r="A31" s="486" t="inlineStr">
        <is>
          <t>S.No.</t>
        </is>
      </c>
      <c r="B31" s="446" t="inlineStr">
        <is>
          <t>OPERATION</t>
        </is>
      </c>
      <c r="C31" s="446" t="n"/>
      <c r="D31" s="447" t="n"/>
      <c r="E31" s="448" t="n"/>
      <c r="F31" s="514" t="inlineStr">
        <is>
          <t>MACHINE/ MAN HOUR RATE Rs / Hr ( 3 )</t>
        </is>
      </c>
      <c r="G31" s="445" t="inlineStr">
        <is>
          <t>CAVITY</t>
        </is>
      </c>
      <c r="H31" s="442" t="n"/>
      <c r="I31" s="304" t="n"/>
      <c r="J31" s="227" t="n"/>
    </row>
    <row r="32" ht="35" customHeight="1" s="450">
      <c r="A32" s="487" t="n"/>
      <c r="B32" s="497" t="n"/>
      <c r="C32" s="449" t="n"/>
      <c r="E32" s="451" t="n"/>
      <c r="F32" s="497" t="n"/>
      <c r="G32" s="246" t="inlineStr">
        <is>
          <t>TIME REQD.</t>
        </is>
      </c>
      <c r="H32" s="590" t="inlineStr">
        <is>
          <t>TOTAL COST</t>
        </is>
      </c>
      <c r="I32" s="591" t="n"/>
      <c r="J32" s="227" t="n"/>
    </row>
    <row r="33" ht="35.5" customHeight="1" s="450" thickBot="1">
      <c r="A33" s="488" t="n"/>
      <c r="B33" s="498" t="n"/>
      <c r="C33" s="452" t="n"/>
      <c r="D33" s="453" t="n"/>
      <c r="E33" s="454" t="n"/>
      <c r="F33" s="498" t="n"/>
      <c r="G33" s="247" t="inlineStr">
        <is>
          <t xml:space="preserve"> Hr ( 5 )</t>
        </is>
      </c>
      <c r="H33" s="592" t="inlineStr">
        <is>
          <t xml:space="preserve"> Rs ( 3X5 )</t>
        </is>
      </c>
      <c r="I33" s="593" t="n"/>
      <c r="J33" s="227" t="n"/>
    </row>
    <row r="34" ht="35" customHeight="1" s="450">
      <c r="A34" s="234" t="n">
        <v>1</v>
      </c>
      <c r="B34" s="280" t="inlineStr">
        <is>
          <t>Conv Milling - Facing</t>
        </is>
      </c>
      <c r="C34" s="438">
        <f>H34/$H$65</f>
        <v/>
      </c>
      <c r="D34" s="439" t="n"/>
      <c r="E34" s="437" t="n"/>
      <c r="F34" s="294">
        <f>'Mould Costing'!$B$81</f>
        <v/>
      </c>
      <c r="G34" s="594">
        <f>'Mould Costing'!B$80</f>
        <v/>
      </c>
      <c r="H34" s="595">
        <f>F34*G34*'Mould Costing'!$C$83</f>
        <v/>
      </c>
      <c r="I34" s="305">
        <f>H34/$H$50</f>
        <v/>
      </c>
      <c r="J34" s="227" t="n"/>
    </row>
    <row r="35" ht="35" customHeight="1" s="450">
      <c r="A35" s="289" t="n">
        <v>2</v>
      </c>
      <c r="B35" s="281" t="inlineStr">
        <is>
          <t>Conv Milling - End Milling</t>
        </is>
      </c>
      <c r="C35" s="438">
        <f>H35/$H$65</f>
        <v/>
      </c>
      <c r="D35" s="439" t="n"/>
      <c r="E35" s="437" t="n"/>
      <c r="F35" s="294">
        <f>'Mould Costing'!$C$81</f>
        <v/>
      </c>
      <c r="G35" s="594">
        <f>'Mould Costing'!C$80</f>
        <v/>
      </c>
      <c r="H35" s="595">
        <f>F35*G35*'Mould Costing'!$C$83</f>
        <v/>
      </c>
      <c r="I35" s="596">
        <f>H35/$H$50</f>
        <v/>
      </c>
      <c r="J35" s="227" t="n"/>
    </row>
    <row r="36" ht="35" customHeight="1" s="450">
      <c r="A36" s="289" t="n">
        <v>3</v>
      </c>
      <c r="B36" s="281" t="inlineStr">
        <is>
          <t>Conv Lathe - Facing / Turning</t>
        </is>
      </c>
      <c r="C36" s="438">
        <f>H36/$H$65</f>
        <v/>
      </c>
      <c r="D36" s="439" t="n"/>
      <c r="E36" s="437" t="n"/>
      <c r="F36" s="294">
        <f>'Mould Costing'!$D$81</f>
        <v/>
      </c>
      <c r="G36" s="594">
        <f>'Mould Costing'!D$80</f>
        <v/>
      </c>
      <c r="H36" s="595">
        <f>F36*G36*'Mould Costing'!$C$83</f>
        <v/>
      </c>
      <c r="I36" s="596">
        <f>H36/$H$50</f>
        <v/>
      </c>
      <c r="J36" s="512" t="n"/>
    </row>
    <row r="37" ht="35" customHeight="1" s="450">
      <c r="A37" s="289" t="n">
        <v>4</v>
      </c>
      <c r="B37" s="281" t="inlineStr">
        <is>
          <t>Surface Grinding</t>
        </is>
      </c>
      <c r="C37" s="438">
        <f>H37/$H$65</f>
        <v/>
      </c>
      <c r="D37" s="439" t="n"/>
      <c r="E37" s="437" t="n"/>
      <c r="F37" s="294">
        <f>'Mould Costing'!$E$81</f>
        <v/>
      </c>
      <c r="G37" s="594">
        <f>'Mould Costing'!E$80</f>
        <v/>
      </c>
      <c r="H37" s="595">
        <f>F37*G37*'Mould Costing'!$C$83</f>
        <v/>
      </c>
      <c r="I37" s="305">
        <f>H37/$H$50</f>
        <v/>
      </c>
      <c r="J37" s="512" t="n"/>
    </row>
    <row r="38" ht="35" customHeight="1" s="450">
      <c r="A38" s="289" t="n">
        <v>5</v>
      </c>
      <c r="B38" s="281" t="inlineStr">
        <is>
          <t>Cylindrical Grinding</t>
        </is>
      </c>
      <c r="C38" s="438">
        <f>H38/$H$65</f>
        <v/>
      </c>
      <c r="D38" s="439" t="n"/>
      <c r="E38" s="437" t="n"/>
      <c r="F38" s="294">
        <f>'Mould Costing'!$F$81</f>
        <v/>
      </c>
      <c r="G38" s="594">
        <f>'Mould Costing'!F$80</f>
        <v/>
      </c>
      <c r="H38" s="595">
        <f>F38*G38*'Mould Costing'!$C$83</f>
        <v/>
      </c>
      <c r="I38" s="306">
        <f>H38/$H$50</f>
        <v/>
      </c>
      <c r="J38" s="512" t="n"/>
    </row>
    <row r="39" ht="35" customHeight="1" s="450">
      <c r="A39" s="289" t="n">
        <v>6</v>
      </c>
      <c r="B39" s="281" t="inlineStr">
        <is>
          <t>Radial Drilling - Hole drilling</t>
        </is>
      </c>
      <c r="C39" s="438">
        <f>H39/$H$65</f>
        <v/>
      </c>
      <c r="D39" s="439" t="n"/>
      <c r="E39" s="437" t="n"/>
      <c r="F39" s="294">
        <f>'Mould Costing'!$G$81</f>
        <v/>
      </c>
      <c r="G39" s="594">
        <f>'Mould Costing'!G$80</f>
        <v/>
      </c>
      <c r="H39" s="595">
        <f>F39*G39*'Mould Costing'!$C$83</f>
        <v/>
      </c>
      <c r="I39" s="305">
        <f>H39/$H$50</f>
        <v/>
      </c>
      <c r="J39" s="512" t="n"/>
    </row>
    <row r="40" ht="70" customHeight="1" s="450">
      <c r="A40" s="289" t="n">
        <v>7</v>
      </c>
      <c r="B40" s="281" t="inlineStr">
        <is>
          <t>Radial Drilling - Reaming / Tapping</t>
        </is>
      </c>
      <c r="C40" s="438">
        <f>H40/$H$65</f>
        <v/>
      </c>
      <c r="D40" s="439" t="n"/>
      <c r="E40" s="437" t="n"/>
      <c r="F40" s="294">
        <f>'Mould Costing'!$H$81</f>
        <v/>
      </c>
      <c r="G40" s="594">
        <f>'Mould Costing'!H$80</f>
        <v/>
      </c>
      <c r="H40" s="595">
        <f>F40*G40*'Mould Costing'!$C$83</f>
        <v/>
      </c>
      <c r="I40" s="596">
        <f>H40/$H$50</f>
        <v/>
      </c>
      <c r="J40" s="512" t="n"/>
    </row>
    <row r="41" ht="35" customHeight="1" s="450">
      <c r="A41" s="234" t="n">
        <v>8</v>
      </c>
      <c r="B41" s="280" t="inlineStr">
        <is>
          <t>Pillar Drilling</t>
        </is>
      </c>
      <c r="C41" s="438">
        <f>H41/$H$65</f>
        <v/>
      </c>
      <c r="D41" s="439" t="n"/>
      <c r="E41" s="437" t="n"/>
      <c r="F41" s="294">
        <f>'Mould Costing'!$I$81</f>
        <v/>
      </c>
      <c r="G41" s="594">
        <f>'Mould Costing'!I$80</f>
        <v/>
      </c>
      <c r="H41" s="595">
        <f>F41*G41*'Mould Costing'!$C$83</f>
        <v/>
      </c>
      <c r="I41" s="306">
        <f>H41/$H$50</f>
        <v/>
      </c>
      <c r="J41" s="512" t="n"/>
    </row>
    <row r="42" ht="35" customHeight="1" s="450">
      <c r="A42" s="234" t="n">
        <v>9</v>
      </c>
      <c r="B42" s="280" t="inlineStr">
        <is>
          <t>Gun Drilling</t>
        </is>
      </c>
      <c r="C42" s="438">
        <f>H42/$H$65</f>
        <v/>
      </c>
      <c r="D42" s="439" t="n"/>
      <c r="E42" s="437" t="n"/>
      <c r="F42" s="294">
        <f>'Mould Costing'!$J$81</f>
        <v/>
      </c>
      <c r="G42" s="594">
        <f>'Mould Costing'!J$80</f>
        <v/>
      </c>
      <c r="H42" s="595">
        <f>F42*G42*'Mould Costing'!$C$83</f>
        <v/>
      </c>
      <c r="I42" s="597">
        <f>H42/$H$50</f>
        <v/>
      </c>
      <c r="J42" s="512" t="n"/>
    </row>
    <row r="43" ht="35" customHeight="1" s="450">
      <c r="A43" s="234" t="n">
        <v>10</v>
      </c>
      <c r="B43" s="280" t="inlineStr">
        <is>
          <t>NC EDM</t>
        </is>
      </c>
      <c r="C43" s="438">
        <f>H43/$H$65</f>
        <v/>
      </c>
      <c r="D43" s="439" t="n"/>
      <c r="E43" s="437" t="n"/>
      <c r="F43" s="294">
        <f>'Mould Costing'!K$81</f>
        <v/>
      </c>
      <c r="G43" s="594">
        <f>'Mould Costing'!K$80</f>
        <v/>
      </c>
      <c r="H43" s="595">
        <f>F43*G43*'Mould Costing'!$C$83</f>
        <v/>
      </c>
      <c r="I43" s="306">
        <f>H43/$H$50</f>
        <v/>
      </c>
      <c r="J43" s="512" t="n"/>
    </row>
    <row r="44" ht="35" customHeight="1" s="450">
      <c r="A44" s="234" t="n">
        <v>11</v>
      </c>
      <c r="B44" s="280" t="inlineStr">
        <is>
          <t>Wirecut EDM</t>
        </is>
      </c>
      <c r="C44" s="438">
        <f>H44/$H$65</f>
        <v/>
      </c>
      <c r="D44" s="439" t="n"/>
      <c r="E44" s="437" t="n"/>
      <c r="F44" s="294">
        <f>'Mould Costing'!$L$81</f>
        <v/>
      </c>
      <c r="G44" s="594">
        <f>'Mould Costing'!L$80</f>
        <v/>
      </c>
      <c r="H44" s="595">
        <f>F44*G44*'Mould Costing'!$C$83</f>
        <v/>
      </c>
      <c r="I44" s="306">
        <f>H44/$H$50</f>
        <v/>
      </c>
      <c r="J44" s="512" t="n"/>
    </row>
    <row r="45" ht="35" customHeight="1" s="450">
      <c r="A45" s="289" t="n">
        <v>12</v>
      </c>
      <c r="B45" s="281" t="inlineStr">
        <is>
          <t>Jig Boring</t>
        </is>
      </c>
      <c r="C45" s="438">
        <f>H45/$H$65</f>
        <v/>
      </c>
      <c r="D45" s="439" t="n"/>
      <c r="E45" s="437" t="n"/>
      <c r="F45" s="294">
        <f>'Mould Costing'!$M$81</f>
        <v/>
      </c>
      <c r="G45" s="594">
        <f>'Mould Costing'!M$80</f>
        <v/>
      </c>
      <c r="H45" s="595">
        <f>F45*G45*'Mould Costing'!$C$83</f>
        <v/>
      </c>
      <c r="I45" s="306">
        <f>H45/$H$50</f>
        <v/>
      </c>
      <c r="J45" s="512" t="n"/>
    </row>
    <row r="46" ht="35" customHeight="1" s="450">
      <c r="A46" s="289" t="n">
        <v>13</v>
      </c>
      <c r="B46" s="281" t="inlineStr">
        <is>
          <t>CNC Lathe</t>
        </is>
      </c>
      <c r="C46" s="438">
        <f>H46/$H$65</f>
        <v/>
      </c>
      <c r="D46" s="439" t="n"/>
      <c r="E46" s="437" t="n"/>
      <c r="F46" s="294">
        <f>'Mould Costing'!$N$81</f>
        <v/>
      </c>
      <c r="G46" s="594">
        <f>'Mould Costing'!N$80</f>
        <v/>
      </c>
      <c r="H46" s="595">
        <f>F46*G46*'Mould Costing'!$C$83</f>
        <v/>
      </c>
      <c r="I46" s="305">
        <f>H46/$H$50</f>
        <v/>
      </c>
      <c r="J46" s="512" t="n"/>
    </row>
    <row r="47" ht="35" customHeight="1" s="450">
      <c r="A47" s="289" t="n">
        <v>14</v>
      </c>
      <c r="B47" s="281" t="inlineStr">
        <is>
          <t>CNC Milling</t>
        </is>
      </c>
      <c r="C47" s="438">
        <f>H47/$H$65</f>
        <v/>
      </c>
      <c r="D47" s="439" t="n"/>
      <c r="E47" s="437" t="n"/>
      <c r="F47" s="294">
        <f>'Mould Costing'!$O$81</f>
        <v/>
      </c>
      <c r="G47" s="594">
        <f>'Mould Costing'!O$80</f>
        <v/>
      </c>
      <c r="H47" s="595">
        <f>F47*G47*'Mould Costing'!$C$83</f>
        <v/>
      </c>
      <c r="I47" s="305">
        <f>H47/$H$50</f>
        <v/>
      </c>
      <c r="J47" s="512" t="n"/>
    </row>
    <row r="48" ht="35" customHeight="1" s="450">
      <c r="A48" s="289" t="n">
        <v>15</v>
      </c>
      <c r="B48" s="281" t="inlineStr">
        <is>
          <t>CNC EDM</t>
        </is>
      </c>
      <c r="C48" s="438">
        <f>H48/$H$65</f>
        <v/>
      </c>
      <c r="D48" s="439" t="n"/>
      <c r="E48" s="437" t="n"/>
      <c r="F48" s="294">
        <f>'Mould Costing'!$P$81</f>
        <v/>
      </c>
      <c r="G48" s="594">
        <f>'Mould Costing'!P$80</f>
        <v/>
      </c>
      <c r="H48" s="595">
        <f>F48*G48*'Mould Costing'!$C$83</f>
        <v/>
      </c>
      <c r="I48" s="305">
        <f>H48/$H$50</f>
        <v/>
      </c>
      <c r="J48" s="512" t="n"/>
    </row>
    <row r="49" ht="35.5" customHeight="1" s="450" thickBot="1">
      <c r="A49" s="289" t="n">
        <v>16</v>
      </c>
      <c r="B49" s="281" t="inlineStr">
        <is>
          <t>Bench Work</t>
        </is>
      </c>
      <c r="C49" s="438">
        <f>H49/$H$65</f>
        <v/>
      </c>
      <c r="D49" s="439" t="n"/>
      <c r="E49" s="437" t="n"/>
      <c r="F49" s="294">
        <f>'Mould Costing'!$Q$81</f>
        <v/>
      </c>
      <c r="G49" s="594">
        <f>'Mould Costing'!Q$80</f>
        <v/>
      </c>
      <c r="H49" s="595">
        <f>F49*G49*'Mould Costing'!$C$83</f>
        <v/>
      </c>
      <c r="I49" s="306">
        <f>H49/$H$50</f>
        <v/>
      </c>
      <c r="J49" s="512" t="n"/>
    </row>
    <row r="50" ht="35.5" customHeight="1" s="450" thickBot="1">
      <c r="A50" s="443" t="inlineStr">
        <is>
          <t>TOTAL IN Rs.</t>
        </is>
      </c>
      <c r="B50" s="444" t="n"/>
      <c r="C50" s="444" t="n"/>
      <c r="D50" s="444" t="n"/>
      <c r="E50" s="335" t="n"/>
      <c r="F50" s="598" t="n"/>
      <c r="G50" s="598">
        <f>SUM(G34:G49)</f>
        <v/>
      </c>
      <c r="H50" s="599">
        <f>SUM(H34:H49)</f>
        <v/>
      </c>
      <c r="I50" s="600" t="n"/>
      <c r="J50" s="227" t="n"/>
    </row>
    <row r="51" ht="35" customHeight="1" s="450">
      <c r="A51" s="244" t="n"/>
      <c r="B51" s="250" t="n"/>
      <c r="C51" s="250" t="n"/>
      <c r="D51" s="286" t="n"/>
      <c r="E51" s="286" t="n"/>
      <c r="F51" s="286" t="n"/>
      <c r="G51" s="286" t="n"/>
      <c r="H51" s="589" t="n"/>
      <c r="I51" s="589" t="n"/>
      <c r="J51" s="227" t="n"/>
    </row>
    <row r="52" ht="35" customHeight="1" s="450">
      <c r="A52" s="245" t="inlineStr">
        <is>
          <t xml:space="preserve">TOTAL PROCESS COST :-                                                            </t>
        </is>
      </c>
      <c r="B52" s="290" t="n"/>
      <c r="C52" s="290" t="n"/>
      <c r="D52" s="251" t="n"/>
      <c r="E52" s="251" t="n"/>
      <c r="F52" s="287" t="n"/>
      <c r="G52" s="251" t="n"/>
      <c r="H52" s="601">
        <f>H50</f>
        <v/>
      </c>
      <c r="I52" s="601" t="n"/>
      <c r="J52" s="243" t="inlineStr">
        <is>
          <t xml:space="preserve">         ( C )</t>
        </is>
      </c>
    </row>
    <row r="53" ht="35" customHeight="1" s="450">
      <c r="A53" s="228" t="n"/>
      <c r="B53" s="290" t="n"/>
      <c r="C53" s="290" t="n"/>
      <c r="D53" s="287" t="n"/>
      <c r="E53" s="287" t="n"/>
      <c r="F53" s="287" t="n"/>
      <c r="G53" s="287" t="n"/>
      <c r="H53" s="601" t="n"/>
      <c r="I53" s="601" t="n"/>
      <c r="J53" s="227" t="n"/>
    </row>
    <row r="54" ht="35" customHeight="1" s="450">
      <c r="A54" s="245" t="inlineStr">
        <is>
          <t>IV) PROFIT &amp; OVERHEADS COST :</t>
        </is>
      </c>
      <c r="B54" s="288" t="n"/>
      <c r="C54" s="288" t="n"/>
      <c r="D54" s="286" t="n"/>
      <c r="E54" s="286" t="n"/>
      <c r="F54" s="286" t="n"/>
      <c r="G54" s="286" t="n"/>
      <c r="H54" s="589" t="n"/>
      <c r="I54" s="589" t="n"/>
      <c r="J54" s="227" t="n"/>
    </row>
    <row r="55" ht="35.5" customHeight="1" s="450" thickBot="1">
      <c r="A55" s="228" t="n"/>
      <c r="B55" s="250" t="n"/>
      <c r="C55" s="250" t="n"/>
      <c r="D55" s="286" t="n"/>
      <c r="E55" s="286" t="n"/>
      <c r="F55" s="286" t="n"/>
      <c r="G55" s="286" t="n"/>
      <c r="H55" s="589" t="n"/>
      <c r="I55" s="589" t="n"/>
      <c r="J55" s="227" t="n"/>
    </row>
    <row r="56" ht="35.5" customHeight="1" s="450" thickBot="1">
      <c r="A56" s="494" t="n"/>
      <c r="B56" s="495" t="n"/>
      <c r="C56" s="496" t="inlineStr">
        <is>
          <t>REMARKS</t>
        </is>
      </c>
      <c r="D56" s="485" t="n"/>
      <c r="E56" s="504" t="inlineStr">
        <is>
          <t xml:space="preserve">       %AGE RATE </t>
        </is>
      </c>
      <c r="F56" s="490" t="n"/>
      <c r="G56" s="505" t="inlineStr">
        <is>
          <t xml:space="preserve">TOTAL COST </t>
        </is>
      </c>
      <c r="H56" s="485" t="n"/>
      <c r="I56" s="244" t="n"/>
      <c r="J56" s="227" t="n"/>
    </row>
    <row r="57" ht="35" customHeight="1" s="450">
      <c r="A57" s="465" t="inlineStr">
        <is>
          <t>Material Movement &amp; Mold Forwarding</t>
        </is>
      </c>
      <c r="B57" s="454" t="n"/>
      <c r="C57" s="465" t="n"/>
      <c r="D57" s="454" t="n"/>
      <c r="E57" s="503" t="n"/>
      <c r="F57" s="454" t="n"/>
      <c r="G57" s="602">
        <f>'Mould Costing'!L96</f>
        <v/>
      </c>
      <c r="H57" s="454" t="n"/>
      <c r="I57" s="603" t="n"/>
      <c r="J57" s="227" t="n"/>
    </row>
    <row r="58" ht="35" customHeight="1" s="450">
      <c r="A58" s="436" t="inlineStr">
        <is>
          <t>SERVICE CHARGE</t>
        </is>
      </c>
      <c r="B58" s="437" t="n"/>
      <c r="C58" s="436" t="n"/>
      <c r="D58" s="437" t="n"/>
      <c r="E58" s="468" t="n"/>
      <c r="F58" s="437" t="n"/>
      <c r="G58" s="604">
        <f>'Mould Costing'!L99</f>
        <v/>
      </c>
      <c r="H58" s="437" t="n"/>
      <c r="I58" s="603" t="n"/>
      <c r="J58" s="227" t="n"/>
    </row>
    <row r="59" ht="35" customHeight="1" s="450">
      <c r="A59" s="436" t="inlineStr">
        <is>
          <t>PROFIT &amp; OVERHEADS</t>
        </is>
      </c>
      <c r="B59" s="437" t="n"/>
      <c r="C59" s="436" t="n"/>
      <c r="D59" s="437" t="n"/>
      <c r="E59" s="468" t="n"/>
      <c r="F59" s="437" t="n"/>
      <c r="G59" s="605">
        <f>'Mould Costing'!L95</f>
        <v/>
      </c>
      <c r="H59" s="437" t="n"/>
      <c r="I59" s="606" t="n"/>
      <c r="J59" s="227" t="n"/>
    </row>
    <row r="60" ht="35.5" customHeight="1" s="450" thickBot="1">
      <c r="A60" s="466" t="n"/>
      <c r="B60" s="240" t="n"/>
      <c r="C60" s="240" t="n"/>
      <c r="D60" s="456" t="n"/>
      <c r="E60" s="456" t="n"/>
      <c r="F60" s="457" t="n"/>
      <c r="G60" s="466" t="n"/>
      <c r="H60" s="457" t="n"/>
      <c r="I60" s="299" t="n"/>
      <c r="J60" s="238" t="n"/>
    </row>
    <row r="61" ht="35.5" customHeight="1" s="450" thickBot="1">
      <c r="A61" s="334" t="n"/>
      <c r="B61" s="293" t="n"/>
      <c r="C61" s="293" t="n"/>
      <c r="D61" s="504" t="n"/>
      <c r="E61" s="502" t="inlineStr">
        <is>
          <t>TOTAL IN Rs.</t>
        </is>
      </c>
      <c r="F61" s="485" t="n"/>
      <c r="G61" s="607">
        <f>+G57+G58+G59</f>
        <v/>
      </c>
      <c r="H61" s="485" t="n"/>
      <c r="I61" s="608" t="n"/>
      <c r="J61" s="243" t="inlineStr">
        <is>
          <t xml:space="preserve">         ( D )</t>
        </is>
      </c>
    </row>
    <row r="62" ht="35.5" customHeight="1" s="450" thickBot="1">
      <c r="A62" s="244" t="n"/>
      <c r="B62" s="250" t="n"/>
      <c r="C62" s="250" t="n"/>
      <c r="D62" s="284" t="n"/>
      <c r="E62" s="286" t="n"/>
      <c r="F62" s="286" t="n"/>
      <c r="G62" s="286" t="n"/>
      <c r="H62" s="589" t="n"/>
      <c r="I62" s="589" t="n"/>
      <c r="J62" s="227" t="n"/>
    </row>
    <row r="63" ht="35.5" customHeight="1" s="450" thickBot="1">
      <c r="A63" s="245" t="inlineStr">
        <is>
          <t xml:space="preserve">V) OTHER EXPENSES :   Rs.                            </t>
        </is>
      </c>
      <c r="B63" s="283" t="n"/>
      <c r="C63" s="283" t="n"/>
      <c r="D63" s="284" t="n"/>
      <c r="E63" s="291" t="n"/>
      <c r="F63" s="286" t="n"/>
      <c r="G63" s="286" t="n"/>
      <c r="H63" s="609" t="n">
        <v>0</v>
      </c>
      <c r="I63" s="601" t="n"/>
      <c r="J63" s="243" t="inlineStr">
        <is>
          <t xml:space="preserve">         ( E )</t>
        </is>
      </c>
    </row>
    <row r="64" ht="35.5" customHeight="1" s="450" thickBot="1">
      <c r="A64" s="228" t="n"/>
      <c r="B64" s="250" t="n"/>
      <c r="C64" s="250" t="n"/>
      <c r="D64" s="286" t="n"/>
      <c r="E64" s="292" t="n"/>
      <c r="F64" s="286" t="n"/>
      <c r="G64" s="286" t="n"/>
      <c r="H64" s="589" t="n"/>
      <c r="I64" s="589" t="n"/>
      <c r="J64" s="227" t="n"/>
    </row>
    <row r="65" ht="40.5" customHeight="1" s="450">
      <c r="A65" s="492" t="inlineStr">
        <is>
          <t>OVERALL  COST : ( A+B+C+D+E )    -  Rs</t>
        </is>
      </c>
      <c r="B65" s="447" t="n"/>
      <c r="C65" s="447" t="n"/>
      <c r="D65" s="610" t="n"/>
      <c r="E65" s="447" t="n"/>
      <c r="F65" s="447" t="n"/>
      <c r="G65" s="482" t="n"/>
      <c r="H65" s="611">
        <f>C9+H28+H52+G61+H63+F9</f>
        <v/>
      </c>
      <c r="I65" s="612" t="n"/>
      <c r="J65" s="613" t="n"/>
    </row>
    <row r="66" ht="41" customHeight="1" s="450" thickBot="1">
      <c r="A66" s="483" t="n"/>
      <c r="B66" s="444" t="n"/>
      <c r="C66" s="444" t="n"/>
      <c r="D66" s="483" t="n"/>
      <c r="E66" s="444" t="n"/>
      <c r="F66" s="444" t="n"/>
      <c r="G66" s="462" t="n"/>
      <c r="H66" s="462" t="n"/>
      <c r="I66" s="612" t="n"/>
      <c r="J66" s="470" t="n"/>
    </row>
    <row r="67" ht="35" customHeight="1" s="450">
      <c r="A67" s="244" t="n"/>
      <c r="B67" s="250" t="n"/>
      <c r="C67" s="250" t="n"/>
      <c r="D67" s="286" t="n"/>
      <c r="E67" s="286" t="n"/>
      <c r="F67" s="286" t="n"/>
      <c r="G67" s="286" t="n"/>
      <c r="H67" s="589" t="n"/>
      <c r="I67" s="589" t="n"/>
      <c r="J67" s="227" t="n"/>
    </row>
    <row r="68" ht="35" customHeight="1" s="450">
      <c r="A68" s="474" t="inlineStr">
        <is>
          <t xml:space="preserve">( PREPARED BY )  </t>
        </is>
      </c>
      <c r="B68" s="475" t="n"/>
      <c r="C68" s="475" t="n"/>
      <c r="D68" s="476" t="n"/>
      <c r="E68" s="287" t="n"/>
      <c r="F68" s="458" t="inlineStr">
        <is>
          <t xml:space="preserve">( APPROVED BY )  </t>
        </is>
      </c>
      <c r="G68" s="459" t="n"/>
      <c r="H68" s="459" t="n"/>
      <c r="I68" s="459" t="n"/>
      <c r="J68" s="460" t="n"/>
    </row>
    <row r="69" ht="35.5" customHeight="1" s="450" thickBot="1">
      <c r="A69" s="477" t="n"/>
      <c r="B69" s="478" t="n"/>
      <c r="C69" s="478" t="n"/>
      <c r="D69" s="479" t="n"/>
      <c r="E69" s="253" t="n"/>
      <c r="F69" s="461" t="n"/>
      <c r="G69" s="444" t="n"/>
      <c r="H69" s="444" t="n"/>
      <c r="I69" s="444" t="n"/>
      <c r="J69" s="462" t="n"/>
    </row>
  </sheetData>
  <mergeCells count="77">
    <mergeCell ref="D20:E20"/>
    <mergeCell ref="A1:J2"/>
    <mergeCell ref="C44:E44"/>
    <mergeCell ref="F5:H5"/>
    <mergeCell ref="B12:B13"/>
    <mergeCell ref="D12:E13"/>
    <mergeCell ref="C40:E40"/>
    <mergeCell ref="D22:E22"/>
    <mergeCell ref="G57:H57"/>
    <mergeCell ref="A56:B56"/>
    <mergeCell ref="C56:D56"/>
    <mergeCell ref="B31:B33"/>
    <mergeCell ref="H65:H66"/>
    <mergeCell ref="C49:E49"/>
    <mergeCell ref="G58:H58"/>
    <mergeCell ref="C34:E34"/>
    <mergeCell ref="A68:D69"/>
    <mergeCell ref="C42:E42"/>
    <mergeCell ref="D24:E24"/>
    <mergeCell ref="A9:B9"/>
    <mergeCell ref="D26:E26"/>
    <mergeCell ref="A3:B4"/>
    <mergeCell ref="G59:H59"/>
    <mergeCell ref="J4:J8"/>
    <mergeCell ref="A59:B59"/>
    <mergeCell ref="D65:G66"/>
    <mergeCell ref="D19:E19"/>
    <mergeCell ref="G61:H61"/>
    <mergeCell ref="C46:E46"/>
    <mergeCell ref="C39:E39"/>
    <mergeCell ref="D3:D4"/>
    <mergeCell ref="C48:E48"/>
    <mergeCell ref="A31:A33"/>
    <mergeCell ref="C38:E38"/>
    <mergeCell ref="A28:F28"/>
    <mergeCell ref="A65:C66"/>
    <mergeCell ref="F68:J69"/>
    <mergeCell ref="D15:E15"/>
    <mergeCell ref="C3:C4"/>
    <mergeCell ref="C57:D57"/>
    <mergeCell ref="D23:E23"/>
    <mergeCell ref="C35:E35"/>
    <mergeCell ref="G60:H60"/>
    <mergeCell ref="G9:H9"/>
    <mergeCell ref="E58:F58"/>
    <mergeCell ref="C58:D58"/>
    <mergeCell ref="J65:J66"/>
    <mergeCell ref="C36:E36"/>
    <mergeCell ref="A12:A13"/>
    <mergeCell ref="C12:C13"/>
    <mergeCell ref="D27:E27"/>
    <mergeCell ref="D17:E17"/>
    <mergeCell ref="C59:D59"/>
    <mergeCell ref="E59:F59"/>
    <mergeCell ref="C37:E37"/>
    <mergeCell ref="A57:B57"/>
    <mergeCell ref="E61:F61"/>
    <mergeCell ref="D25:E25"/>
    <mergeCell ref="E57:F57"/>
    <mergeCell ref="D14:E14"/>
    <mergeCell ref="E56:F56"/>
    <mergeCell ref="G56:H56"/>
    <mergeCell ref="F31:F33"/>
    <mergeCell ref="C41:E41"/>
    <mergeCell ref="C31:E33"/>
    <mergeCell ref="C43:E43"/>
    <mergeCell ref="D21:E21"/>
    <mergeCell ref="C9:D9"/>
    <mergeCell ref="E60:F60"/>
    <mergeCell ref="D16:E16"/>
    <mergeCell ref="F4:H4"/>
    <mergeCell ref="D18:E18"/>
    <mergeCell ref="A50:D50"/>
    <mergeCell ref="C45:E45"/>
    <mergeCell ref="G31:H31"/>
    <mergeCell ref="A58:B58"/>
    <mergeCell ref="C47:E47"/>
  </mergeCells>
  <pageMargins left="0.25" right="0.25" top="0.75" bottom="0.75" header="0.3" footer="0.3"/>
  <pageSetup orientation="portrait" paperSize="9" scale="20"/>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L34"/>
  <sheetViews>
    <sheetView workbookViewId="0">
      <selection activeCell="N3" sqref="N3:O11"/>
    </sheetView>
  </sheetViews>
  <sheetFormatPr baseColWidth="8" defaultRowHeight="14.5"/>
  <cols>
    <col width="32" customWidth="1" style="450" min="2" max="2"/>
    <col width="10.26953125" bestFit="1" customWidth="1" style="450" min="3" max="3"/>
    <col width="22.7265625" customWidth="1" style="450" min="11" max="11"/>
  </cols>
  <sheetData>
    <row r="1">
      <c r="C1" s="515" t="inlineStr">
        <is>
          <t>Part D. No.</t>
        </is>
      </c>
    </row>
    <row r="2">
      <c r="A2" s="317" t="n"/>
      <c r="B2" s="321" t="inlineStr">
        <is>
          <t>Cost Component</t>
        </is>
      </c>
      <c r="C2" s="321" t="inlineStr">
        <is>
          <t>1</t>
        </is>
      </c>
      <c r="D2" s="321" t="inlineStr">
        <is>
          <t>2</t>
        </is>
      </c>
      <c r="E2" s="321" t="inlineStr">
        <is>
          <t>3</t>
        </is>
      </c>
      <c r="F2" s="321" t="inlineStr">
        <is>
          <t>4</t>
        </is>
      </c>
      <c r="G2" s="321" t="inlineStr">
        <is>
          <t>5</t>
        </is>
      </c>
      <c r="H2" s="321" t="inlineStr">
        <is>
          <t>6</t>
        </is>
      </c>
      <c r="I2" s="321" t="inlineStr">
        <is>
          <t>7</t>
        </is>
      </c>
      <c r="J2" s="321" t="inlineStr">
        <is>
          <t>8</t>
        </is>
      </c>
      <c r="K2" s="323" t="inlineStr">
        <is>
          <t>Average contribution</t>
        </is>
      </c>
    </row>
    <row r="3">
      <c r="B3" s="324" t="inlineStr">
        <is>
          <t xml:space="preserve">CORE </t>
        </is>
      </c>
      <c r="C3" s="325" t="n">
        <v>0.08520767113650109</v>
      </c>
      <c r="D3" s="325" t="n">
        <v>0.08781798983760145</v>
      </c>
      <c r="E3" s="325" t="n">
        <v>0.07306910145947887</v>
      </c>
      <c r="F3" s="325" t="n">
        <v>0.04254390470580331</v>
      </c>
      <c r="G3" s="325" t="n">
        <v>0.04455647308434803</v>
      </c>
      <c r="H3" s="325" t="n">
        <v>0.02898961046367762</v>
      </c>
      <c r="I3" s="325" t="n">
        <v>0.05502300101554636</v>
      </c>
      <c r="J3" s="325">
        <f>DASHBOARD!$D15</f>
        <v/>
      </c>
      <c r="K3" s="326">
        <f>AVERAGE(C3:J3)</f>
        <v/>
      </c>
    </row>
    <row r="4">
      <c r="B4" s="324" t="inlineStr">
        <is>
          <t>CAVITY</t>
        </is>
      </c>
      <c r="C4" s="325" t="n">
        <v>0.08206721782594839</v>
      </c>
      <c r="D4" s="325" t="n">
        <v>0.08371250700843305</v>
      </c>
      <c r="E4" s="325" t="n">
        <v>0.07106097701899917</v>
      </c>
      <c r="F4" s="325" t="n">
        <v>0.04157119967342349</v>
      </c>
      <c r="G4" s="325" t="n">
        <v>0.04337429767167109</v>
      </c>
      <c r="H4" s="325" t="n">
        <v>0.02824512529904441</v>
      </c>
      <c r="I4" s="325" t="n">
        <v>0.05345360881044475</v>
      </c>
      <c r="J4" s="325">
        <f>DASHBOARD!$D16</f>
        <v/>
      </c>
      <c r="K4" s="326">
        <f>AVERAGE(C4:J4)</f>
        <v/>
      </c>
    </row>
    <row r="5">
      <c r="B5" s="324" t="inlineStr">
        <is>
          <t>MOULD BASE</t>
        </is>
      </c>
      <c r="C5" s="325" t="n">
        <v>0.06480510607551018</v>
      </c>
      <c r="D5" s="325" t="n">
        <v>0.06649503261647234</v>
      </c>
      <c r="E5" s="325" t="n">
        <v>0.05580591114080724</v>
      </c>
      <c r="F5" s="325" t="n">
        <v>0.0325593542458926</v>
      </c>
      <c r="G5" s="325" t="n">
        <v>0.03404402836674388</v>
      </c>
      <c r="H5" s="325" t="n">
        <v>0.02215832461206797</v>
      </c>
      <c r="I5" s="325" t="n">
        <v>0.04200390124293909</v>
      </c>
      <c r="J5" s="325">
        <f>DASHBOARD!$D14</f>
        <v/>
      </c>
      <c r="K5" s="326">
        <f>AVERAGE(C5:J5)</f>
        <v/>
      </c>
    </row>
    <row r="6">
      <c r="B6" s="324" t="inlineStr">
        <is>
          <t>HRS</t>
        </is>
      </c>
      <c r="C6" s="325" t="n">
        <v>0</v>
      </c>
      <c r="D6" s="325" t="n">
        <v>0.0622815800966692</v>
      </c>
      <c r="E6" s="325" t="n">
        <v>0</v>
      </c>
      <c r="F6" s="325" t="n">
        <v>0</v>
      </c>
      <c r="G6" s="325" t="n">
        <v>0.08587609051547263</v>
      </c>
      <c r="H6" s="325" t="n">
        <v>0.08396359696138533</v>
      </c>
      <c r="I6" s="325" t="n">
        <v>0</v>
      </c>
      <c r="J6" s="325">
        <f>DASHBOARD!$D24</f>
        <v/>
      </c>
      <c r="K6" s="326">
        <f>AVERAGE(C6:J6)</f>
        <v/>
      </c>
    </row>
    <row r="7">
      <c r="B7" s="324" t="inlineStr">
        <is>
          <t>SPACER BLOCK</t>
        </is>
      </c>
      <c r="C7" s="325" t="n">
        <v>0.0388341779753324</v>
      </c>
      <c r="D7" s="325" t="n">
        <v>0.04023833358986414</v>
      </c>
      <c r="E7" s="325" t="n">
        <v>0.03446340675975635</v>
      </c>
      <c r="F7" s="325" t="n">
        <v>0.01967361517090311</v>
      </c>
      <c r="G7" s="325" t="n">
        <v>0.01905817325436259</v>
      </c>
      <c r="H7" s="325" t="n">
        <v>0.01233361867970357</v>
      </c>
      <c r="I7" s="325" t="n">
        <v>0.01939032929849815</v>
      </c>
      <c r="J7" s="325">
        <f>DASHBOARD!$D18</f>
        <v/>
      </c>
      <c r="K7" s="326">
        <f>AVERAGE(C7:J7)</f>
        <v/>
      </c>
    </row>
    <row r="8">
      <c r="B8" s="324" t="inlineStr">
        <is>
          <t>EJECTOR PLATE</t>
        </is>
      </c>
      <c r="C8" s="325" t="n">
        <v>0.01231560577539431</v>
      </c>
      <c r="D8" s="325" t="n">
        <v>0.01704179276251119</v>
      </c>
      <c r="E8" s="325" t="n">
        <v>0.002151912581086839</v>
      </c>
      <c r="F8" s="325" t="n">
        <v>0.0004779437643632796</v>
      </c>
      <c r="G8" s="325" t="n">
        <v>0.02368024080182317</v>
      </c>
      <c r="H8" s="325" t="n">
        <v>0.01799242766156354</v>
      </c>
      <c r="I8" s="325" t="n">
        <v>0.04940801368964202</v>
      </c>
      <c r="J8" s="325">
        <f>DASHBOARD!$D19</f>
        <v/>
      </c>
      <c r="K8" s="326">
        <f>AVERAGE(C8:J8)</f>
        <v/>
      </c>
    </row>
    <row r="9">
      <c r="B9" s="324" t="inlineStr">
        <is>
          <t>CLAMPING PLATE</t>
        </is>
      </c>
      <c r="C9" s="325" t="n">
        <v>0.01922192181422332</v>
      </c>
      <c r="D9" s="325" t="n">
        <v>0.009914728889692385</v>
      </c>
      <c r="E9" s="325" t="n">
        <v>0.02377379827016746</v>
      </c>
      <c r="F9" s="325" t="n">
        <v>0.01848379096984729</v>
      </c>
      <c r="G9" s="325" t="n">
        <v>0.01311518591249983</v>
      </c>
      <c r="H9" s="325" t="n">
        <v>0.01098391217282513</v>
      </c>
      <c r="I9" s="325" t="n">
        <v>0.01825656958870563</v>
      </c>
      <c r="J9" s="325">
        <f>DASHBOARD!$D23</f>
        <v/>
      </c>
      <c r="K9" s="326">
        <f>AVERAGE(C9:J9)</f>
        <v/>
      </c>
    </row>
    <row r="10">
      <c r="B10" s="324" t="inlineStr">
        <is>
          <t>STANDARD ITEMS</t>
        </is>
      </c>
      <c r="C10" s="325" t="n">
        <v>0.01161452030926423</v>
      </c>
      <c r="D10" s="325" t="n">
        <v>0.001899902746383242</v>
      </c>
      <c r="E10" s="325" t="n">
        <v>0.01805608764145701</v>
      </c>
      <c r="F10" s="325" t="n">
        <v>0.02565176706676707</v>
      </c>
      <c r="G10" s="325" t="n">
        <v>0.01080607472319697</v>
      </c>
      <c r="H10" s="325" t="n">
        <v>0.01056541928430765</v>
      </c>
      <c r="I10" s="325" t="n">
        <v>0.00857728608510174</v>
      </c>
      <c r="J10" s="325">
        <f>DASHBOARD!$D21</f>
        <v/>
      </c>
      <c r="K10" s="326">
        <f>AVERAGE(C10:J10)</f>
        <v/>
      </c>
    </row>
    <row r="11">
      <c r="B11" s="324" t="inlineStr">
        <is>
          <t>TEXTURING</t>
        </is>
      </c>
      <c r="C11" s="325" t="n">
        <v>0.009230082364978194</v>
      </c>
      <c r="D11" s="325" t="n">
        <v>0.001509856487191981</v>
      </c>
      <c r="E11" s="325" t="n">
        <v>0.02049886960241098</v>
      </c>
      <c r="F11" s="325" t="n">
        <v>0.02038551025173542</v>
      </c>
      <c r="G11" s="325" t="n">
        <v>0.008587609051547263</v>
      </c>
      <c r="H11" s="325" t="n">
        <v>0.008396359696138533</v>
      </c>
      <c r="I11" s="325" t="n">
        <v>0.006816386292796085</v>
      </c>
      <c r="J11" s="325">
        <f>DASHBOARD!$D22</f>
        <v/>
      </c>
      <c r="K11" s="326">
        <f>AVERAGE(C11:J11)</f>
        <v/>
      </c>
    </row>
    <row r="12">
      <c r="B12" s="324" t="inlineStr">
        <is>
          <t>HARDENING + POLISHING</t>
        </is>
      </c>
      <c r="C12" s="325" t="n">
        <v>0.006553358479134517</v>
      </c>
      <c r="D12" s="325" t="n">
        <v>0.001977916969231335</v>
      </c>
      <c r="E12" s="325" t="n">
        <v>0.01018793819239826</v>
      </c>
      <c r="F12" s="325" t="n">
        <v>0.01447371227873215</v>
      </c>
      <c r="G12" s="325" t="n">
        <v>0.008777795620293563</v>
      </c>
      <c r="H12" s="325" t="n">
        <v>0.01099925884588448</v>
      </c>
      <c r="I12" s="325" t="n">
        <v>0.006967346252954336</v>
      </c>
      <c r="J12" s="325">
        <f>DASHBOARD!$D25</f>
        <v/>
      </c>
      <c r="K12" s="326">
        <f>AVERAGE(C12:J12)</f>
        <v/>
      </c>
    </row>
    <row r="13">
      <c r="B13" s="324" t="inlineStr">
        <is>
          <t>ELECTRODES</t>
        </is>
      </c>
      <c r="C13" s="325" t="n">
        <v>0.005603287641142581</v>
      </c>
      <c r="D13" s="325" t="n">
        <v>0.007138814361208378</v>
      </c>
      <c r="E13" s="325" t="n">
        <v>0.003588972838294519</v>
      </c>
      <c r="F13" s="325" t="n">
        <v>0.001235453656051299</v>
      </c>
      <c r="G13" s="325" t="n">
        <v>0.005952630028215757</v>
      </c>
      <c r="H13" s="325" t="n">
        <v>0.003260883719739702</v>
      </c>
      <c r="I13" s="325" t="n">
        <v>0.009087606205555741</v>
      </c>
      <c r="J13" s="325">
        <f>DASHBOARD!$D17</f>
        <v/>
      </c>
      <c r="K13" s="326">
        <f>AVERAGE(C13:J13)</f>
        <v/>
      </c>
    </row>
    <row r="14">
      <c r="B14" s="324" t="inlineStr">
        <is>
          <t>OTHER PARTS</t>
        </is>
      </c>
      <c r="C14" s="325" t="n">
        <v>0.006827072414245008</v>
      </c>
      <c r="D14" s="325" t="n">
        <v>0.008924962672105224</v>
      </c>
      <c r="E14" s="325" t="n">
        <v>0.004365487914086304</v>
      </c>
      <c r="F14" s="325" t="n">
        <v>0.002114576157347418</v>
      </c>
      <c r="G14" s="325" t="n">
        <v>0.002569946549297682</v>
      </c>
      <c r="H14" s="325" t="n">
        <v>0.0016184460100722</v>
      </c>
      <c r="I14" s="325" t="n">
        <v>0.00341172218500349</v>
      </c>
      <c r="J14" s="325">
        <f>DASHBOARD!$D20</f>
        <v/>
      </c>
      <c r="K14" s="326">
        <f>AVERAGE(C14:J14)</f>
        <v/>
      </c>
    </row>
    <row r="15">
      <c r="B15" s="327" t="inlineStr">
        <is>
          <t>Surface Grinding</t>
        </is>
      </c>
      <c r="C15" s="328" t="n">
        <v>0.1030692530755898</v>
      </c>
      <c r="D15" s="328" t="n">
        <v>0.1020298718283065</v>
      </c>
      <c r="E15" s="328" t="n">
        <v>0.08609525233012613</v>
      </c>
      <c r="F15" s="328" t="n">
        <v>0.09598177743525427</v>
      </c>
      <c r="G15" s="328" t="n">
        <v>0.1092073164027133</v>
      </c>
      <c r="H15" s="328" t="n">
        <v>0.1168348504169655</v>
      </c>
      <c r="I15" s="328" t="n">
        <v>0.1463796924036181</v>
      </c>
      <c r="J15" s="328">
        <f>DASHBOARD!$C37</f>
        <v/>
      </c>
      <c r="K15" s="329">
        <f>AVERAGE(C15:J15)</f>
        <v/>
      </c>
    </row>
    <row r="16">
      <c r="B16" s="327" t="inlineStr">
        <is>
          <t>Conv Milling - Facing</t>
        </is>
      </c>
      <c r="C16" s="328" t="n">
        <v>0.09537751777144134</v>
      </c>
      <c r="D16" s="328" t="n">
        <v>0.1713266107151086</v>
      </c>
      <c r="E16" s="328" t="n">
        <v>0.07126773665104885</v>
      </c>
      <c r="F16" s="328" t="n">
        <v>0.06591314981394453</v>
      </c>
      <c r="G16" s="328" t="n">
        <v>0.09478370857593989</v>
      </c>
      <c r="H16" s="328" t="n">
        <v>0.08159074636853278</v>
      </c>
      <c r="I16" s="328" t="n">
        <v>0.1043466410653724</v>
      </c>
      <c r="J16" s="328">
        <f>DASHBOARD!$C34</f>
        <v/>
      </c>
      <c r="K16" s="329">
        <f>AVERAGE(C16:J16)</f>
        <v/>
      </c>
    </row>
    <row r="17">
      <c r="B17" s="327" t="inlineStr">
        <is>
          <t>CNC Milling</t>
        </is>
      </c>
      <c r="C17" s="328" t="n">
        <v>0.0812247248118081</v>
      </c>
      <c r="D17" s="328" t="n">
        <v>0.07298792196318447</v>
      </c>
      <c r="E17" s="328" t="n">
        <v>0.0688762018641009</v>
      </c>
      <c r="F17" s="328" t="n">
        <v>0.07746493895659459</v>
      </c>
      <c r="G17" s="328" t="n">
        <v>0.07665117302228182</v>
      </c>
      <c r="H17" s="328" t="n">
        <v>0.08365633488419184</v>
      </c>
      <c r="I17" s="328" t="n">
        <v>0.1040195356074873</v>
      </c>
      <c r="J17" s="328">
        <f>DASHBOARD!$C47</f>
        <v/>
      </c>
      <c r="K17" s="329">
        <f>AVERAGE(C17:J17)</f>
        <v/>
      </c>
    </row>
    <row r="18">
      <c r="B18" s="327" t="inlineStr">
        <is>
          <t>CNC Lathe</t>
        </is>
      </c>
      <c r="C18" s="328" t="n">
        <v>0.07014862597383427</v>
      </c>
      <c r="D18" s="328" t="n">
        <v>0.07020212341497134</v>
      </c>
      <c r="E18" s="328" t="n">
        <v>0.06026667663108829</v>
      </c>
      <c r="F18" s="328" t="n">
        <v>0.0631950817803798</v>
      </c>
      <c r="G18" s="328" t="n">
        <v>0.06057915287244853</v>
      </c>
      <c r="H18" s="328" t="n">
        <v>0.06351684685651603</v>
      </c>
      <c r="I18" s="328" t="n">
        <v>0.05691634967202133</v>
      </c>
      <c r="J18" s="328">
        <f>DASHBOARD!$C46</f>
        <v/>
      </c>
      <c r="K18" s="329">
        <f>AVERAGE(C18:J18)</f>
        <v/>
      </c>
    </row>
    <row r="19">
      <c r="B19" s="327" t="inlineStr">
        <is>
          <t>Radial Drilling - Hole drilling</t>
        </is>
      </c>
      <c r="C19" s="328" t="n">
        <v>0.01576805737350441</v>
      </c>
      <c r="D19" s="328" t="n">
        <v>0.01253609346695917</v>
      </c>
      <c r="E19" s="328" t="n">
        <v>0.01674074350863564</v>
      </c>
      <c r="F19" s="328" t="n">
        <v>0.02038551025173542</v>
      </c>
      <c r="G19" s="328" t="n">
        <v>0.01699925208155444</v>
      </c>
      <c r="H19" s="328" t="n">
        <v>0.02065588515659058</v>
      </c>
      <c r="I19" s="328" t="n">
        <v>0.01594639107190253</v>
      </c>
      <c r="J19" s="328">
        <f>DASHBOARD!$C39</f>
        <v/>
      </c>
      <c r="K19" s="329">
        <f>AVERAGE(C19:J19)</f>
        <v/>
      </c>
    </row>
    <row r="20">
      <c r="B20" s="327" t="inlineStr">
        <is>
          <t>CNC EDM</t>
        </is>
      </c>
      <c r="C20" s="328" t="n">
        <v>0.007384065891982555</v>
      </c>
      <c r="D20" s="328" t="n">
        <v>0.003621538112677093</v>
      </c>
      <c r="E20" s="328" t="n">
        <v>0.01004444610518138</v>
      </c>
      <c r="F20" s="328" t="n">
        <v>0.01426985717621479</v>
      </c>
      <c r="G20" s="328" t="n">
        <v>0.009890473938358945</v>
      </c>
      <c r="H20" s="328" t="n">
        <v>0.01239353109395435</v>
      </c>
      <c r="I20" s="328" t="n">
        <v>0.01079448011021094</v>
      </c>
      <c r="J20" s="328">
        <f>DASHBOARD!$C48</f>
        <v/>
      </c>
      <c r="K20" s="329">
        <f>AVERAGE(C20:J20)</f>
        <v/>
      </c>
    </row>
    <row r="21">
      <c r="B21" s="327" t="inlineStr">
        <is>
          <t>Radial Drilling - Reaming / Tapping</t>
        </is>
      </c>
      <c r="C21" s="328" t="n">
        <v>0.005384214712903947</v>
      </c>
      <c r="D21" s="328" t="n">
        <v>0.002089348911159861</v>
      </c>
      <c r="E21" s="328" t="n">
        <v>0.007174604360843844</v>
      </c>
      <c r="F21" s="328" t="n">
        <v>0.01019275512586771</v>
      </c>
      <c r="G21" s="328" t="n">
        <v>0.006181546211474339</v>
      </c>
      <c r="H21" s="328" t="n">
        <v>0.007745956933721466</v>
      </c>
      <c r="I21" s="328" t="n">
        <v>0.004906581868277701</v>
      </c>
      <c r="J21" s="328">
        <f>DASHBOARD!$C40</f>
        <v/>
      </c>
      <c r="K21" s="329">
        <f>AVERAGE(C21:J21)</f>
        <v/>
      </c>
    </row>
    <row r="22">
      <c r="B22" s="327" t="inlineStr">
        <is>
          <t>Conv Milling - End Milling</t>
        </is>
      </c>
      <c r="C22" s="328" t="n">
        <v>0.002461355297327518</v>
      </c>
      <c r="D22" s="328" t="n">
        <v>0.0009285995160710494</v>
      </c>
      <c r="E22" s="328" t="n">
        <v>0.003826455659116717</v>
      </c>
      <c r="F22" s="328" t="n">
        <v>0.005436136067129445</v>
      </c>
      <c r="G22" s="328" t="n">
        <v>0.003296824646119648</v>
      </c>
      <c r="H22" s="328" t="n">
        <v>0.004131177031318115</v>
      </c>
      <c r="I22" s="328" t="n">
        <v>0.00261684366308144</v>
      </c>
      <c r="J22" s="328">
        <f>DASHBOARD!$C35</f>
        <v/>
      </c>
      <c r="K22" s="329">
        <f>AVERAGE(C22:J22)</f>
        <v/>
      </c>
    </row>
    <row r="23">
      <c r="B23" s="327" t="inlineStr">
        <is>
          <t>Gun Drilling</t>
        </is>
      </c>
      <c r="C23" s="328" t="n">
        <v>0.002307520591244549</v>
      </c>
      <c r="D23" s="328" t="n">
        <v>0.0009285995160710494</v>
      </c>
      <c r="E23" s="328" t="n">
        <v>0.002391534786947948</v>
      </c>
      <c r="F23" s="328" t="n">
        <v>0.003397585041955903</v>
      </c>
      <c r="G23" s="328" t="n">
        <v>0.00206051540382478</v>
      </c>
      <c r="H23" s="328" t="n">
        <v>0.002581985644573822</v>
      </c>
      <c r="I23" s="328" t="n">
        <v>0.00245329093413885</v>
      </c>
      <c r="J23" s="328">
        <f>DASHBOARD!$C42</f>
        <v/>
      </c>
      <c r="K23" s="329">
        <f>AVERAGE(C23:J23)</f>
        <v/>
      </c>
    </row>
    <row r="24">
      <c r="B24" s="327" t="inlineStr">
        <is>
          <t>Bench Work</t>
        </is>
      </c>
      <c r="C24" s="328" t="n">
        <v>0.001480659046048585</v>
      </c>
      <c r="D24" s="328" t="n">
        <v>0.0004468885171091925</v>
      </c>
      <c r="E24" s="328" t="n">
        <v>0.0023018522324374</v>
      </c>
      <c r="F24" s="328" t="n">
        <v>0.003270175602882557</v>
      </c>
      <c r="G24" s="328" t="n">
        <v>0.001983246076181351</v>
      </c>
      <c r="H24" s="328" t="n">
        <v>0.002485161182902304</v>
      </c>
      <c r="I24" s="328" t="n">
        <v>0.001574195016072429</v>
      </c>
      <c r="J24" s="328">
        <f>DASHBOARD!$C49</f>
        <v/>
      </c>
      <c r="K24" s="329">
        <f>AVERAGE(C24:J24)</f>
        <v/>
      </c>
    </row>
    <row r="25">
      <c r="B25" s="327" t="inlineStr">
        <is>
          <t>Conv Lathe - Facing / Turning</t>
        </is>
      </c>
      <c r="C25" s="328" t="n">
        <v>0</v>
      </c>
      <c r="D25" s="328" t="n">
        <v>0</v>
      </c>
      <c r="E25" s="328" t="n">
        <v>0</v>
      </c>
      <c r="F25" s="328" t="n">
        <v>0</v>
      </c>
      <c r="G25" s="328" t="n">
        <v>0</v>
      </c>
      <c r="H25" s="328" t="n">
        <v>0</v>
      </c>
      <c r="I25" s="328" t="n">
        <v>0</v>
      </c>
      <c r="J25" s="328">
        <f>DASHBOARD!$C36</f>
        <v/>
      </c>
      <c r="K25" s="329">
        <f>AVERAGE(C25:J25)</f>
        <v/>
      </c>
    </row>
    <row r="26">
      <c r="B26" s="327" t="inlineStr">
        <is>
          <t>Cylindrical Grinding</t>
        </is>
      </c>
      <c r="C26" s="328" t="n">
        <v>0</v>
      </c>
      <c r="D26" s="328" t="n">
        <v>0</v>
      </c>
      <c r="E26" s="328" t="n">
        <v>0</v>
      </c>
      <c r="F26" s="328" t="n">
        <v>0</v>
      </c>
      <c r="G26" s="328" t="n">
        <v>0</v>
      </c>
      <c r="H26" s="328" t="n">
        <v>0</v>
      </c>
      <c r="I26" s="328" t="n">
        <v>0</v>
      </c>
      <c r="J26" s="328">
        <f>DASHBOARD!$C38</f>
        <v/>
      </c>
      <c r="K26" s="329">
        <f>AVERAGE(C26:J26)</f>
        <v/>
      </c>
    </row>
    <row r="27">
      <c r="B27" s="327" t="inlineStr">
        <is>
          <t>Pillar Drilling</t>
        </is>
      </c>
      <c r="C27" s="328" t="n">
        <v>0</v>
      </c>
      <c r="D27" s="328" t="n">
        <v>0</v>
      </c>
      <c r="E27" s="328" t="n">
        <v>0</v>
      </c>
      <c r="F27" s="328" t="n">
        <v>0</v>
      </c>
      <c r="G27" s="328" t="n">
        <v>0</v>
      </c>
      <c r="H27" s="328" t="n">
        <v>0</v>
      </c>
      <c r="I27" s="328" t="n">
        <v>0</v>
      </c>
      <c r="J27" s="328">
        <f>DASHBOARD!$C41</f>
        <v/>
      </c>
      <c r="K27" s="329">
        <f>AVERAGE(C27:J27)</f>
        <v/>
      </c>
    </row>
    <row r="28">
      <c r="B28" s="327" t="inlineStr">
        <is>
          <t>NC EDM</t>
        </is>
      </c>
      <c r="C28" s="328" t="n">
        <v>0</v>
      </c>
      <c r="D28" s="328" t="n">
        <v>0</v>
      </c>
      <c r="E28" s="328" t="n">
        <v>0</v>
      </c>
      <c r="F28" s="328" t="n">
        <v>0</v>
      </c>
      <c r="G28" s="328" t="n">
        <v>0</v>
      </c>
      <c r="H28" s="328" t="n">
        <v>0</v>
      </c>
      <c r="I28" s="328" t="n">
        <v>0</v>
      </c>
      <c r="J28" s="328">
        <f>DASHBOARD!$C43</f>
        <v/>
      </c>
      <c r="K28" s="329">
        <f>AVERAGE(C28:J28)</f>
        <v/>
      </c>
    </row>
    <row r="29">
      <c r="B29" s="327" t="inlineStr">
        <is>
          <t>Wirecut EDM</t>
        </is>
      </c>
      <c r="C29" s="328" t="n">
        <v>0</v>
      </c>
      <c r="D29" s="328" t="n">
        <v>0</v>
      </c>
      <c r="E29" s="328" t="n">
        <v>0</v>
      </c>
      <c r="F29" s="328" t="n">
        <v>0</v>
      </c>
      <c r="G29" s="328" t="n">
        <v>0</v>
      </c>
      <c r="H29" s="328" t="n">
        <v>0</v>
      </c>
      <c r="I29" s="328" t="n">
        <v>0</v>
      </c>
      <c r="J29" s="328">
        <f>DASHBOARD!$C44</f>
        <v/>
      </c>
      <c r="K29" s="329">
        <f>AVERAGE(C29:J29)</f>
        <v/>
      </c>
    </row>
    <row r="30">
      <c r="B30" s="327" t="inlineStr">
        <is>
          <t>Jig Boring</t>
        </is>
      </c>
      <c r="C30" s="328" t="n">
        <v>0</v>
      </c>
      <c r="D30" s="328" t="n">
        <v>0</v>
      </c>
      <c r="E30" s="328" t="n">
        <v>0</v>
      </c>
      <c r="F30" s="328" t="n">
        <v>0</v>
      </c>
      <c r="G30" s="328" t="n">
        <v>0</v>
      </c>
      <c r="H30" s="328" t="n">
        <v>0</v>
      </c>
      <c r="I30" s="328" t="n">
        <v>0</v>
      </c>
      <c r="J30" s="328">
        <f>DASHBOARD!$C45</f>
        <v/>
      </c>
      <c r="K30" s="329">
        <f>AVERAGE(C30:J30)</f>
        <v/>
      </c>
    </row>
    <row r="31">
      <c r="B31" s="330" t="inlineStr">
        <is>
          <t>Design Cost</t>
        </is>
      </c>
      <c r="C31" s="331" t="n">
        <v>0.1382974007685899</v>
      </c>
      <c r="D31" s="331" t="n">
        <v>0.04174054824739367</v>
      </c>
      <c r="E31" s="331" t="n">
        <v>0.2149989773466205</v>
      </c>
      <c r="F31" s="331" t="n">
        <v>0.282848954742829</v>
      </c>
      <c r="G31" s="331" t="n">
        <v>0.1852403348038477</v>
      </c>
      <c r="H31" s="331" t="n">
        <v>0.2321205094471866</v>
      </c>
      <c r="I31" s="331" t="n">
        <v>0.1470339033193884</v>
      </c>
      <c r="J31" s="331">
        <f>DASHBOARD!$C$10</f>
        <v/>
      </c>
      <c r="K31" s="332">
        <f>AVERAGE(C31:J31)</f>
        <v/>
      </c>
      <c r="L31" s="319" t="inlineStr">
        <is>
          <t>Fluctuation is due to HRS System</t>
        </is>
      </c>
    </row>
    <row r="32">
      <c r="B32" s="330" t="inlineStr">
        <is>
          <t>Other Cost</t>
        </is>
      </c>
      <c r="C32" s="331" t="n">
        <v>0.1348165828740506</v>
      </c>
      <c r="D32" s="331" t="n">
        <v>0.1322084377536241</v>
      </c>
      <c r="E32" s="331" t="n">
        <v>0.1389930551049094</v>
      </c>
      <c r="F32" s="331" t="n">
        <v>0.1384732500643455</v>
      </c>
      <c r="G32" s="331" t="n">
        <v>0.1327279103857829</v>
      </c>
      <c r="H32" s="331" t="n">
        <v>0.1327800315771364</v>
      </c>
      <c r="I32" s="331" t="n">
        <v>0.1306163246012412</v>
      </c>
      <c r="J32" s="331">
        <f>DASHBOARD!$G$61/DASHBOARD!$H$65</f>
        <v/>
      </c>
      <c r="K32" s="332">
        <f>AVERAGE(C32:J32)</f>
        <v/>
      </c>
    </row>
    <row r="33">
      <c r="B33" s="113" t="n"/>
      <c r="C33" s="322">
        <f>SUM(Table5[1])</f>
        <v/>
      </c>
      <c r="D33" s="322">
        <f>SUM(Table5[2])</f>
        <v/>
      </c>
      <c r="E33" s="322">
        <f>SUM(Table5[3])</f>
        <v/>
      </c>
      <c r="F33" s="322">
        <f>SUM(Table5[4])</f>
        <v/>
      </c>
      <c r="G33" s="322">
        <f>SUM(Table5[5])</f>
        <v/>
      </c>
      <c r="H33" s="322">
        <f>SUM(Table5[6])</f>
        <v/>
      </c>
      <c r="I33" s="322">
        <f>SUM(Table5[7])</f>
        <v/>
      </c>
      <c r="J33" s="322">
        <f>SUM(Table5[8])</f>
        <v/>
      </c>
      <c r="K33" s="322">
        <f>SUM(Table5[Average contribution])</f>
        <v/>
      </c>
      <c r="L33" s="318" t="n"/>
    </row>
    <row r="34">
      <c r="K34" s="333">
        <f>AVERAGE(Table5[Average contribution])</f>
        <v/>
      </c>
      <c r="L34">
        <f>_xlfn.STDEV.P(Table5[Average contribution])</f>
        <v/>
      </c>
    </row>
  </sheetData>
  <mergeCells count="1">
    <mergeCell ref="C1:J1"/>
  </mergeCells>
  <pageMargins left="0.7" right="0.7" top="0.75" bottom="0.75" header="0.3" footer="0.3"/>
  <pageSetup orientation="portrait" paperSize="9"/>
  <drawing r:id="rId1"/>
  <tableParts count="1">
    <tablePart r:id="rId2"/>
  </tableParts>
</worksheet>
</file>

<file path=xl/worksheets/sheet5.xml><?xml version="1.0" encoding="utf-8"?>
<worksheet xmlns:r="http://schemas.openxmlformats.org/officeDocument/2006/relationships" xmlns="http://schemas.openxmlformats.org/spreadsheetml/2006/main">
  <sheetPr codeName="Sheet7">
    <tabColor theme="5"/>
    <outlinePr summaryBelow="1" summaryRight="1"/>
    <pageSetUpPr fitToPage="1"/>
  </sheetPr>
  <dimension ref="A1:R100"/>
  <sheetViews>
    <sheetView topLeftCell="A42" zoomScale="85" zoomScaleNormal="85" workbookViewId="0">
      <selection activeCell="I54" sqref="I54"/>
    </sheetView>
  </sheetViews>
  <sheetFormatPr baseColWidth="8" defaultColWidth="9" defaultRowHeight="14.5"/>
  <cols>
    <col width="19.26953125" customWidth="1" style="450" min="1" max="1"/>
    <col width="12.54296875" customWidth="1" style="450" min="2" max="2"/>
    <col width="14.90625" customWidth="1" style="450" min="3" max="3"/>
    <col width="13.26953125" customWidth="1" style="450" min="4" max="4"/>
    <col width="14.54296875" customWidth="1" style="450" min="5" max="5"/>
    <col width="15.08984375" customWidth="1" style="450" min="6" max="6"/>
    <col width="16.81640625" customWidth="1" style="450" min="7" max="7"/>
    <col width="12.453125" customWidth="1" style="450" min="8" max="8"/>
    <col width="16.08984375" customWidth="1" style="450" min="9" max="9"/>
    <col width="18.26953125" customWidth="1" style="450" min="10" max="10"/>
    <col width="12.81640625" customWidth="1" style="450" min="11" max="11"/>
    <col width="16.453125" customWidth="1" style="450" min="12" max="12"/>
    <col width="11.36328125" customWidth="1" style="450" min="13" max="13"/>
    <col width="13.6328125" customWidth="1" style="450" min="14" max="14"/>
    <col width="16" customWidth="1" style="450" min="15" max="15"/>
    <col width="12.36328125" customWidth="1" style="450" min="16" max="16"/>
    <col width="9.453125" customWidth="1" style="450" min="17" max="17"/>
    <col width="14.54296875" customWidth="1" style="450" min="18" max="18"/>
  </cols>
  <sheetData>
    <row r="1" ht="23.5" customHeight="1" s="450">
      <c r="A1" s="524" t="inlineStr">
        <is>
          <t>Mould Dimensions Calculations</t>
        </is>
      </c>
    </row>
    <row r="2">
      <c r="A2" s="23" t="inlineStr">
        <is>
          <t>Mould Dimesnsions</t>
        </is>
      </c>
      <c r="B2" s="563" t="inlineStr">
        <is>
          <t>Dimensions</t>
        </is>
      </c>
      <c r="C2" s="563" t="n"/>
    </row>
    <row r="3">
      <c r="A3" t="inlineStr">
        <is>
          <t>Length</t>
        </is>
      </c>
      <c r="B3">
        <f>'Input-Output'!F3</f>
        <v/>
      </c>
    </row>
    <row r="4">
      <c r="A4" t="inlineStr">
        <is>
          <t>Witdh</t>
        </is>
      </c>
      <c r="B4">
        <f>'Input-Output'!F4</f>
        <v/>
      </c>
    </row>
    <row r="5">
      <c r="A5" t="inlineStr">
        <is>
          <t>Height</t>
        </is>
      </c>
      <c r="B5">
        <f>'Input-Output'!F5</f>
        <v/>
      </c>
    </row>
    <row r="7" ht="18.5" customHeight="1" s="450">
      <c r="A7" s="517" t="inlineStr">
        <is>
          <t>Mould Base Cost</t>
        </is>
      </c>
    </row>
    <row r="8" ht="58" customHeight="1" s="450">
      <c r="A8" s="24" t="inlineStr">
        <is>
          <t>Item Description</t>
        </is>
      </c>
      <c r="B8" s="25" t="inlineStr">
        <is>
          <t>Material</t>
        </is>
      </c>
      <c r="C8" s="25" t="inlineStr">
        <is>
          <t>Density(g/cm3)</t>
        </is>
      </c>
      <c r="D8" s="26" t="inlineStr">
        <is>
          <t>Length</t>
        </is>
      </c>
      <c r="E8" s="27" t="inlineStr">
        <is>
          <t>Width / Diameter</t>
        </is>
      </c>
      <c r="F8" s="26" t="inlineStr">
        <is>
          <t>Height</t>
        </is>
      </c>
      <c r="G8" s="26" t="inlineStr">
        <is>
          <t>Volume(in cm3)</t>
        </is>
      </c>
      <c r="H8" s="27" t="inlineStr">
        <is>
          <t>Weight in Kg</t>
        </is>
      </c>
      <c r="I8" s="27" t="inlineStr">
        <is>
          <t>Total Weight in Kg (10% Machining Allowance)</t>
        </is>
      </c>
      <c r="J8" s="27" t="inlineStr">
        <is>
          <t>QTY</t>
        </is>
      </c>
      <c r="K8" s="27" t="inlineStr">
        <is>
          <t>Total weight</t>
        </is>
      </c>
      <c r="L8" s="48" t="inlineStr">
        <is>
          <t>Price/kg</t>
        </is>
      </c>
      <c r="M8" s="49" t="inlineStr">
        <is>
          <t>Total Price</t>
        </is>
      </c>
    </row>
    <row r="9">
      <c r="A9" s="28" t="inlineStr">
        <is>
          <t>Top Clamp Plate</t>
        </is>
      </c>
      <c r="B9" s="29" t="inlineStr">
        <is>
          <t>C-45</t>
        </is>
      </c>
      <c r="C9" s="30">
        <f>VLOOKUP(Table4[[#This Row],[Material]],Table1[[Various Tool Steel]:[Density(g/cc3)]],2,FALSE)</f>
        <v/>
      </c>
      <c r="D9" s="31">
        <f>$D$14+60</f>
        <v/>
      </c>
      <c r="E9" s="31">
        <f>$E$14+60</f>
        <v/>
      </c>
      <c r="F9" s="518" t="n">
        <v>25</v>
      </c>
      <c r="G9" s="518">
        <f>Table4[[#This Row],[Length]]*Table4[[#This Row],[Width / Diameter]]*Table4[[#This Row],[Height]]/1000</f>
        <v/>
      </c>
      <c r="H9" s="32">
        <f>Table4[[#This Row],[Volume(in cm3)]]*Table4[[#This Row],[Density(g/cm3)]]/1000</f>
        <v/>
      </c>
      <c r="I9" s="32">
        <f>Table4[[#This Row],[Weight in Kg]]*1.1</f>
        <v/>
      </c>
      <c r="J9" s="32" t="n">
        <v>1</v>
      </c>
      <c r="K9" s="32">
        <f>Table4[[#This Row],[Total Weight in Kg (10% Machining Allowance)]]*Table4[[#This Row],[QTY]]</f>
        <v/>
      </c>
      <c r="L9" s="265">
        <f>VLOOKUP(Table4[[#This Row],[Material]],Table1[[Various Tool Steel]:[Price/Kg]],4,FALSE)</f>
        <v/>
      </c>
      <c r="M9" s="50">
        <f>Table4[[#This Row],[Total weight]]*Table4[[#This Row],[Price/kg]]</f>
        <v/>
      </c>
    </row>
    <row r="10">
      <c r="A10" s="28" t="inlineStr">
        <is>
          <t>Bottom Clamp Plate</t>
        </is>
      </c>
      <c r="B10" s="29" t="inlineStr">
        <is>
          <t>C-45</t>
        </is>
      </c>
      <c r="C10" s="30">
        <f>VLOOKUP(Table4[[#This Row],[Material]],Table1[[Various Tool Steel]:[Density(g/cc3)]],2,FALSE)</f>
        <v/>
      </c>
      <c r="D10" s="31">
        <f>D14+60</f>
        <v/>
      </c>
      <c r="E10" s="31">
        <f>E14+60</f>
        <v/>
      </c>
      <c r="F10" s="31">
        <f>F9</f>
        <v/>
      </c>
      <c r="G10" s="31">
        <f>Table4[[#This Row],[Length]]*Table4[[#This Row],[Width / Diameter]]*Table4[[#This Row],[Height]]/1000</f>
        <v/>
      </c>
      <c r="H10" s="32">
        <f>Table4[[#This Row],[Volume(in cm3)]]*Table4[[#This Row],[Density(g/cm3)]]/1000</f>
        <v/>
      </c>
      <c r="I10" s="32">
        <f>Table4[[#This Row],[Weight in Kg]]*1.1</f>
        <v/>
      </c>
      <c r="J10" s="32" t="n">
        <v>1</v>
      </c>
      <c r="K10" s="32">
        <f>Table4[[#This Row],[Total Weight in Kg (10% Machining Allowance)]]*Table4[[#This Row],[QTY]]</f>
        <v/>
      </c>
      <c r="L10" s="265">
        <f>VLOOKUP(Table4[[#This Row],[Material]],Table1[[Various Tool Steel]:[Price/Kg]],4,FALSE)</f>
        <v/>
      </c>
      <c r="M10" s="50">
        <f>Table4[[#This Row],[Total weight]]*Table4[[#This Row],[Price/kg]]</f>
        <v/>
      </c>
    </row>
    <row r="11">
      <c r="A11" s="28" t="inlineStr">
        <is>
          <t>Spacer Block</t>
        </is>
      </c>
      <c r="B11" s="29" t="inlineStr">
        <is>
          <t>C-45</t>
        </is>
      </c>
      <c r="C11" s="30">
        <f>VLOOKUP(Table4[[#This Row],[Material]],Table1[[Various Tool Steel]:[Density(g/cc3)]],2,FALSE)</f>
        <v/>
      </c>
      <c r="D11" s="31">
        <f>(D14-('Input-Output'!B2*2)+50)/2</f>
        <v/>
      </c>
      <c r="E11" s="31">
        <f>E10</f>
        <v/>
      </c>
      <c r="F11" s="31">
        <f>F12+F13+('Input-Output'!B4)+15</f>
        <v/>
      </c>
      <c r="G11" s="31">
        <f>Table4[[#This Row],[Length]]*Table4[[#This Row],[Width / Diameter]]*Table4[[#This Row],[Height]]/1000</f>
        <v/>
      </c>
      <c r="H11" s="31">
        <f>Table4[[#This Row],[Volume(in cm3)]]*Table4[[#This Row],[Density(g/cm3)]]/1000</f>
        <v/>
      </c>
      <c r="I11" s="31">
        <f>Table4[[#This Row],[Weight in Kg]]*1.1</f>
        <v/>
      </c>
      <c r="J11" s="32" t="n">
        <v>2</v>
      </c>
      <c r="K11" s="32">
        <f>Table4[[#This Row],[Total Weight in Kg (10% Machining Allowance)]]*Table4[[#This Row],[QTY]]</f>
        <v/>
      </c>
      <c r="L11" s="265">
        <f>VLOOKUP(Table4[[#This Row],[Material]],Table1[[Various Tool Steel]:[Price/Kg]],4,FALSE)</f>
        <v/>
      </c>
      <c r="M11" s="50">
        <f>Table4[[#This Row],[Total weight]]*Table4[[#This Row],[Price/kg]]</f>
        <v/>
      </c>
    </row>
    <row r="12">
      <c r="A12" s="28" t="inlineStr">
        <is>
          <t>Ejector Retainer Plate</t>
        </is>
      </c>
      <c r="B12" s="29" t="inlineStr">
        <is>
          <t>C-45</t>
        </is>
      </c>
      <c r="C12" s="30">
        <f>VLOOKUP(Table4[[#This Row],[Material]],Table1[[Various Tool Steel]:[Density(g/cc3)]],2,FALSE)</f>
        <v/>
      </c>
      <c r="D12" s="518">
        <f>MAX(D15-(D11*2),0)</f>
        <v/>
      </c>
      <c r="E12" s="31">
        <f>E14</f>
        <v/>
      </c>
      <c r="F12" s="31">
        <f>F13+12</f>
        <v/>
      </c>
      <c r="G12" s="31">
        <f>Table4[[#This Row],[Length]]*Table4[[#This Row],[Width / Diameter]]*Table4[[#This Row],[Height]]/1000</f>
        <v/>
      </c>
      <c r="H12" s="32">
        <f>Table4[[#This Row],[Volume(in cm3)]]*Table4[[#This Row],[Density(g/cm3)]]/1000</f>
        <v/>
      </c>
      <c r="I12" s="32">
        <f>Table4[[#This Row],[Weight in Kg]]*1.1</f>
        <v/>
      </c>
      <c r="J12" s="32" t="n">
        <v>1</v>
      </c>
      <c r="K12" s="32">
        <f>Table4[[#This Row],[Total Weight in Kg (10% Machining Allowance)]]*Table4[[#This Row],[QTY]]</f>
        <v/>
      </c>
      <c r="L12" s="265">
        <f>VLOOKUP(Table4[[#This Row],[Material]],Table1[[Various Tool Steel]:[Price/Kg]],4,FALSE)</f>
        <v/>
      </c>
      <c r="M12" s="50">
        <f>Table4[[#This Row],[Total weight]]*Table4[[#This Row],[Price/kg]]</f>
        <v/>
      </c>
    </row>
    <row r="13">
      <c r="A13" s="28" t="inlineStr">
        <is>
          <t>Ejector Back Plate</t>
        </is>
      </c>
      <c r="B13" s="29" t="inlineStr">
        <is>
          <t>C-45</t>
        </is>
      </c>
      <c r="C13" s="30">
        <f>VLOOKUP(Table4[[#This Row],[Material]],Table1[[Various Tool Steel]:[Density(g/cc3)]],2,FALSE)</f>
        <v/>
      </c>
      <c r="D13" s="518">
        <f>MAX(D15-(D11*2),0)</f>
        <v/>
      </c>
      <c r="E13" s="31">
        <f>E14</f>
        <v/>
      </c>
      <c r="F13" s="31">
        <f>'Core &amp; Ejector Plate'!C17*10</f>
        <v/>
      </c>
      <c r="G13" s="31">
        <f>Table4[[#This Row],[Length]]*Table4[[#This Row],[Width / Diameter]]*Table4[[#This Row],[Height]]/1000</f>
        <v/>
      </c>
      <c r="H13" s="32">
        <f>Table4[[#This Row],[Volume(in cm3)]]*Table4[[#This Row],[Density(g/cm3)]]/1000</f>
        <v/>
      </c>
      <c r="I13" s="32">
        <f>Table4[[#This Row],[Weight in Kg]]*1.1</f>
        <v/>
      </c>
      <c r="J13" s="32" t="n">
        <v>1</v>
      </c>
      <c r="K13" s="32">
        <f>Table4[[#This Row],[Total Weight in Kg (10% Machining Allowance)]]*Table4[[#This Row],[QTY]]</f>
        <v/>
      </c>
      <c r="L13" s="265">
        <f>VLOOKUP(Table4[[#This Row],[Material]],Table1[[Various Tool Steel]:[Price/Kg]],4,FALSE)</f>
        <v/>
      </c>
      <c r="M13" s="50">
        <f>Table4[[#This Row],[Total weight]]*Table4[[#This Row],[Price/kg]]</f>
        <v/>
      </c>
    </row>
    <row r="14">
      <c r="A14" s="28" t="inlineStr">
        <is>
          <t>Cavity Plate</t>
        </is>
      </c>
      <c r="B14" s="29" t="inlineStr">
        <is>
          <t>P20</t>
        </is>
      </c>
      <c r="C14" s="30">
        <f>VLOOKUP(Table4[[#This Row],[Material]],Table1[[Various Tool Steel]:[Density(g/cc3)]],2,FALSE)</f>
        <v/>
      </c>
      <c r="D14" s="31">
        <f>B3+40</f>
        <v/>
      </c>
      <c r="E14" s="31">
        <f>B4+40</f>
        <v/>
      </c>
      <c r="F14" s="31">
        <f>'Core &amp; Ejector Plate'!D5*10+'Input-Output'!B4</f>
        <v/>
      </c>
      <c r="G14" s="31">
        <f>Table4[[#This Row],[Length]]*Table4[[#This Row],[Width / Diameter]]*Table4[[#This Row],[Height]]/1000</f>
        <v/>
      </c>
      <c r="H14" s="32">
        <f>Table4[[#This Row],[Volume(in cm3)]]*Table4[[#This Row],[Density(g/cm3)]]/1000</f>
        <v/>
      </c>
      <c r="I14" s="32">
        <f>Table4[[#This Row],[Weight in Kg]]*1.1-I19</f>
        <v/>
      </c>
      <c r="J14" s="32" t="n">
        <v>1</v>
      </c>
      <c r="K14" s="32">
        <f>Table4[[#This Row],[Total Weight in Kg (10% Machining Allowance)]]*Table4[[#This Row],[QTY]]</f>
        <v/>
      </c>
      <c r="L14" s="265">
        <f>VLOOKUP(Table4[[#This Row],[Material]],Table1[[Various Tool Steel]:[Price/Kg]],4,FALSE)</f>
        <v/>
      </c>
      <c r="M14" s="50">
        <f>Table4[[#This Row],[Total weight]]*Table4[[#This Row],[Price/kg]]</f>
        <v/>
      </c>
    </row>
    <row r="15">
      <c r="A15" s="28" t="inlineStr">
        <is>
          <t>Core Plate</t>
        </is>
      </c>
      <c r="B15" s="29" t="inlineStr">
        <is>
          <t>P20</t>
        </is>
      </c>
      <c r="C15" s="30">
        <f>VLOOKUP(Table4[[#This Row],[Material]],Table1[[Various Tool Steel]:[Density(g/cc3)]],2,FALSE)</f>
        <v/>
      </c>
      <c r="D15" s="31">
        <f>B3+40</f>
        <v/>
      </c>
      <c r="E15" s="31">
        <f>B4+40</f>
        <v/>
      </c>
      <c r="F15" s="31">
        <f>'Core &amp; Ejector Plate'!D5*10+'Input-Output'!B4</f>
        <v/>
      </c>
      <c r="G15" s="31">
        <f>Table4[[#This Row],[Length]]*Table4[[#This Row],[Width / Diameter]]*Table4[[#This Row],[Height]]/1000</f>
        <v/>
      </c>
      <c r="H15" s="32">
        <f>Table4[[#This Row],[Volume(in cm3)]]*Table4[[#This Row],[Density(g/cm3)]]/1000</f>
        <v/>
      </c>
      <c r="I15" s="32">
        <f>Table4[[#This Row],[Weight in Kg]]*1.1-I20</f>
        <v/>
      </c>
      <c r="J15" s="32" t="n">
        <v>1</v>
      </c>
      <c r="K15" s="32">
        <f>Table4[[#This Row],[Total Weight in Kg (10% Machining Allowance)]]*Table4[[#This Row],[QTY]]</f>
        <v/>
      </c>
      <c r="L15" s="265">
        <f>VLOOKUP(Table4[[#This Row],[Material]],Table1[[Various Tool Steel]:[Price/Kg]],4,FALSE)</f>
        <v/>
      </c>
      <c r="M15" s="50">
        <f>Table4[[#This Row],[Total weight]]*Table4[[#This Row],[Price/kg]]</f>
        <v/>
      </c>
    </row>
    <row r="16">
      <c r="A16" s="28" t="inlineStr">
        <is>
          <t xml:space="preserve">Mould Base  </t>
        </is>
      </c>
      <c r="B16" s="29" t="inlineStr">
        <is>
          <t>C-45</t>
        </is>
      </c>
      <c r="C16" s="30">
        <f>VLOOKUP(Table4[[#This Row],[Material]],Table1[[Various Tool Steel]:[Density(g/cc3)]],2,FALSE)</f>
        <v/>
      </c>
      <c r="D16" s="31">
        <f>D14</f>
        <v/>
      </c>
      <c r="E16" s="31">
        <f>E14</f>
        <v/>
      </c>
      <c r="F16" s="31">
        <f>(F14+F15)*70%</f>
        <v/>
      </c>
      <c r="G16" s="31">
        <f>Table4[[#This Row],[Length]]*Table4[[#This Row],[Width / Diameter]]*Table4[[#This Row],[Height]]/1000</f>
        <v/>
      </c>
      <c r="H16" s="32">
        <f>Table4[[#This Row],[Volume(in cm3)]]*Table4[[#This Row],[Density(g/cm3)]]/1000</f>
        <v/>
      </c>
      <c r="I16" s="32">
        <f>Table4[[#This Row],[Weight in Kg]]*1.1-I19</f>
        <v/>
      </c>
      <c r="J16" s="32" t="n">
        <v>1</v>
      </c>
      <c r="K16" s="32">
        <f>Table4[[#This Row],[Total Weight in Kg (10% Machining Allowance)]]*Table4[[#This Row],[QTY]]</f>
        <v/>
      </c>
      <c r="L16" s="265">
        <f>VLOOKUP(Table4[[#This Row],[Material]],Table1[[Various Tool Steel]:[Price/Kg]],4,FALSE)</f>
        <v/>
      </c>
      <c r="M16" s="50">
        <f>Table4[[#This Row],[Total weight]]*Table4[[#This Row],[Price/kg]]</f>
        <v/>
      </c>
    </row>
    <row r="17">
      <c r="A17" s="33" t="inlineStr">
        <is>
          <t>Electrode (Roughing)</t>
        </is>
      </c>
      <c r="B17" s="34" t="inlineStr">
        <is>
          <t>Graphite</t>
        </is>
      </c>
      <c r="C17" s="35">
        <f>VLOOKUP(Table4[[#This Row],[Material]],Table1[[Various Tool Steel]:[Density(g/cc3)]],2,FALSE)</f>
        <v/>
      </c>
      <c r="D17" s="614" t="n"/>
      <c r="E17" s="614" t="n"/>
      <c r="F17" s="614" t="n"/>
      <c r="G17" s="36">
        <f>IF('INJ. MOULDING ESTIMATION'!$C$16&lt;4,'Input-Output'!$B$8/1000*30,'Mould Costing'!$D$9*'Mould Costing'!$E$9*'Mould Costing'!$F$9/1000)</f>
        <v/>
      </c>
      <c r="H17" s="37">
        <f>Table4[[#This Row],[Volume(in cm3)]]*Table4[[#This Row],[Density(g/cm3)]]/1000</f>
        <v/>
      </c>
      <c r="I17" s="37">
        <f>Table4[[#This Row],[Weight in Kg]]*1.1</f>
        <v/>
      </c>
      <c r="J17" s="37" t="n">
        <v>1</v>
      </c>
      <c r="K17" s="37">
        <f>Table4[[#This Row],[Total Weight in Kg (10% Machining Allowance)]]*Table4[[#This Row],[QTY]]</f>
        <v/>
      </c>
      <c r="L17" s="51">
        <f>VLOOKUP(Table4[[#This Row],[Material]],Table1[[Various Tool Steel]:[Price/Kg]],4,FALSE)</f>
        <v/>
      </c>
      <c r="M17" s="52">
        <f>Table4[[#This Row],[Total weight]]*Table4[[#This Row],[Price/kg]]</f>
        <v/>
      </c>
    </row>
    <row r="18">
      <c r="A18" s="33" t="inlineStr">
        <is>
          <t>Electrode (Finishing)</t>
        </is>
      </c>
      <c r="B18" s="34" t="inlineStr">
        <is>
          <t>Graphite</t>
        </is>
      </c>
      <c r="C18" s="35">
        <f>VLOOKUP(Table4[[#This Row],[Material]],Table1[[Various Tool Steel]:[Density(g/cc3)]],2,FALSE)</f>
        <v/>
      </c>
      <c r="D18" s="614" t="n"/>
      <c r="E18" s="614" t="n"/>
      <c r="F18" s="614" t="n"/>
      <c r="G18" s="36">
        <f>IF('INJ. MOULDING ESTIMATION'!$C$16&lt;4,'Input-Output'!$B$8/1000*10,'Mould Costing'!$D$9*'Mould Costing'!$E$9*'Mould Costing'!$F$9/1000)</f>
        <v/>
      </c>
      <c r="H18" s="37">
        <f>Table4[[#This Row],[Volume(in cm3)]]*Table4[[#This Row],[Density(g/cm3)]]/1000</f>
        <v/>
      </c>
      <c r="I18" s="37">
        <f>Table4[[#This Row],[Weight in Kg]]*1.1</f>
        <v/>
      </c>
      <c r="J18" s="37" t="n">
        <v>1</v>
      </c>
      <c r="K18" s="37">
        <f>Table4[[#This Row],[Total Weight in Kg (10% Machining Allowance)]]*Table4[[#This Row],[QTY]]</f>
        <v/>
      </c>
      <c r="L18" s="51">
        <f>VLOOKUP(Table4[[#This Row],[Material]],Table1[[Various Tool Steel]:[Price/Kg]],4,FALSE)</f>
        <v/>
      </c>
      <c r="M18" s="52">
        <f>Table4[[#This Row],[Total weight]]*Table4[[#This Row],[Price/kg]]</f>
        <v/>
      </c>
    </row>
    <row r="19">
      <c r="A19" s="28" t="inlineStr">
        <is>
          <t>Guide Pillar</t>
        </is>
      </c>
      <c r="B19" s="29" t="inlineStr">
        <is>
          <t>OHNS</t>
        </is>
      </c>
      <c r="C19" s="30">
        <f>VLOOKUP(Table4[[#This Row],[Material]],Table1[[Various Tool Steel]:[Density(g/cc3)]],2,FALSE)</f>
        <v/>
      </c>
      <c r="D19" s="518" t="n"/>
      <c r="E19" s="31">
        <f>'Guide Pillar'!F10</f>
        <v/>
      </c>
      <c r="F19" s="31">
        <f>F14+F15</f>
        <v/>
      </c>
      <c r="G19" s="31">
        <f>3.14*Table4[[#This Row],[Width / Diameter]]^2*Table4[[#This Row],[Height]]/1000</f>
        <v/>
      </c>
      <c r="H19" s="32">
        <f>Table4[[#This Row],[Volume(in cm3)]]*Table4[[#This Row],[Density(g/cm3)]]/1000</f>
        <v/>
      </c>
      <c r="I19" s="32">
        <f>Table4[[#This Row],[Weight in Kg]]*1.1</f>
        <v/>
      </c>
      <c r="J19" s="32" t="n">
        <v>4</v>
      </c>
      <c r="K19" s="32">
        <f>Table4[[#This Row],[Total Weight in Kg (10% Machining Allowance)]]*Table4[[#This Row],[QTY]]</f>
        <v/>
      </c>
      <c r="L19" s="265">
        <f>VLOOKUP(Table4[[#This Row],[Material]],Table1[[Various Tool Steel]:[Price/Kg]],4,FALSE)</f>
        <v/>
      </c>
      <c r="M19" s="50">
        <f>Table4[[#This Row],[Total weight]]*Table4[[#This Row],[Price/kg]]</f>
        <v/>
      </c>
    </row>
    <row r="20">
      <c r="A20" s="28" t="inlineStr">
        <is>
          <t>Guide Bush</t>
        </is>
      </c>
      <c r="B20" s="29" t="inlineStr">
        <is>
          <t>OHNS</t>
        </is>
      </c>
      <c r="C20" s="30">
        <f>VLOOKUP(Table4[[#This Row],[Material]],Table1[[Various Tool Steel]:[Density(g/cc3)]],2,FALSE)</f>
        <v/>
      </c>
      <c r="D20" s="518" t="n"/>
      <c r="E20" s="31">
        <f>'Guide Pillar'!F10</f>
        <v/>
      </c>
      <c r="F20" s="31">
        <f>F15</f>
        <v/>
      </c>
      <c r="G20" s="31">
        <f>3.14*Table4[[#This Row],[Width / Diameter]]^2*Table4[[#This Row],[Height]]/1000</f>
        <v/>
      </c>
      <c r="H20" s="32">
        <f>Table4[[#This Row],[Volume(in cm3)]]*Table4[[#This Row],[Density(g/cm3)]]/1000</f>
        <v/>
      </c>
      <c r="I20" s="32">
        <f>Table4[[#This Row],[Weight in Kg]]*1.1</f>
        <v/>
      </c>
      <c r="J20" s="32" t="n">
        <v>4</v>
      </c>
      <c r="K20" s="32">
        <f>Table4[[#This Row],[Total Weight in Kg (10% Machining Allowance)]]*Table4[[#This Row],[QTY]]</f>
        <v/>
      </c>
      <c r="L20" s="265">
        <f>VLOOKUP(Table4[[#This Row],[Material]],Table1[[Various Tool Steel]:[Price/Kg]],4,FALSE)</f>
        <v/>
      </c>
      <c r="M20" s="50">
        <f>Table4[[#This Row],[Total weight]]*Table4[[#This Row],[Price/kg]]</f>
        <v/>
      </c>
    </row>
    <row r="21" ht="29" customHeight="1" s="450">
      <c r="A21" s="28" t="inlineStr">
        <is>
          <t>Locating Ring / Register Ring</t>
        </is>
      </c>
      <c r="B21" s="29" t="inlineStr">
        <is>
          <t>C-45</t>
        </is>
      </c>
      <c r="C21" s="30">
        <f>VLOOKUP(Table4[[#This Row],[Material]],Table1[[Various Tool Steel]:[Density(g/cc3)]],2,FALSE)</f>
        <v/>
      </c>
      <c r="D21" s="518" t="n"/>
      <c r="E21" s="518" t="n">
        <v>120</v>
      </c>
      <c r="F21" s="518" t="n">
        <v>12</v>
      </c>
      <c r="G21" s="31">
        <f>3.14*Table4[[#This Row],[Width / Diameter]]^2*Table4[[#This Row],[Height]]/1000</f>
        <v/>
      </c>
      <c r="H21" s="32">
        <f>Table4[[#This Row],[Volume(in cm3)]]*Table4[[#This Row],[Density(g/cm3)]]/1000</f>
        <v/>
      </c>
      <c r="I21" s="32">
        <f>Table4[[#This Row],[Weight in Kg]]*1.1</f>
        <v/>
      </c>
      <c r="J21" s="32" t="n">
        <v>1</v>
      </c>
      <c r="K21" s="32">
        <f>Table4[[#This Row],[Total Weight in Kg (10% Machining Allowance)]]*Table4[[#This Row],[QTY]]</f>
        <v/>
      </c>
      <c r="L21" s="265">
        <f>VLOOKUP(Table4[[#This Row],[Material]],Table1[[Various Tool Steel]:[Price/Kg]],4,FALSE)</f>
        <v/>
      </c>
      <c r="M21" s="50">
        <f>Table4[[#This Row],[Total weight]]*Table4[[#This Row],[Price/kg]]</f>
        <v/>
      </c>
    </row>
    <row r="22" ht="29" customHeight="1" s="450">
      <c r="D22">
        <f>2*'Input-Output'!B2+10%*2*'Input-Output'!B2</f>
        <v/>
      </c>
      <c r="E22">
        <f>'Input-Output'!B3+10%*'Input-Output'!B3</f>
        <v/>
      </c>
      <c r="F22">
        <f>'Input-Output'!B4+10%*'Input-Output'!B4</f>
        <v/>
      </c>
      <c r="G22" s="38" t="inlineStr">
        <is>
          <t>Total Mould Weight</t>
        </is>
      </c>
      <c r="H22" s="39">
        <f>SUM(H9:H20)</f>
        <v/>
      </c>
      <c r="I22" s="53">
        <f>SUM(Table4[Total Weight in Kg (10% Machining Allowance)])</f>
        <v/>
      </c>
      <c r="J22" s="265" t="n"/>
      <c r="K22" s="54">
        <f>SUM(Table4[Total weight])</f>
        <v/>
      </c>
      <c r="L22" s="55" t="inlineStr">
        <is>
          <t>TOTAL (A1)</t>
        </is>
      </c>
      <c r="M22" s="56">
        <f>INT(SUM(Table4[Total Price]))</f>
        <v/>
      </c>
    </row>
    <row r="23">
      <c r="A23" s="454" t="inlineStr">
        <is>
          <t>Material</t>
        </is>
      </c>
      <c r="B23" s="452" t="inlineStr">
        <is>
          <t>Total(in KG)</t>
        </is>
      </c>
      <c r="C23" s="498" t="inlineStr">
        <is>
          <t>Price/kg</t>
        </is>
      </c>
      <c r="D23" s="498" t="inlineStr">
        <is>
          <t>Total Price</t>
        </is>
      </c>
    </row>
    <row r="24">
      <c r="A24" s="28" t="inlineStr">
        <is>
          <t>C-45</t>
        </is>
      </c>
      <c r="B24" s="22">
        <f>(SUMIF($B$9:$B$21,VLOOKUP(Table3[[#This Row],[Material]],$B$9:$K$21,1,0),Table4[Total weight]))</f>
        <v/>
      </c>
      <c r="C24">
        <f>VLOOKUP(Table3[[#This Row],[Material]],Table1[],4,FALSE)</f>
        <v/>
      </c>
      <c r="D24">
        <f>Table3[[#This Row],[Total(in KG)]]*Table3[[#This Row],[Price/kg]]</f>
        <v/>
      </c>
    </row>
    <row r="25">
      <c r="A25" s="40" t="inlineStr">
        <is>
          <t>Case Hardening Steel</t>
        </is>
      </c>
      <c r="B25" s="22">
        <f>(SUMIF($B$9:$B$21,VLOOKUP(Table3[[#This Row],[Material]],$B$9:$K$21,1,0),Table4[Total weight]))</f>
        <v/>
      </c>
      <c r="C25">
        <f>VLOOKUP(Table3[[#This Row],[Material]],Table1[],4,FALSE)</f>
        <v/>
      </c>
      <c r="D25">
        <f>Table3[[#This Row],[Total(in KG)]]*Table3[[#This Row],[Price/kg]]</f>
        <v/>
      </c>
    </row>
    <row r="26">
      <c r="A26" s="40" t="inlineStr">
        <is>
          <t>Silver Steel</t>
        </is>
      </c>
      <c r="B26" s="22">
        <f>(SUMIF($B$9:$B$21,VLOOKUP(Table3[[#This Row],[Material]],$B$9:$K$21,1,0),Table4[Total weight]))</f>
        <v/>
      </c>
      <c r="C26">
        <f>VLOOKUP(Table3[[#This Row],[Material]],Table1[],4,FALSE)</f>
        <v/>
      </c>
      <c r="D26">
        <f>Table3[[#This Row],[Total(in KG)]]*Table3[[#This Row],[Price/kg]]</f>
        <v/>
      </c>
    </row>
    <row r="27">
      <c r="A27" s="40" t="inlineStr">
        <is>
          <t>OHNS</t>
        </is>
      </c>
      <c r="B27" s="22">
        <f>(SUMIF($B$9:$B$21,VLOOKUP(Table3[[#This Row],[Material]],$B$9:$K$21,1,0),Table4[Total weight]))</f>
        <v/>
      </c>
      <c r="C27">
        <f>VLOOKUP(Table3[[#This Row],[Material]],Table1[],4,FALSE)</f>
        <v/>
      </c>
      <c r="D27">
        <f>Table3[[#This Row],[Total(in KG)]]*Table3[[#This Row],[Price/kg]]</f>
        <v/>
      </c>
    </row>
    <row r="28">
      <c r="A28" s="40" t="inlineStr">
        <is>
          <t>HCHCr</t>
        </is>
      </c>
      <c r="B28" s="22">
        <f>(SUMIF($B$9:$B$21,VLOOKUP(Table3[[#This Row],[Material]],$B$9:$K$21,1,0),Table4[Total weight]))</f>
        <v/>
      </c>
      <c r="C28">
        <f>VLOOKUP(Table3[[#This Row],[Material]],Table1[],4,FALSE)</f>
        <v/>
      </c>
      <c r="D28">
        <f>Table3[[#This Row],[Total(in KG)]]*Table3[[#This Row],[Price/kg]]</f>
        <v/>
      </c>
    </row>
    <row r="29">
      <c r="A29" s="40" t="inlineStr">
        <is>
          <t>HDS</t>
        </is>
      </c>
      <c r="B29" s="22">
        <f>(SUMIF($B$9:$B$21,VLOOKUP(Table3[[#This Row],[Material]],$B$9:$K$21,1,0),Table4[Total weight]))</f>
        <v/>
      </c>
      <c r="C29">
        <f>VLOOKUP(Table3[[#This Row],[Material]],Table1[],4,FALSE)</f>
        <v/>
      </c>
      <c r="D29">
        <f>Table3[[#This Row],[Total(in KG)]]*Table3[[#This Row],[Price/kg]]</f>
        <v/>
      </c>
    </row>
    <row r="30">
      <c r="A30" s="40" t="inlineStr">
        <is>
          <t>HSS</t>
        </is>
      </c>
      <c r="B30" s="22">
        <f>(SUMIF($B$9:$B$21,VLOOKUP(Table3[[#This Row],[Material]],$B$9:$K$21,1,0),Table4[Total weight]))</f>
        <v/>
      </c>
      <c r="C30">
        <f>VLOOKUP(Table3[[#This Row],[Material]],Table1[],4,FALSE)</f>
        <v/>
      </c>
      <c r="D30">
        <f>Table3[[#This Row],[Total(in KG)]]*Table3[[#This Row],[Price/kg]]</f>
        <v/>
      </c>
    </row>
    <row r="31">
      <c r="A31" s="40" t="inlineStr">
        <is>
          <t>SG IRON</t>
        </is>
      </c>
      <c r="B31" s="22">
        <f>(SUMIF($B$9:$B$21,VLOOKUP(Table3[[#This Row],[Material]],$B$9:$K$21,1,0),Table4[Total weight]))</f>
        <v/>
      </c>
      <c r="C31">
        <f>VLOOKUP(Table3[[#This Row],[Material]],Table1[],4,FALSE)</f>
        <v/>
      </c>
      <c r="D31">
        <f>Table3[[#This Row],[Total(in KG)]]*Table3[[#This Row],[Price/kg]]</f>
        <v/>
      </c>
    </row>
    <row r="32">
      <c r="A32" s="41">
        <f>B18</f>
        <v/>
      </c>
      <c r="B32" s="42">
        <f>(SUMIF($B$9:$B$21,VLOOKUP(Table3[[#This Row],[Material]],$B$9:$K$21,1,0),Table4[Total weight]))</f>
        <v/>
      </c>
      <c r="C32">
        <f>VLOOKUP(Table3[[#This Row],[Material]],Table1[],4,FALSE)</f>
        <v/>
      </c>
      <c r="D32">
        <f>Table3[[#This Row],[Total(in KG)]]*Table3[[#This Row],[Price/kg]]</f>
        <v/>
      </c>
    </row>
    <row r="33">
      <c r="A33" s="43" t="inlineStr">
        <is>
          <t>P20</t>
        </is>
      </c>
      <c r="B33" s="22">
        <f>(SUMIF($B$9:$B$21,VLOOKUP(Table3[[#This Row],[Material]],$B$9:$K$21,1,0),Table4[Total weight]))</f>
        <v/>
      </c>
      <c r="C33">
        <f>VLOOKUP(Table3[[#This Row],[Material]],Table1[],4,FALSE)</f>
        <v/>
      </c>
      <c r="D33">
        <f>Table3[[#This Row],[Total(in KG)]]*Table3[[#This Row],[Price/kg]]</f>
        <v/>
      </c>
    </row>
    <row r="34">
      <c r="A34" s="43" t="n"/>
      <c r="B34" s="44">
        <f>SUM(B24:B33)</f>
        <v/>
      </c>
      <c r="C34" s="459" t="n"/>
      <c r="D34" s="213">
        <f>INT(SUM(Table3[Total Price]))</f>
        <v/>
      </c>
      <c r="E34" s="45" t="inlineStr">
        <is>
          <t>#ERROR#</t>
        </is>
      </c>
    </row>
    <row r="41">
      <c r="A41" s="527" t="inlineStr">
        <is>
          <t>Standard Items</t>
        </is>
      </c>
      <c r="B41" s="439" t="n"/>
      <c r="C41" s="439" t="n"/>
      <c r="D41" s="439" t="n"/>
      <c r="E41" s="437" t="n"/>
      <c r="F41" s="527" t="inlineStr">
        <is>
          <t>Spec / Size</t>
        </is>
      </c>
      <c r="G41" s="437" t="n"/>
      <c r="H41" s="528" t="inlineStr">
        <is>
          <t>QTY</t>
        </is>
      </c>
      <c r="I41" s="528" t="inlineStr">
        <is>
          <t>Rate / QTY</t>
        </is>
      </c>
      <c r="J41" s="437" t="n"/>
      <c r="K41" s="57" t="inlineStr">
        <is>
          <t>Cost</t>
        </is>
      </c>
    </row>
    <row r="42">
      <c r="A42" s="46" t="inlineStr">
        <is>
          <t>Sprue Bush</t>
        </is>
      </c>
      <c r="B42" s="41" t="n"/>
      <c r="C42" s="523" t="n"/>
      <c r="D42" s="439" t="n"/>
      <c r="E42" s="437" t="n"/>
      <c r="F42" s="518" t="n"/>
      <c r="G42" s="437" t="n"/>
      <c r="H42" s="518" t="n">
        <v>1</v>
      </c>
      <c r="I42" s="519" t="n">
        <v>6000</v>
      </c>
      <c r="J42" s="437" t="n"/>
      <c r="K42" s="518">
        <f>I42*H42</f>
        <v/>
      </c>
    </row>
    <row r="43">
      <c r="A43" s="46" t="inlineStr">
        <is>
          <t>Fasteners - Mould Clamping</t>
        </is>
      </c>
      <c r="B43" s="41" t="n"/>
      <c r="C43" s="523" t="inlineStr">
        <is>
          <t>Allen Bolt</t>
        </is>
      </c>
      <c r="D43" s="439" t="n"/>
      <c r="E43" s="437" t="n"/>
      <c r="F43" s="518" t="n"/>
      <c r="G43" s="437" t="n"/>
      <c r="H43" s="518" t="n">
        <v>8</v>
      </c>
      <c r="I43" s="519" t="n">
        <v>50</v>
      </c>
      <c r="J43" s="437" t="n"/>
      <c r="K43" s="518">
        <f>I43*H43</f>
        <v/>
      </c>
    </row>
    <row r="44">
      <c r="A44" s="46" t="inlineStr">
        <is>
          <t>Fasteners - Ejector Mechanism</t>
        </is>
      </c>
      <c r="B44" s="41" t="n"/>
      <c r="C44" s="523" t="inlineStr">
        <is>
          <t>Allen Bolt</t>
        </is>
      </c>
      <c r="D44" s="439" t="n"/>
      <c r="E44" s="437" t="n"/>
      <c r="F44" s="518" t="n"/>
      <c r="G44" s="437" t="n"/>
      <c r="H44" s="518" t="n">
        <v>6</v>
      </c>
      <c r="I44" s="519" t="n">
        <v>50</v>
      </c>
      <c r="J44" s="437" t="n"/>
      <c r="K44" s="518">
        <f>I44*H44</f>
        <v/>
      </c>
    </row>
    <row r="45">
      <c r="A45" s="516" t="inlineStr">
        <is>
          <t>Ejector Pins</t>
        </is>
      </c>
      <c r="B45" s="338" t="n"/>
      <c r="C45" s="518" t="n"/>
      <c r="D45" s="439" t="n"/>
      <c r="E45" s="437" t="n"/>
      <c r="F45" s="518" t="n"/>
      <c r="G45" s="437" t="n"/>
      <c r="H45" s="518" t="n">
        <v>6</v>
      </c>
      <c r="I45" s="519" t="n">
        <v>500</v>
      </c>
      <c r="J45" s="437" t="n"/>
      <c r="K45" s="518">
        <f>I45*H45</f>
        <v/>
      </c>
    </row>
    <row r="46">
      <c r="A46" s="516" t="inlineStr">
        <is>
          <t>Return Pins</t>
        </is>
      </c>
      <c r="B46" s="338" t="n"/>
      <c r="C46" s="518" t="n"/>
      <c r="D46" s="439" t="n"/>
      <c r="E46" s="437" t="n"/>
      <c r="F46" s="518" t="n"/>
      <c r="G46" s="437" t="n"/>
      <c r="H46" s="518" t="n">
        <v>6</v>
      </c>
      <c r="I46" s="519" t="n">
        <v>600</v>
      </c>
      <c r="J46" s="437" t="n"/>
      <c r="K46" s="518">
        <f>I46*H46</f>
        <v/>
      </c>
    </row>
    <row r="47">
      <c r="A47" s="46" t="inlineStr">
        <is>
          <t>Springs</t>
        </is>
      </c>
      <c r="B47" s="41" t="n"/>
      <c r="C47" s="518" t="n"/>
      <c r="D47" s="439" t="n"/>
      <c r="E47" s="437" t="n"/>
      <c r="F47" s="518" t="n"/>
      <c r="G47" s="437" t="n"/>
      <c r="H47" s="518" t="n">
        <v>4</v>
      </c>
      <c r="I47" s="519" t="n">
        <v>150</v>
      </c>
      <c r="J47" s="437" t="n"/>
      <c r="K47" s="518">
        <f>I47*H47</f>
        <v/>
      </c>
    </row>
    <row r="48">
      <c r="A48" s="46" t="inlineStr">
        <is>
          <t>Cooling Nipples</t>
        </is>
      </c>
      <c r="B48" s="41" t="n"/>
      <c r="C48" s="523" t="n"/>
      <c r="D48" s="439" t="n"/>
      <c r="E48" s="437" t="n"/>
      <c r="F48" s="518" t="n"/>
      <c r="G48" s="437" t="n"/>
      <c r="H48" s="518" t="n">
        <v>6</v>
      </c>
      <c r="I48" s="519" t="n">
        <v>200</v>
      </c>
      <c r="J48" s="437" t="n"/>
      <c r="K48" s="518">
        <f>I48*H48</f>
        <v/>
      </c>
    </row>
    <row r="49">
      <c r="A49" s="46" t="inlineStr">
        <is>
          <t>Hydraulic Cylinders</t>
        </is>
      </c>
      <c r="B49" s="41" t="n"/>
      <c r="C49" s="523" t="n"/>
      <c r="D49" s="439" t="n"/>
      <c r="E49" s="437" t="n"/>
      <c r="F49" s="518" t="n"/>
      <c r="G49" s="437" t="n"/>
      <c r="H49" s="518" t="n"/>
      <c r="I49" s="519" t="n"/>
      <c r="J49" s="437" t="n"/>
      <c r="K49" s="518">
        <f>I49*H49</f>
        <v/>
      </c>
    </row>
    <row r="50">
      <c r="A50" s="525" t="n"/>
      <c r="B50" s="459" t="n"/>
      <c r="C50" s="459" t="n"/>
      <c r="D50" s="459" t="n"/>
      <c r="E50" s="459" t="n"/>
      <c r="F50" s="459" t="n"/>
      <c r="G50" s="459" t="n"/>
      <c r="H50" s="459" t="n"/>
      <c r="I50" s="459" t="n"/>
      <c r="J50" t="inlineStr">
        <is>
          <t>Total (A2)</t>
        </is>
      </c>
      <c r="K50" s="58">
        <f>IF('INJ. MOULDING ESTIMATION'!C16&lt;1,SUM(K42:K49)*COMPLEXITY!B2,SUM(K42:K49))</f>
        <v/>
      </c>
    </row>
    <row r="51">
      <c r="A51" s="453" t="n"/>
      <c r="B51" s="453" t="n"/>
      <c r="C51" s="453" t="n"/>
      <c r="D51" s="453" t="n"/>
      <c r="E51" s="453" t="n"/>
      <c r="F51" s="453" t="n"/>
      <c r="G51" s="453" t="n"/>
      <c r="H51" s="453" t="n"/>
      <c r="I51" s="453" t="n"/>
      <c r="J51" s="55" t="inlineStr">
        <is>
          <t>Total (A1+A2)</t>
        </is>
      </c>
      <c r="K51" s="59">
        <f>K50+M22</f>
        <v/>
      </c>
    </row>
    <row r="52" ht="18.5" customHeight="1" s="450">
      <c r="A52" s="521" t="inlineStr">
        <is>
          <t>Others Details</t>
        </is>
      </c>
      <c r="B52" s="439" t="n"/>
      <c r="C52" s="439" t="n"/>
      <c r="D52" s="439" t="n"/>
      <c r="E52" s="439" t="n"/>
      <c r="F52" s="439" t="n"/>
      <c r="G52" s="439" t="n"/>
      <c r="H52" s="439" t="n"/>
      <c r="I52" s="439" t="n"/>
      <c r="J52" s="439" t="n"/>
      <c r="K52" s="437" t="n"/>
      <c r="N52">
        <f>IF('Input-Output'!B5&lt;20000,20000,IF('Input-Output'!B5&lt;40000,40000,IF('Input-Output'!B5&lt;60000,60000,80000)))</f>
        <v/>
      </c>
    </row>
    <row r="53" ht="29" customHeight="1" s="450">
      <c r="A53" s="522" t="inlineStr">
        <is>
          <t>Item Description</t>
        </is>
      </c>
      <c r="B53" s="439" t="n"/>
      <c r="C53" s="439" t="n"/>
      <c r="D53" s="439" t="n"/>
      <c r="E53" s="437" t="n"/>
      <c r="F53" s="526" t="inlineStr">
        <is>
          <t>TVS/Supplier</t>
        </is>
      </c>
      <c r="G53" s="437" t="n"/>
      <c r="H53" s="340" t="n"/>
      <c r="I53" s="526" t="inlineStr">
        <is>
          <t>Time in Hrs</t>
        </is>
      </c>
      <c r="J53" s="526" t="inlineStr">
        <is>
          <t>Rate / Hour</t>
        </is>
      </c>
      <c r="K53" s="526" t="inlineStr">
        <is>
          <t>Amount in Rs</t>
        </is>
      </c>
      <c r="M53" s="212" t="inlineStr">
        <is>
          <t>Dimension Factor</t>
        </is>
      </c>
      <c r="N53">
        <f>VLOOKUP(N52,M54:N57,2,FALSE)</f>
        <v/>
      </c>
    </row>
    <row r="54">
      <c r="A54" s="523" t="inlineStr">
        <is>
          <t>Design Cost</t>
        </is>
      </c>
      <c r="B54" s="439" t="n"/>
      <c r="C54" s="439" t="n"/>
      <c r="D54" s="439" t="n"/>
      <c r="E54" s="437" t="n"/>
      <c r="F54" s="518" t="inlineStr">
        <is>
          <t>TVS</t>
        </is>
      </c>
      <c r="G54" s="437" t="n"/>
      <c r="H54" s="339" t="n"/>
      <c r="I54" s="518">
        <f>50*VLOOKUP('INJ. MOULDING ESTIMATION'!C16,COMPLEXITY!A1:B7,2,FALSE)</f>
        <v/>
      </c>
      <c r="J54" s="518" t="n">
        <v>800</v>
      </c>
      <c r="K54" s="518">
        <f>J54*I54*N53</f>
        <v/>
      </c>
      <c r="M54" t="n">
        <v>20000</v>
      </c>
      <c r="N54" t="n">
        <v>0.6</v>
      </c>
    </row>
    <row r="55">
      <c r="A55" s="523" t="inlineStr">
        <is>
          <t>Assembly Cost</t>
        </is>
      </c>
      <c r="B55" s="439" t="n"/>
      <c r="C55" s="439" t="n"/>
      <c r="D55" s="439" t="n"/>
      <c r="E55" s="437" t="n"/>
      <c r="F55" s="518" t="inlineStr">
        <is>
          <t>TVS</t>
        </is>
      </c>
      <c r="G55" s="437" t="n"/>
      <c r="H55" s="339" t="n"/>
      <c r="I55" s="518">
        <f>30*VLOOKUP('INJ. MOULDING ESTIMATION'!C16,COMPLEXITY!A1:B7,2,TRUE)</f>
        <v/>
      </c>
      <c r="J55" s="518" t="n">
        <v>350</v>
      </c>
      <c r="K55" s="518">
        <f>J55*I55*N53</f>
        <v/>
      </c>
      <c r="M55" t="n">
        <v>40000</v>
      </c>
      <c r="N55" t="n">
        <v>0.8</v>
      </c>
    </row>
    <row r="56">
      <c r="A56" s="523" t="inlineStr">
        <is>
          <t>Mold Flow Charges</t>
        </is>
      </c>
      <c r="B56" s="439" t="n"/>
      <c r="C56" s="439" t="n"/>
      <c r="D56" s="439" t="n"/>
      <c r="E56" s="437" t="n"/>
      <c r="F56" s="518" t="inlineStr">
        <is>
          <t>TVS</t>
        </is>
      </c>
      <c r="G56" s="437" t="n"/>
      <c r="H56" s="339">
        <f>Website!B8</f>
        <v/>
      </c>
      <c r="I56" s="518">
        <f>1*VLOOKUP('INJ. MOULDING ESTIMATION'!C16,COMPLEXITY!A1:B7,2,TRUE)</f>
        <v/>
      </c>
      <c r="J56" s="518" t="n">
        <v>40000</v>
      </c>
      <c r="K56" s="518">
        <f>IF(H56,J56*I56,0)</f>
        <v/>
      </c>
      <c r="M56" t="n">
        <v>60000</v>
      </c>
      <c r="N56" t="n">
        <v>1</v>
      </c>
    </row>
    <row r="57">
      <c r="A57" s="523" t="inlineStr">
        <is>
          <t>Trial Charges</t>
        </is>
      </c>
      <c r="B57" s="439" t="n"/>
      <c r="C57" s="439" t="n"/>
      <c r="D57" s="439" t="n"/>
      <c r="E57" s="437" t="n"/>
      <c r="F57" s="518" t="inlineStr">
        <is>
          <t>TVS</t>
        </is>
      </c>
      <c r="G57" s="437" t="n"/>
      <c r="H57" s="339" t="n"/>
      <c r="I57" s="518">
        <f>1*VLOOKUP('INJ. MOULDING ESTIMATION'!C16,COMPLEXITY!A2:B7,2,TRUE)</f>
        <v/>
      </c>
      <c r="J57" s="518" t="n">
        <v>10000</v>
      </c>
      <c r="K57" s="518">
        <f>I57*J57</f>
        <v/>
      </c>
      <c r="M57" t="n">
        <v>80000</v>
      </c>
      <c r="N57" t="n">
        <v>1.2</v>
      </c>
    </row>
    <row r="58">
      <c r="A58" s="523" t="inlineStr">
        <is>
          <t>Surface Generation</t>
        </is>
      </c>
      <c r="B58" s="439" t="n"/>
      <c r="C58" s="439" t="n"/>
      <c r="D58" s="439" t="n"/>
      <c r="E58" s="437" t="n"/>
      <c r="F58" s="518" t="inlineStr">
        <is>
          <t>TVS</t>
        </is>
      </c>
      <c r="G58" s="437" t="n"/>
      <c r="H58" s="339" t="n"/>
      <c r="I58" s="518">
        <f>20*VLOOKUP('INJ. MOULDING ESTIMATION'!C16,COMPLEXITY!A1:B7,2,TRUE)</f>
        <v/>
      </c>
      <c r="J58" s="518" t="n">
        <v>800</v>
      </c>
      <c r="K58" s="518">
        <f>J58*I58*N53</f>
        <v/>
      </c>
    </row>
    <row r="59">
      <c r="A59" s="523" t="inlineStr">
        <is>
          <t>Inspection &amp; Proving</t>
        </is>
      </c>
      <c r="B59" s="439" t="n"/>
      <c r="C59" s="439" t="n"/>
      <c r="D59" s="439" t="n"/>
      <c r="E59" s="437" t="n"/>
      <c r="F59" s="518" t="inlineStr">
        <is>
          <t>TVS</t>
        </is>
      </c>
      <c r="G59" s="437" t="n"/>
      <c r="H59" s="339" t="n"/>
      <c r="I59" s="316">
        <f>50*VLOOKUP('INJ. MOULDING ESTIMATION'!C16,COMPLEXITY!A2:B7,2,TRUE)</f>
        <v/>
      </c>
      <c r="J59" s="518" t="n">
        <v>1000</v>
      </c>
      <c r="K59" s="518">
        <f>I59*J59</f>
        <v/>
      </c>
    </row>
    <row r="60">
      <c r="J60" s="55" t="inlineStr">
        <is>
          <t>TOTAL (C)</t>
        </is>
      </c>
      <c r="K60" s="60">
        <f>SUM(K54:K59)</f>
        <v/>
      </c>
    </row>
    <row r="62">
      <c r="I62">
        <f>VLOOKUP('INJ. MOULDING ESTIMATION'!C16,COMPLEXITY!A1:B7,2,TRUE)</f>
        <v/>
      </c>
    </row>
    <row r="63">
      <c r="C63" s="532" t="inlineStr">
        <is>
          <t>TOTAL(A+B+C)</t>
        </is>
      </c>
      <c r="D63" s="439" t="n"/>
      <c r="E63" s="437" t="n"/>
      <c r="F63" s="47">
        <f>SUM(M22+K50+K60)</f>
        <v/>
      </c>
    </row>
    <row r="65" ht="18.5" customHeight="1" s="450">
      <c r="A65" s="521" t="inlineStr">
        <is>
          <t>Conversion / Machining Cost</t>
        </is>
      </c>
      <c r="B65" s="439" t="n"/>
      <c r="C65" s="439" t="n"/>
      <c r="D65" s="439" t="n"/>
      <c r="E65" s="439" t="n"/>
      <c r="F65" s="439" t="n"/>
      <c r="G65" s="439" t="n"/>
      <c r="H65" s="439" t="n"/>
      <c r="I65" s="439" t="n"/>
      <c r="J65" s="439" t="n"/>
      <c r="K65" s="439" t="n"/>
      <c r="L65" s="439" t="n"/>
      <c r="M65" s="439" t="n"/>
      <c r="N65" s="439" t="n"/>
      <c r="O65" s="439" t="n"/>
      <c r="P65" s="437" t="n"/>
    </row>
    <row r="66" ht="43.5" customHeight="1" s="450">
      <c r="B66" s="526" t="inlineStr">
        <is>
          <t>Conv Milling - Facing</t>
        </is>
      </c>
      <c r="C66" s="526" t="inlineStr">
        <is>
          <t>Conv Milling - End Milling</t>
        </is>
      </c>
      <c r="D66" s="526" t="inlineStr">
        <is>
          <t>Conv Lathe - Facing / Turning</t>
        </is>
      </c>
      <c r="E66" s="526" t="inlineStr">
        <is>
          <t>Surface Grinding</t>
        </is>
      </c>
      <c r="F66" s="526" t="inlineStr">
        <is>
          <t>Cylindrical Grinding</t>
        </is>
      </c>
      <c r="G66" s="526" t="inlineStr">
        <is>
          <t>Radial Drilling - Hole drilling</t>
        </is>
      </c>
      <c r="H66" s="526" t="inlineStr">
        <is>
          <t>Radial Drilling - Reaming / Tapping</t>
        </is>
      </c>
      <c r="I66" s="526" t="inlineStr">
        <is>
          <t>Pillar Drilling</t>
        </is>
      </c>
      <c r="J66" s="526" t="inlineStr">
        <is>
          <t>Gun Drilling</t>
        </is>
      </c>
      <c r="K66" s="526" t="inlineStr">
        <is>
          <t>NC EDM</t>
        </is>
      </c>
      <c r="L66" s="526" t="inlineStr">
        <is>
          <t>Wirecut EDM</t>
        </is>
      </c>
      <c r="M66" s="526" t="inlineStr">
        <is>
          <t>Jig Boring</t>
        </is>
      </c>
      <c r="N66" s="526" t="inlineStr">
        <is>
          <t>CNC Lathe</t>
        </is>
      </c>
      <c r="O66" s="526" t="inlineStr">
        <is>
          <t>CNC Milling</t>
        </is>
      </c>
      <c r="P66" s="526" t="inlineStr">
        <is>
          <t>CNC EDM</t>
        </is>
      </c>
      <c r="Q66" s="526" t="inlineStr">
        <is>
          <t>Bench Work</t>
        </is>
      </c>
    </row>
    <row r="67">
      <c r="A67" t="inlineStr">
        <is>
          <t>Top Clamp Plate</t>
        </is>
      </c>
      <c r="B67" s="615">
        <f>SUMIF('Machining Time'!$C$4:$C$18,'Mould Costing'!B66,'Machining Time'!$L$4:$L$18)</f>
        <v/>
      </c>
      <c r="C67" s="615">
        <f>SUMIF('Machining Time'!$C$4:$C$18,'Mould Costing'!C66,'Machining Time'!$L$4:$L$18)</f>
        <v/>
      </c>
      <c r="D67" s="615">
        <f>SUMIF('Machining Time'!$C$4:$C$18,'Mould Costing'!D66,'Machining Time'!$L$4:$L$18)</f>
        <v/>
      </c>
      <c r="E67" s="615">
        <f>SUMIF('Machining Time'!$C$4:$C$18,'Mould Costing'!E66,'Machining Time'!$L$4:$L$18)</f>
        <v/>
      </c>
      <c r="F67" s="615">
        <f>SUMIF('Machining Time'!$C$4:$C$18,'Mould Costing'!F66,'Machining Time'!$L$4:$L$18)</f>
        <v/>
      </c>
      <c r="G67" s="615">
        <f>SUMIF('Machining Time'!$C$4:$C$18,'Mould Costing'!G66,'Machining Time'!$L$4:$L$18)</f>
        <v/>
      </c>
      <c r="H67" s="615">
        <f>SUMIF('Machining Time'!$C$4:$C$18,'Mould Costing'!H66,'Machining Time'!$L$4:$L$18)</f>
        <v/>
      </c>
      <c r="I67" s="615">
        <f>SUMIF('Machining Time'!$C$4:$C$18,'Mould Costing'!I66,'Machining Time'!$L$4:$L$18)</f>
        <v/>
      </c>
      <c r="J67" s="615">
        <f>SUMIF('Machining Time'!$C$4:$C$18,'Mould Costing'!J66,'Machining Time'!$L$4:$L$18)</f>
        <v/>
      </c>
      <c r="K67" s="615">
        <f>SUMIF('Machining Time'!$C$4:$C$18,'Mould Costing'!K66,'Machining Time'!$L$4:$L$18)</f>
        <v/>
      </c>
      <c r="L67" s="615">
        <f>SUMIF('Machining Time'!$C$4:$C$18,'Mould Costing'!L66,'Machining Time'!$L$4:$L$18)</f>
        <v/>
      </c>
      <c r="M67" s="615">
        <f>SUMIF('Machining Time'!$C$4:$C$18,'Mould Costing'!M66,'Machining Time'!$L$4:$L$18)</f>
        <v/>
      </c>
      <c r="N67" s="615">
        <f>SUMIF('Machining Time'!$C$4:$C$18,'Mould Costing'!N66,'Machining Time'!$L$4:$L$18)</f>
        <v/>
      </c>
      <c r="O67" s="615">
        <f>SUMIF('Machining Time'!$C$4:$C$18,'Mould Costing'!O66,'Machining Time'!$L$4:$L$18)</f>
        <v/>
      </c>
      <c r="P67" s="615">
        <f>SUMIF('Machining Time'!$C$4:$C$18,'Mould Costing'!P66,'Machining Time'!$L$4:$L$18)</f>
        <v/>
      </c>
      <c r="Q67" s="616" t="n">
        <v>4</v>
      </c>
    </row>
    <row r="68">
      <c r="A68" t="inlineStr">
        <is>
          <t>Bottom Clamp Plate</t>
        </is>
      </c>
      <c r="B68" s="615">
        <f>SUMIF('Machining Time'!$C$23:$C$37,'Mould Costing'!B$66,'Machining Time'!$L$23:$L$37)</f>
        <v/>
      </c>
      <c r="C68" s="615">
        <f>SUMIF('Machining Time'!$C$23:$C$37,'Mould Costing'!C66,'Machining Time'!$L$23:$L$37)</f>
        <v/>
      </c>
      <c r="D68" s="615">
        <f>SUMIF('Machining Time'!$C$23:$C$37,'Mould Costing'!D66,'Machining Time'!$L$23:$L$37)</f>
        <v/>
      </c>
      <c r="E68" s="615">
        <f>SUMIF('Machining Time'!$C$23:$C$37,'Mould Costing'!E66,'Machining Time'!$L$23:$L$37)</f>
        <v/>
      </c>
      <c r="F68" s="615">
        <f>SUMIF('Machining Time'!$C$23:$C$37,'Mould Costing'!F66,'Machining Time'!$L$23:$L$37)</f>
        <v/>
      </c>
      <c r="G68" s="615">
        <f>SUMIF('Machining Time'!$C$23:$C$37,'Mould Costing'!G66,'Machining Time'!$L$23:$L$37)</f>
        <v/>
      </c>
      <c r="H68" s="615">
        <f>SUMIF('Machining Time'!$C$23:$C$37,'Mould Costing'!H66,'Machining Time'!$L$23:$L$37)</f>
        <v/>
      </c>
      <c r="I68" s="615">
        <f>SUMIF('Machining Time'!$C$23:$C$37,'Mould Costing'!I66,'Machining Time'!$L$23:$L$37)</f>
        <v/>
      </c>
      <c r="J68" s="615">
        <f>SUMIF('Machining Time'!$C$23:$C$37,'Mould Costing'!J66,'Machining Time'!$L$23:$L$37)</f>
        <v/>
      </c>
      <c r="K68" s="615">
        <f>SUMIF('Machining Time'!$C$23:$C$37,'Mould Costing'!K66,'Machining Time'!$L$23:$L$37)</f>
        <v/>
      </c>
      <c r="L68" s="615">
        <f>SUMIF('Machining Time'!$C$23:$C$37,'Mould Costing'!L66,'Machining Time'!$L$23:$L$37)</f>
        <v/>
      </c>
      <c r="M68" s="615">
        <f>SUMIF('Machining Time'!$C$23:$C$37,'Mould Costing'!M66,'Machining Time'!$L$23:$L$37)</f>
        <v/>
      </c>
      <c r="N68" s="615">
        <f>SUMIF('Machining Time'!$C$23:$C$37,'Mould Costing'!N66,'Machining Time'!$L$23:$L$37)</f>
        <v/>
      </c>
      <c r="O68" s="615">
        <f>SUMIF('Machining Time'!$C$23:$C$37,'Mould Costing'!O66,'Machining Time'!$L$23:$L$37)</f>
        <v/>
      </c>
      <c r="P68" s="615">
        <f>SUMIF('Machining Time'!$C$23:$C$37,'Mould Costing'!P66,'Machining Time'!$L$23:$L$37)</f>
        <v/>
      </c>
      <c r="Q68" s="616" t="n">
        <v>4</v>
      </c>
    </row>
    <row r="69">
      <c r="A69" t="inlineStr">
        <is>
          <t>Spacer Block</t>
        </is>
      </c>
      <c r="B69" s="615">
        <f>SUMIF('Machining Time'!$C$42:$C$57,'Mould Costing'!B$66,'Machining Time'!$L$42:$L$57)</f>
        <v/>
      </c>
      <c r="C69" s="615">
        <f>SUMIF('Machining Time'!$C$42:$C$57,'Mould Costing'!C$66,'Machining Time'!$L$42:$L$57)</f>
        <v/>
      </c>
      <c r="D69" s="615">
        <f>SUMIF('Machining Time'!$C$42:$C$57,'Mould Costing'!D$66,'Machining Time'!$L$42:$L$57)</f>
        <v/>
      </c>
      <c r="E69" s="615">
        <f>SUMIF('Machining Time'!$C$42:$C$57,'Mould Costing'!E$66,'Machining Time'!$L$42:$L$57)</f>
        <v/>
      </c>
      <c r="F69" s="615">
        <f>SUMIF('Machining Time'!$C$42:$C$57,'Mould Costing'!F$66,'Machining Time'!$L$42:$L$57)</f>
        <v/>
      </c>
      <c r="G69" s="615">
        <f>SUMIF('Machining Time'!$C$42:$C$57,'Mould Costing'!G$66,'Machining Time'!$L$42:$L$57)</f>
        <v/>
      </c>
      <c r="H69" s="615">
        <f>SUMIF('Machining Time'!$C$42:$C$57,'Mould Costing'!H$66,'Machining Time'!$L$42:$L$57)</f>
        <v/>
      </c>
      <c r="I69" s="615">
        <f>SUMIF('Machining Time'!$C$42:$C$57,'Mould Costing'!I$66,'Machining Time'!$L$42:$L$57)</f>
        <v/>
      </c>
      <c r="J69" s="615">
        <f>SUMIF('Machining Time'!$C$42:$C$57,'Mould Costing'!J$66,'Machining Time'!$L$42:$L$57)</f>
        <v/>
      </c>
      <c r="K69" s="615">
        <f>SUMIF('Machining Time'!$C$42:$C$57,'Mould Costing'!K$66,'Machining Time'!$L$42:$L$57)</f>
        <v/>
      </c>
      <c r="L69" s="615">
        <f>SUMIF('Machining Time'!$C$42:$C$57,'Mould Costing'!L$66,'Machining Time'!$L$42:$L$57)</f>
        <v/>
      </c>
      <c r="M69" s="615">
        <f>SUMIF('Machining Time'!$C$42:$C$57,'Mould Costing'!M$66,'Machining Time'!$L$42:$L$57)</f>
        <v/>
      </c>
      <c r="N69" s="615">
        <f>SUMIF('Machining Time'!$C$42:$C$57,'Mould Costing'!N$66,'Machining Time'!$L$42:$L$57)</f>
        <v/>
      </c>
      <c r="O69" s="615">
        <f>SUMIF('Machining Time'!$C$42:$C$57,'Mould Costing'!O$66,'Machining Time'!$L$42:$L$57)</f>
        <v/>
      </c>
      <c r="P69" s="615">
        <f>SUMIF('Machining Time'!$C$42:$C$57,'Mould Costing'!P$66,'Machining Time'!$L$42:$L$57)</f>
        <v/>
      </c>
      <c r="Q69" s="616" t="n">
        <v>4</v>
      </c>
    </row>
    <row r="70">
      <c r="A70" t="inlineStr">
        <is>
          <t>Ejector Retainer Plate</t>
        </is>
      </c>
      <c r="B70" s="615">
        <f>SUMIF('Machining Time'!$C$61:$C$76,'Mould Costing'!B$66,'Machining Time'!$L$61:$L$76)</f>
        <v/>
      </c>
      <c r="C70" s="615">
        <f>SUMIF('Machining Time'!$C$61:$C$76,'Mould Costing'!C$66,'Machining Time'!$L$61:$L$76)</f>
        <v/>
      </c>
      <c r="D70" s="615">
        <f>SUMIF('Machining Time'!$C$61:$C$76,'Mould Costing'!D$66,'Machining Time'!$L$61:$L$76)</f>
        <v/>
      </c>
      <c r="E70" s="615">
        <f>SUMIF('Machining Time'!$C$61:$C$76,'Mould Costing'!E$66,'Machining Time'!$L$61:$L$76)</f>
        <v/>
      </c>
      <c r="F70" s="615">
        <f>SUMIF('Machining Time'!$C$61:$C$76,'Mould Costing'!F$66,'Machining Time'!$L$61:$L$76)</f>
        <v/>
      </c>
      <c r="G70" s="615">
        <f>SUMIF('Machining Time'!$C$61:$C$76,'Mould Costing'!G$66,'Machining Time'!$L$61:$L$76)</f>
        <v/>
      </c>
      <c r="H70" s="615">
        <f>SUMIF('Machining Time'!$C$61:$C$76,'Mould Costing'!H$66,'Machining Time'!$L$61:$L$76)</f>
        <v/>
      </c>
      <c r="I70" s="615">
        <f>SUMIF('Machining Time'!$C$61:$C$76,'Mould Costing'!I$66,'Machining Time'!$L$61:$L$76)</f>
        <v/>
      </c>
      <c r="J70" s="615">
        <f>SUMIF('Machining Time'!$C$61:$C$76,'Mould Costing'!J$66,'Machining Time'!$L$61:$L$76)</f>
        <v/>
      </c>
      <c r="K70" s="615">
        <f>SUMIF('Machining Time'!$C$61:$C$76,'Mould Costing'!K$66,'Machining Time'!$L$61:$L$76)</f>
        <v/>
      </c>
      <c r="L70" s="615">
        <f>SUMIF('Machining Time'!$C$61:$C$76,'Mould Costing'!L$66,'Machining Time'!$L$61:$L$76)</f>
        <v/>
      </c>
      <c r="M70" s="615">
        <f>SUMIF('Machining Time'!$C$61:$C$76,'Mould Costing'!M$66,'Machining Time'!$L$61:$L$76)</f>
        <v/>
      </c>
      <c r="N70" s="615">
        <f>SUMIF('Machining Time'!$C$61:$C$76,'Mould Costing'!N$66,'Machining Time'!$L$61:$L$76)</f>
        <v/>
      </c>
      <c r="O70" s="615">
        <f>SUMIF('Machining Time'!$C$61:$C$76,'Mould Costing'!O$66,'Machining Time'!$L$61:$L$76)</f>
        <v/>
      </c>
      <c r="P70" s="615">
        <f>SUMIF('Machining Time'!$C$61:$C$76,'Mould Costing'!P$66,'Machining Time'!$L$61:$L$76)</f>
        <v/>
      </c>
      <c r="Q70" s="616" t="n">
        <v>2</v>
      </c>
    </row>
    <row r="71">
      <c r="A71" t="inlineStr">
        <is>
          <t>Ejector Back Plate</t>
        </is>
      </c>
      <c r="B71" s="615">
        <f>SUMIF('Machining Time'!$C$80:$C$95,'Mould Costing'!B$66,'Machining Time'!$L$80:$L$95)</f>
        <v/>
      </c>
      <c r="C71" s="615">
        <f>SUMIF('Machining Time'!$C$80:$C$95,'Mould Costing'!C$66,'Machining Time'!$L$80:$L$95)</f>
        <v/>
      </c>
      <c r="D71" s="615">
        <f>SUMIF('Machining Time'!$C$80:$C$95,'Mould Costing'!D$66,'Machining Time'!$L$80:$L$95)</f>
        <v/>
      </c>
      <c r="E71" s="615">
        <f>SUMIF('Machining Time'!$C$80:$C$95,'Mould Costing'!E$66,'Machining Time'!$L$80:$L$95)</f>
        <v/>
      </c>
      <c r="F71" s="615">
        <f>SUMIF('Machining Time'!$C$80:$C$95,'Mould Costing'!F$66,'Machining Time'!$L$80:$L$95)</f>
        <v/>
      </c>
      <c r="G71" s="615">
        <f>SUMIF('Machining Time'!$C$80:$C$95,'Mould Costing'!G$66,'Machining Time'!$L$80:$L$95)</f>
        <v/>
      </c>
      <c r="H71" s="615">
        <f>SUMIF('Machining Time'!$C$80:$C$95,'Mould Costing'!H$66,'Machining Time'!$L$80:$L$95)</f>
        <v/>
      </c>
      <c r="I71" s="615">
        <f>SUMIF('Machining Time'!$C$80:$C$95,'Mould Costing'!I$66,'Machining Time'!$L$80:$L$95)</f>
        <v/>
      </c>
      <c r="J71" s="615">
        <f>SUMIF('Machining Time'!$C$80:$C$95,'Mould Costing'!J$66,'Machining Time'!$L$80:$L$95)</f>
        <v/>
      </c>
      <c r="K71" s="615">
        <f>SUMIF('Machining Time'!$C$80:$C$95,'Mould Costing'!K$66,'Machining Time'!$L$80:$L$95)</f>
        <v/>
      </c>
      <c r="L71" s="615">
        <f>SUMIF('Machining Time'!$C$80:$C$95,'Mould Costing'!L$66,'Machining Time'!$L$80:$L$95)</f>
        <v/>
      </c>
      <c r="M71" s="615">
        <f>SUMIF('Machining Time'!$C$80:$C$95,'Mould Costing'!M$66,'Machining Time'!$L$80:$L$95)</f>
        <v/>
      </c>
      <c r="N71" s="615">
        <f>SUMIF('Machining Time'!$C$80:$C$95,'Mould Costing'!N$66,'Machining Time'!$L$80:$L$95)</f>
        <v/>
      </c>
      <c r="O71" s="615">
        <f>SUMIF('Machining Time'!$C$80:$C$95,'Mould Costing'!O$66,'Machining Time'!$L$80:$L$95)</f>
        <v/>
      </c>
      <c r="P71" s="615">
        <f>SUMIF('Machining Time'!$C$80:$C$95,'Mould Costing'!P$66,'Machining Time'!$L$80:$L$95)</f>
        <v/>
      </c>
      <c r="Q71" s="616" t="n">
        <v>2</v>
      </c>
    </row>
    <row r="72">
      <c r="A72" t="inlineStr">
        <is>
          <t>Cavity Plate</t>
        </is>
      </c>
      <c r="B72" s="615">
        <f>SUMIF('Machining Time'!$C$99:$C$115,'Mould Costing'!B$66,'Machining Time'!$L$99:$L$115)</f>
        <v/>
      </c>
      <c r="C72" s="615">
        <f>SUMIF('Machining Time'!$C$99:$C$115,'Mould Costing'!C$66,'Machining Time'!$L$99:$L$115)</f>
        <v/>
      </c>
      <c r="D72" s="615">
        <f>SUMIF('Machining Time'!$C$99:$C$115,'Mould Costing'!D$66,'Machining Time'!$L$99:$L$115)</f>
        <v/>
      </c>
      <c r="E72" s="615">
        <f>SUMIF('Machining Time'!$C$99:$C$115,'Mould Costing'!E$66,'Machining Time'!$L$99:$L$115)</f>
        <v/>
      </c>
      <c r="F72" s="615">
        <f>SUMIF('Machining Time'!$C$99:$C$115,'Mould Costing'!F$66,'Machining Time'!$L$99:$L$115)</f>
        <v/>
      </c>
      <c r="G72" s="615">
        <f>SUMIF('Machining Time'!$C$99:$C$115,'Mould Costing'!G$66,'Machining Time'!$L$99:$L$115)</f>
        <v/>
      </c>
      <c r="H72" s="615">
        <f>SUMIF('Machining Time'!$C$99:$C$115,'Mould Costing'!H$66,'Machining Time'!$L$99:$L$115)</f>
        <v/>
      </c>
      <c r="I72" s="615">
        <f>SUMIF('Machining Time'!$C$99:$C$115,'Mould Costing'!I$66,'Machining Time'!$L$99:$L$115)</f>
        <v/>
      </c>
      <c r="J72" s="615">
        <f>SUMIF('Machining Time'!$C$99:$C$115,'Mould Costing'!J$66,'Machining Time'!$L$99:$L$115)</f>
        <v/>
      </c>
      <c r="K72" s="615">
        <f>SUMIF('Machining Time'!$C$99:$C$115,'Mould Costing'!K$66,'Machining Time'!$L$99:$L$115)</f>
        <v/>
      </c>
      <c r="L72" s="615">
        <f>SUMIF('Machining Time'!$C$99:$C$115,'Mould Costing'!L$66,'Machining Time'!$L$99:$L$115)</f>
        <v/>
      </c>
      <c r="M72" s="615">
        <f>SUMIF('Machining Time'!$C$99:$C$115,'Mould Costing'!M$66,'Machining Time'!$L$99:$L$115)</f>
        <v/>
      </c>
      <c r="N72" s="615">
        <f>SUMIF('Machining Time'!$C$99:$C$115,'Mould Costing'!N$66,'Machining Time'!$L$99:$L$115)</f>
        <v/>
      </c>
      <c r="O72" s="615">
        <f>SUMIF('Machining Time'!$C$99:$C$115,'Mould Costing'!O$66,'Machining Time'!$L$99:$L$115)</f>
        <v/>
      </c>
      <c r="P72" s="615">
        <f>SUMIF('Machining Time'!$C$99:$C$115,'Mould Costing'!P$66,'Machining Time'!$L$99:$L$115)</f>
        <v/>
      </c>
      <c r="Q72" s="616" t="n">
        <v>8</v>
      </c>
    </row>
    <row r="73">
      <c r="A73" t="inlineStr">
        <is>
          <t>Core Plate</t>
        </is>
      </c>
      <c r="B73" s="615">
        <f>SUMIF('Machining Time'!$C$120:$C$136,'Mould Costing'!B$66,'Machining Time'!$L$120:$L$136)</f>
        <v/>
      </c>
      <c r="C73" s="615">
        <f>SUMIF('Machining Time'!$C$120:$C$136,'Mould Costing'!C$66,'Machining Time'!$L$120:$L$136)</f>
        <v/>
      </c>
      <c r="D73" s="615">
        <f>SUMIF('Machining Time'!$C$120:$C$136,'Mould Costing'!D$66,'Machining Time'!$L$120:$L$136)</f>
        <v/>
      </c>
      <c r="E73" s="615">
        <f>SUMIF('Machining Time'!$C$120:$C$136,'Mould Costing'!E$66,'Machining Time'!$L$120:$L$136)</f>
        <v/>
      </c>
      <c r="F73" s="615">
        <f>SUMIF('Machining Time'!$C$120:$C$136,'Mould Costing'!F$66,'Machining Time'!$L$120:$L$136)</f>
        <v/>
      </c>
      <c r="G73" s="615">
        <f>SUMIF('Machining Time'!$C$120:$C$136,'Mould Costing'!G$66,'Machining Time'!$L$120:$L$136)</f>
        <v/>
      </c>
      <c r="H73" s="615">
        <f>SUMIF('Machining Time'!$C$120:$C$136,'Mould Costing'!H$66,'Machining Time'!$L$120:$L$136)</f>
        <v/>
      </c>
      <c r="I73" s="615">
        <f>SUMIF('Machining Time'!$C$120:$C$136,'Mould Costing'!I$66,'Machining Time'!$L$120:$L$136)</f>
        <v/>
      </c>
      <c r="J73" s="615">
        <f>SUMIF('Machining Time'!$C$120:$C$136,'Mould Costing'!J$66,'Machining Time'!$L$120:$L$136)</f>
        <v/>
      </c>
      <c r="K73" s="615">
        <f>SUMIF('Machining Time'!$C$120:$C$136,'Mould Costing'!K$66,'Machining Time'!$L$120:$L$136)</f>
        <v/>
      </c>
      <c r="L73" s="615">
        <f>SUMIF('Machining Time'!$C$120:$C$136,'Mould Costing'!L$66,'Machining Time'!$L$120:$L$136)</f>
        <v/>
      </c>
      <c r="M73" s="615">
        <f>SUMIF('Machining Time'!$C$120:$C$136,'Mould Costing'!M$66,'Machining Time'!$L$120:$L$136)</f>
        <v/>
      </c>
      <c r="N73" s="615">
        <f>SUMIF('Machining Time'!$C$120:$C$136,'Mould Costing'!N$66,'Machining Time'!$L$120:$L$136)</f>
        <v/>
      </c>
      <c r="O73" s="615">
        <f>SUMIF('Machining Time'!$C$120:$C$136,'Mould Costing'!O$66,'Machining Time'!$L$120:$L$136)</f>
        <v/>
      </c>
      <c r="P73" s="615">
        <f>SUMIF('Machining Time'!$C$120:$C$136,'Mould Costing'!P$66,'Machining Time'!$L$120:$L$136)</f>
        <v/>
      </c>
      <c r="Q73" s="616" t="n">
        <v>8</v>
      </c>
    </row>
    <row r="74">
      <c r="A74" t="inlineStr">
        <is>
          <t>Guide Pillar</t>
        </is>
      </c>
      <c r="B74" s="615">
        <f>SUMIF('Machining Time'!$C$140:$C$156,'Mould Costing'!B$66,'Machining Time'!$L$140:$L$156)</f>
        <v/>
      </c>
      <c r="C74" s="615">
        <f>SUMIF('Machining Time'!$C$140:$C$156,'Mould Costing'!C$66,'Machining Time'!$L$140:$L$156)</f>
        <v/>
      </c>
      <c r="D74" s="615">
        <f>SUMIF('Machining Time'!$C$140:$C$156,'Mould Costing'!D$66,'Machining Time'!$L$140:$L$156)</f>
        <v/>
      </c>
      <c r="E74" s="615">
        <f>SUMIF('Machining Time'!$C$140:$C$156,'Mould Costing'!E$66,'Machining Time'!$L$140:$L$156)</f>
        <v/>
      </c>
      <c r="F74" s="615">
        <f>SUMIF('Machining Time'!$C$140:$C$156,'Mould Costing'!F$66,'Machining Time'!$L$140:$L$156)</f>
        <v/>
      </c>
      <c r="G74" s="615">
        <f>SUMIF('Machining Time'!$C$140:$C$156,'Mould Costing'!G$66,'Machining Time'!$L$140:$L$156)</f>
        <v/>
      </c>
      <c r="H74" s="615">
        <f>SUMIF('Machining Time'!$C$140:$C$156,'Mould Costing'!H$66,'Machining Time'!$L$140:$L$156)</f>
        <v/>
      </c>
      <c r="I74" s="615">
        <f>SUMIF('Machining Time'!$C$140:$C$156,'Mould Costing'!I$66,'Machining Time'!$L$140:$L$156)</f>
        <v/>
      </c>
      <c r="J74" s="615">
        <f>SUMIF('Machining Time'!$C$140:$C$156,'Mould Costing'!J$66,'Machining Time'!$L$140:$L$156)</f>
        <v/>
      </c>
      <c r="K74" s="615">
        <f>SUMIF('Machining Time'!$C$140:$C$156,'Mould Costing'!K$66,'Machining Time'!$L$140:$L$156)</f>
        <v/>
      </c>
      <c r="L74" s="615">
        <f>SUMIF('Machining Time'!$C$140:$C$156,'Mould Costing'!L$66,'Machining Time'!$L$140:$L$156)</f>
        <v/>
      </c>
      <c r="M74" s="615">
        <f>SUMIF('Machining Time'!$C$140:$C$156,'Mould Costing'!M$66,'Machining Time'!$L$140:$L$156)</f>
        <v/>
      </c>
      <c r="N74" s="615">
        <f>SUMIF('Machining Time'!$C$140:$C$156,'Mould Costing'!N$66,'Machining Time'!$L$140:$L$156)</f>
        <v/>
      </c>
      <c r="O74" s="615">
        <f>SUMIF('Machining Time'!$C$140:$C$156,'Mould Costing'!O$66,'Machining Time'!$L$140:$L$156)</f>
        <v/>
      </c>
      <c r="P74" s="615">
        <f>SUMIF('Machining Time'!$C$140:$C$156,'Mould Costing'!P$66,'Machining Time'!$L$140:$L$156)</f>
        <v/>
      </c>
      <c r="Q74" s="615" t="n"/>
    </row>
    <row r="75">
      <c r="A75" t="inlineStr">
        <is>
          <t>Guide Bush</t>
        </is>
      </c>
      <c r="B75" s="615">
        <f>SUMIF('Machining Time'!$C$159:$C$174,'Mould Costing'!B$66,'Machining Time'!$L$159:$L$174)</f>
        <v/>
      </c>
      <c r="C75" s="615">
        <f>SUMIF('Machining Time'!$C$159:$C$174,'Mould Costing'!C$66,'Machining Time'!$L$159:$L$174)</f>
        <v/>
      </c>
      <c r="D75" s="615">
        <f>SUMIF('Machining Time'!$C$159:$C$174,'Mould Costing'!D$66,'Machining Time'!$L$159:$L$174)</f>
        <v/>
      </c>
      <c r="E75" s="615">
        <f>SUMIF('Machining Time'!$C$159:$C$174,'Mould Costing'!E$66,'Machining Time'!$L$159:$L$174)</f>
        <v/>
      </c>
      <c r="F75" s="615">
        <f>SUMIF('Machining Time'!$C$159:$C$174,'Mould Costing'!F$66,'Machining Time'!$L$159:$L$174)</f>
        <v/>
      </c>
      <c r="G75" s="615">
        <f>SUMIF('Machining Time'!$C$159:$C$174,'Mould Costing'!G$66,'Machining Time'!$L$159:$L$174)</f>
        <v/>
      </c>
      <c r="H75" s="615">
        <f>SUMIF('Machining Time'!$C$159:$C$174,'Mould Costing'!H$66,'Machining Time'!$L$159:$L$174)</f>
        <v/>
      </c>
      <c r="I75" s="615">
        <f>SUMIF('Machining Time'!$C$159:$C$174,'Mould Costing'!I$66,'Machining Time'!$L$159:$L$174)</f>
        <v/>
      </c>
      <c r="J75" s="615">
        <f>SUMIF('Machining Time'!$C$159:$C$174,'Mould Costing'!J$66,'Machining Time'!$L$159:$L$174)</f>
        <v/>
      </c>
      <c r="K75" s="615">
        <f>SUMIF('Machining Time'!$C$159:$C$174,'Mould Costing'!K$66,'Machining Time'!$L$159:$L$174)</f>
        <v/>
      </c>
      <c r="L75" s="615">
        <f>SUMIF('Machining Time'!$C$159:$C$174,'Mould Costing'!L$66,'Machining Time'!$L$159:$L$174)</f>
        <v/>
      </c>
      <c r="M75" s="615">
        <f>SUMIF('Machining Time'!$C$159:$C$174,'Mould Costing'!M$66,'Machining Time'!$L$159:$L$174)</f>
        <v/>
      </c>
      <c r="N75" s="615">
        <f>SUMIF('Machining Time'!$C$159:$C$174,'Mould Costing'!N$66,'Machining Time'!$L$159:$L$174)</f>
        <v/>
      </c>
      <c r="O75" s="615">
        <f>SUMIF('Machining Time'!$C$159:$C$174,'Mould Costing'!O$66,'Machining Time'!$L$159:$L$174)</f>
        <v/>
      </c>
      <c r="P75" s="615">
        <f>SUMIF('Machining Time'!$C$159:$C$174,'Mould Costing'!P$66,'Machining Time'!$L$159:$L$174)</f>
        <v/>
      </c>
      <c r="Q75" s="616" t="n">
        <v>2</v>
      </c>
    </row>
    <row r="76">
      <c r="B76" s="615" t="n"/>
      <c r="C76" s="615" t="n"/>
      <c r="D76" s="615" t="n"/>
      <c r="E76" s="615" t="n"/>
      <c r="F76" s="615" t="n"/>
      <c r="G76" s="615" t="n"/>
      <c r="H76" s="615" t="n"/>
      <c r="I76" s="615" t="n"/>
      <c r="J76" s="615" t="n"/>
      <c r="K76" s="615" t="n"/>
      <c r="L76" s="615" t="n"/>
      <c r="M76" s="615" t="n"/>
      <c r="N76" s="615" t="n"/>
      <c r="O76" s="615" t="n"/>
      <c r="P76" s="615" t="n"/>
      <c r="Q76" s="616" t="n">
        <v>2</v>
      </c>
    </row>
    <row r="77">
      <c r="B77" s="615" t="n"/>
      <c r="C77" s="615" t="n"/>
      <c r="D77" s="615" t="n"/>
      <c r="E77" s="615" t="n"/>
      <c r="F77" s="615" t="n"/>
      <c r="G77" s="615" t="n"/>
      <c r="H77" s="615" t="n"/>
      <c r="I77" s="615" t="n"/>
      <c r="J77" s="615" t="n"/>
      <c r="K77" s="615" t="n"/>
      <c r="L77" s="615" t="n"/>
      <c r="M77" s="615" t="n"/>
      <c r="N77" s="615" t="n"/>
      <c r="O77" s="615" t="n"/>
      <c r="P77" s="615" t="n"/>
      <c r="Q77" s="616" t="n">
        <v>4</v>
      </c>
    </row>
    <row r="78">
      <c r="B78" s="615" t="n"/>
      <c r="C78" s="615" t="n"/>
      <c r="D78" s="615" t="n"/>
      <c r="E78" s="615" t="n"/>
      <c r="F78" s="615" t="n"/>
      <c r="G78" s="615" t="n"/>
      <c r="H78" s="615" t="n"/>
      <c r="I78" s="615" t="n"/>
      <c r="J78" s="615" t="n"/>
      <c r="K78" s="615" t="n"/>
      <c r="L78" s="615" t="n"/>
      <c r="M78" s="615" t="n"/>
      <c r="N78" s="615" t="n"/>
      <c r="O78" s="615" t="n"/>
      <c r="P78" s="615" t="n"/>
      <c r="Q78" s="616" t="n">
        <v>4</v>
      </c>
    </row>
    <row r="79">
      <c r="B79" s="615" t="n"/>
      <c r="C79" s="615" t="n"/>
      <c r="D79" s="615" t="n"/>
      <c r="E79" s="615" t="n"/>
      <c r="F79" s="615" t="n"/>
      <c r="G79" s="615" t="n"/>
      <c r="H79" s="615" t="n"/>
      <c r="I79" s="615" t="n"/>
      <c r="J79" s="615" t="n"/>
      <c r="K79" s="615" t="n"/>
      <c r="L79" s="615" t="n"/>
      <c r="M79" s="615" t="n"/>
      <c r="N79" s="615" t="n"/>
      <c r="O79" s="615" t="n"/>
      <c r="P79" s="615" t="n"/>
      <c r="Q79" s="615" t="n"/>
      <c r="R79" s="112" t="inlineStr">
        <is>
          <t>TOTAL HOUR</t>
        </is>
      </c>
    </row>
    <row r="80">
      <c r="B80" s="617">
        <f>SUM(B67:B79)</f>
        <v/>
      </c>
      <c r="C80" s="617">
        <f>SUM(C67:C79)</f>
        <v/>
      </c>
      <c r="D80" s="617">
        <f>SUM(D67:D79)</f>
        <v/>
      </c>
      <c r="E80" s="617">
        <f>SUM(E67:E79)</f>
        <v/>
      </c>
      <c r="F80" s="617">
        <f>SUM(F67:F79)</f>
        <v/>
      </c>
      <c r="G80" s="617">
        <f>SUM(G67:G79)</f>
        <v/>
      </c>
      <c r="H80" s="617">
        <f>SUM(H67:H79)</f>
        <v/>
      </c>
      <c r="I80" s="617">
        <f>SUM(I67:I79)</f>
        <v/>
      </c>
      <c r="J80" s="617">
        <f>SUM(J67:J79)</f>
        <v/>
      </c>
      <c r="K80" s="617">
        <f>SUM(K67:K79)</f>
        <v/>
      </c>
      <c r="L80" s="617">
        <f>SUM(L67:L79)</f>
        <v/>
      </c>
      <c r="M80" s="617">
        <f>SUM(M67:M79)</f>
        <v/>
      </c>
      <c r="N80" s="617">
        <f>SUM(N67:N79)</f>
        <v/>
      </c>
      <c r="O80" s="617">
        <f>SUM(O67:O79)</f>
        <v/>
      </c>
      <c r="P80" s="617">
        <f>SUM(P67:P79)</f>
        <v/>
      </c>
      <c r="Q80" s="617">
        <f>SUM(Q67:Q79)</f>
        <v/>
      </c>
      <c r="R80" s="618">
        <f>SUM(B80:Q80)</f>
        <v/>
      </c>
    </row>
    <row r="81">
      <c r="B81" s="265">
        <f>VLOOKUP(B$66,Database!$I$3:$K$17,3,FALSE)</f>
        <v/>
      </c>
      <c r="C81" s="265">
        <f>VLOOKUP(C$66,Database!$I$3:$K$17,3,FALSE)</f>
        <v/>
      </c>
      <c r="D81" s="265">
        <f>VLOOKUP(D$66,Database!$I$3:$K$17,3,FALSE)</f>
        <v/>
      </c>
      <c r="E81" s="265">
        <f>VLOOKUP(E$66,Database!$I$3:$K$17,3,FALSE)</f>
        <v/>
      </c>
      <c r="F81" s="265">
        <f>VLOOKUP(F$66,Database!$I$3:$K$17,3,FALSE)</f>
        <v/>
      </c>
      <c r="G81" s="265">
        <f>VLOOKUP(G$66,Database!$I$3:$K$17,3,FALSE)</f>
        <v/>
      </c>
      <c r="H81" s="265">
        <f>VLOOKUP(H$66,Database!$I$3:$K$17,3,FALSE)</f>
        <v/>
      </c>
      <c r="I81" s="265">
        <f>VLOOKUP(I$66,Database!$I$3:$K$17,3,FALSE)</f>
        <v/>
      </c>
      <c r="J81" s="265">
        <f>VLOOKUP(J$66,Database!$I$3:$K$17,3,FALSE)</f>
        <v/>
      </c>
      <c r="K81" s="265">
        <f>VLOOKUP(K$66,Database!$I$3:$K$17,3,FALSE)</f>
        <v/>
      </c>
      <c r="L81" s="265">
        <f>VLOOKUP(L$66,Database!$I$3:$K$17,3,FALSE)</f>
        <v/>
      </c>
      <c r="M81" s="265">
        <f>VLOOKUP(M$66,Database!$I$3:$K$17,3,FALSE)</f>
        <v/>
      </c>
      <c r="N81" s="265">
        <f>VLOOKUP(N$66,Database!$I$3:$K$17,3,FALSE)</f>
        <v/>
      </c>
      <c r="O81" s="265">
        <f>VLOOKUP(O$66,Database!$I$3:$K$17,3,FALSE)</f>
        <v/>
      </c>
      <c r="P81" s="265">
        <f>VLOOKUP(P$66,Database!$I$3:$K$17,3,FALSE)</f>
        <v/>
      </c>
      <c r="Q81" s="265" t="n">
        <v>43.75</v>
      </c>
    </row>
    <row r="82">
      <c r="B82" s="619">
        <f>B80*B81*$C$83</f>
        <v/>
      </c>
      <c r="C82" s="619">
        <f>C80*C81*$C$83</f>
        <v/>
      </c>
      <c r="D82" s="619">
        <f>D80*D81*$C$83</f>
        <v/>
      </c>
      <c r="E82" s="619">
        <f>E80*E81*$C$83</f>
        <v/>
      </c>
      <c r="F82" s="619">
        <f>F80*F81*$C$83</f>
        <v/>
      </c>
      <c r="G82" s="619">
        <f>G80*G81*$C$83</f>
        <v/>
      </c>
      <c r="H82" s="619">
        <f>H80*H81*$C$83</f>
        <v/>
      </c>
      <c r="I82" s="619">
        <f>I80*I81*$C$83</f>
        <v/>
      </c>
      <c r="J82" s="619">
        <f>J80*J81*$C$83</f>
        <v/>
      </c>
      <c r="K82" s="619">
        <f>K80*K81*$C$83</f>
        <v/>
      </c>
      <c r="L82" s="619">
        <f>L80*L81*$C$83</f>
        <v/>
      </c>
      <c r="M82" s="619">
        <f>M80*M81*$C$83</f>
        <v/>
      </c>
      <c r="N82" s="619">
        <f>N80*N81*$C$83</f>
        <v/>
      </c>
      <c r="O82" s="619">
        <f>O80*O81*$C$83</f>
        <v/>
      </c>
      <c r="P82" s="619">
        <f>P80*P81*$C$83</f>
        <v/>
      </c>
      <c r="Q82" s="619">
        <f>Q80*Q81*$C$83</f>
        <v/>
      </c>
    </row>
    <row r="83">
      <c r="B83" t="inlineStr">
        <is>
          <t>CF</t>
        </is>
      </c>
      <c r="C83">
        <f>VLOOKUP('INJ. MOULDING ESTIMATION'!C16,Table6[],2,FALSE)</f>
        <v/>
      </c>
    </row>
    <row r="84">
      <c r="B84" s="61" t="inlineStr">
        <is>
          <t>Total(D)</t>
        </is>
      </c>
      <c r="C84" s="617">
        <f>SUM(B82:Q82)</f>
        <v/>
      </c>
    </row>
    <row r="86" ht="30" customHeight="1" s="450">
      <c r="A86" s="530" t="inlineStr">
        <is>
          <t>Item Description</t>
        </is>
      </c>
      <c r="B86" s="439" t="n"/>
      <c r="C86" s="439" t="n"/>
      <c r="D86" s="439" t="n"/>
      <c r="E86" s="439" t="n"/>
      <c r="F86" s="437" t="n"/>
      <c r="G86" s="533" t="inlineStr">
        <is>
          <t>In-house / 
Sub-Contract</t>
        </is>
      </c>
      <c r="H86" s="437" t="n"/>
      <c r="I86" s="63" t="inlineStr">
        <is>
          <t>Weight / Hours</t>
        </is>
      </c>
      <c r="J86" s="64" t="inlineStr">
        <is>
          <t>Rate / Hour</t>
        </is>
      </c>
      <c r="K86" s="224" t="inlineStr">
        <is>
          <t>Amount</t>
        </is>
      </c>
    </row>
    <row r="87">
      <c r="A87" s="529" t="inlineStr">
        <is>
          <t>Mould Polishing</t>
        </is>
      </c>
      <c r="B87" s="439" t="n"/>
      <c r="C87" s="439" t="n"/>
      <c r="D87" s="439" t="n"/>
      <c r="E87" s="439" t="n"/>
      <c r="F87" s="437" t="n"/>
      <c r="G87" s="520" t="n"/>
      <c r="H87" s="437" t="n"/>
      <c r="I87" s="264">
        <f>72*VLOOKUP('INJ. MOULDING ESTIMATION'!C16,COMPLEXITY!A1:B7,2,TRUE)</f>
        <v/>
      </c>
      <c r="J87" s="520" t="n">
        <v>60</v>
      </c>
      <c r="K87" s="262">
        <f>IF(L87,J87*I87,0)</f>
        <v/>
      </c>
      <c r="L87">
        <f>Website!B11</f>
        <v/>
      </c>
    </row>
    <row r="88">
      <c r="A88" s="529" t="inlineStr">
        <is>
          <t>Heat-treatment</t>
        </is>
      </c>
      <c r="B88" s="439" t="n"/>
      <c r="C88" s="439" t="n"/>
      <c r="D88" s="439" t="n"/>
      <c r="E88" s="439" t="n"/>
      <c r="F88" s="437" t="n"/>
      <c r="G88" s="520" t="n"/>
      <c r="H88" s="437" t="n"/>
      <c r="I88" s="264">
        <f>60*VLOOKUP('INJ. MOULDING ESTIMATION'!C16,COMPLEXITY!A1:B7,2,TRUE)</f>
        <v/>
      </c>
      <c r="J88" s="520" t="n">
        <v>70</v>
      </c>
      <c r="K88" s="262">
        <f>IF(L88,J88*I88,0)</f>
        <v/>
      </c>
      <c r="L88">
        <f>Website!B10</f>
        <v/>
      </c>
    </row>
    <row r="89">
      <c r="J89" s="65" t="inlineStr">
        <is>
          <t>Total (E)</t>
        </is>
      </c>
      <c r="K89" s="263">
        <f>SUM(K87:M88)</f>
        <v/>
      </c>
    </row>
    <row r="92">
      <c r="A92" s="62" t="inlineStr">
        <is>
          <t>(D) Total Machining Cost</t>
        </is>
      </c>
      <c r="B92" s="336" t="n"/>
      <c r="C92" s="336" t="n"/>
      <c r="D92" s="336" t="n"/>
      <c r="E92" s="336" t="n"/>
      <c r="F92" s="336" t="n"/>
      <c r="G92" s="336" t="n"/>
      <c r="H92" s="336" t="n"/>
      <c r="I92" s="336" t="n"/>
      <c r="J92" s="336" t="n"/>
      <c r="K92" s="336" t="n"/>
      <c r="L92" s="336" t="n"/>
      <c r="M92" s="336" t="n"/>
      <c r="O92" s="336" t="n"/>
      <c r="P92" s="62" t="n"/>
    </row>
    <row r="93" ht="18.5" customHeight="1" s="450">
      <c r="A93" s="518" t="inlineStr">
        <is>
          <t>F</t>
        </is>
      </c>
      <c r="B93" s="516" t="inlineStr">
        <is>
          <t>Scrap Recovery</t>
        </is>
      </c>
      <c r="C93" s="439" t="n"/>
      <c r="D93" s="439" t="n"/>
      <c r="E93" s="439" t="n"/>
      <c r="F93" s="439" t="n"/>
      <c r="G93" s="439" t="n"/>
      <c r="H93" s="439" t="n"/>
      <c r="I93" s="439" t="n"/>
      <c r="J93" s="40" t="n"/>
      <c r="K93" s="69" t="b">
        <v>0</v>
      </c>
      <c r="L93" s="66" t="n"/>
      <c r="M93" s="336" t="n"/>
    </row>
    <row r="94">
      <c r="A94" s="518" t="inlineStr">
        <is>
          <t>G</t>
        </is>
      </c>
      <c r="B94" s="516" t="inlineStr">
        <is>
          <t>Sub Totals (A+B+C+D+E-F)</t>
        </is>
      </c>
      <c r="C94" s="439" t="n"/>
      <c r="D94" s="439" t="n"/>
      <c r="E94" s="439" t="n"/>
      <c r="F94" s="439" t="n"/>
      <c r="G94" s="439" t="n"/>
      <c r="H94" s="439" t="n"/>
      <c r="I94" s="439" t="n"/>
      <c r="J94" s="40" t="n"/>
      <c r="K94" s="337" t="n"/>
      <c r="L94" s="67">
        <f>F63+C84+K89-L93</f>
        <v/>
      </c>
      <c r="M94" s="336" t="n"/>
    </row>
    <row r="95">
      <c r="A95" s="518" t="inlineStr">
        <is>
          <t>H</t>
        </is>
      </c>
      <c r="B95" s="516" t="inlineStr">
        <is>
          <t>Overheads &amp; Profit</t>
        </is>
      </c>
      <c r="C95" s="439" t="n"/>
      <c r="D95" s="439" t="n"/>
      <c r="E95" s="439" t="n"/>
      <c r="F95" s="439" t="n"/>
      <c r="G95" s="439" t="n"/>
      <c r="H95" s="439" t="n"/>
      <c r="I95" s="439" t="n"/>
      <c r="J95" s="40" t="n"/>
      <c r="K95" s="68">
        <f>'INJ. MOULDING ESTIMATION'!A35</f>
        <v/>
      </c>
      <c r="L95" s="67">
        <f>(L94+L97+L98)*K95</f>
        <v/>
      </c>
      <c r="M95" s="336" t="n"/>
    </row>
    <row r="96">
      <c r="A96" s="518" t="inlineStr">
        <is>
          <t>I</t>
        </is>
      </c>
      <c r="B96" s="531" t="inlineStr">
        <is>
          <t>Material Movement &amp; Mold Forwarding</t>
        </is>
      </c>
      <c r="C96" s="439" t="n"/>
      <c r="D96" s="439" t="n"/>
      <c r="E96" s="439" t="n"/>
      <c r="F96" s="439" t="n"/>
      <c r="G96" s="439" t="n"/>
      <c r="H96" s="439" t="n"/>
      <c r="I96" s="439" t="n"/>
      <c r="J96" s="40" t="n">
        <v>5000</v>
      </c>
      <c r="K96" s="69" t="b">
        <v>1</v>
      </c>
      <c r="L96" s="70">
        <f>IF(K96=TRUE,J96,0)</f>
        <v/>
      </c>
      <c r="M96" s="336" t="n"/>
    </row>
    <row r="97">
      <c r="A97" s="518" t="inlineStr">
        <is>
          <t>J</t>
        </is>
      </c>
      <c r="B97" s="516" t="inlineStr">
        <is>
          <t>Hot Runner</t>
        </is>
      </c>
      <c r="C97" s="439" t="n"/>
      <c r="D97" s="439" t="n"/>
      <c r="E97" s="439" t="n"/>
      <c r="F97" s="439" t="n"/>
      <c r="G97" s="439" t="n"/>
      <c r="H97" s="439" t="n"/>
      <c r="I97" s="439" t="n"/>
      <c r="J97" s="40">
        <f>Website!B6</f>
        <v/>
      </c>
      <c r="K97" s="71">
        <f>IF(J97="yes",TRUE,FALSE)</f>
        <v/>
      </c>
      <c r="L97" s="70">
        <f>DASHBOARD!H24</f>
        <v/>
      </c>
      <c r="M97" s="336" t="n"/>
    </row>
    <row r="98">
      <c r="A98" s="518" t="inlineStr">
        <is>
          <t>K</t>
        </is>
      </c>
      <c r="B98" s="516" t="inlineStr">
        <is>
          <t>Texturizing Cost</t>
        </is>
      </c>
      <c r="C98" s="439" t="n"/>
      <c r="D98" s="439" t="n"/>
      <c r="E98" s="439" t="n"/>
      <c r="F98" s="439" t="n"/>
      <c r="G98" s="439" t="n"/>
      <c r="H98" s="439" t="n"/>
      <c r="I98" s="439" t="n"/>
      <c r="J98" s="40" t="n"/>
      <c r="K98" s="71">
        <f>Website!B9</f>
        <v/>
      </c>
      <c r="L98" s="72">
        <f>IF(K98,12000,0)</f>
        <v/>
      </c>
      <c r="M98" s="336" t="n"/>
      <c r="O98" t="inlineStr">
        <is>
          <t>chk how to calc</t>
        </is>
      </c>
    </row>
    <row r="99">
      <c r="A99" s="518" t="inlineStr">
        <is>
          <t>L</t>
        </is>
      </c>
      <c r="B99" s="516" t="inlineStr">
        <is>
          <t>Service Charges</t>
        </is>
      </c>
      <c r="C99" s="439" t="n"/>
      <c r="D99" s="439" t="n"/>
      <c r="E99" s="439" t="n"/>
      <c r="F99" s="439" t="n"/>
      <c r="G99" s="439" t="n"/>
      <c r="H99" s="439" t="n"/>
      <c r="I99" s="439" t="n"/>
      <c r="J99" s="40" t="b">
        <v>0</v>
      </c>
      <c r="K99" s="68" t="n">
        <v>0.04</v>
      </c>
      <c r="L99" s="67">
        <f>IF(J99,SUM(L94:N96,L97,L98)*K99,0)</f>
        <v/>
      </c>
      <c r="M99" s="336" t="n"/>
    </row>
    <row r="100">
      <c r="A100" s="336" t="n"/>
      <c r="B100" s="571" t="inlineStr">
        <is>
          <t>Total Tool Cost</t>
        </is>
      </c>
      <c r="C100" s="336" t="n"/>
      <c r="D100" s="336" t="n"/>
      <c r="E100" s="336" t="n"/>
      <c r="F100" s="336" t="n"/>
      <c r="G100" s="336" t="n"/>
      <c r="H100" s="336" t="n"/>
      <c r="I100" s="336" t="n"/>
      <c r="J100" s="336" t="n"/>
      <c r="K100" s="336" t="n"/>
      <c r="L100" s="73">
        <f>SUM(L94:L99)-L93</f>
        <v/>
      </c>
      <c r="M100" s="336" t="n"/>
    </row>
  </sheetData>
  <mergeCells count="60">
    <mergeCell ref="B97:I97"/>
    <mergeCell ref="A59:E59"/>
    <mergeCell ref="C44:E44"/>
    <mergeCell ref="G86:H86"/>
    <mergeCell ref="F54:G54"/>
    <mergeCell ref="I46:J46"/>
    <mergeCell ref="I49:J49"/>
    <mergeCell ref="I45:J45"/>
    <mergeCell ref="C43:E43"/>
    <mergeCell ref="A86:F86"/>
    <mergeCell ref="B93:I93"/>
    <mergeCell ref="C46:E46"/>
    <mergeCell ref="B96:I96"/>
    <mergeCell ref="F59:G59"/>
    <mergeCell ref="F55:G55"/>
    <mergeCell ref="I47:J47"/>
    <mergeCell ref="A54:E54"/>
    <mergeCell ref="A41:E41"/>
    <mergeCell ref="I41:J41"/>
    <mergeCell ref="F45:G45"/>
    <mergeCell ref="C48:E48"/>
    <mergeCell ref="B98:I98"/>
    <mergeCell ref="F42:G42"/>
    <mergeCell ref="F41:G41"/>
    <mergeCell ref="A56:E56"/>
    <mergeCell ref="G87:H87"/>
    <mergeCell ref="A55:E55"/>
    <mergeCell ref="I43:J43"/>
    <mergeCell ref="F47:G47"/>
    <mergeCell ref="A1:M1"/>
    <mergeCell ref="A57:E57"/>
    <mergeCell ref="A50:I51"/>
    <mergeCell ref="I42:J42"/>
    <mergeCell ref="C49:E49"/>
    <mergeCell ref="F46:G46"/>
    <mergeCell ref="B99:I99"/>
    <mergeCell ref="A7:M7"/>
    <mergeCell ref="F56:G56"/>
    <mergeCell ref="I48:J48"/>
    <mergeCell ref="G88:H88"/>
    <mergeCell ref="F58:G58"/>
    <mergeCell ref="A65:P65"/>
    <mergeCell ref="I44:J44"/>
    <mergeCell ref="A53:E53"/>
    <mergeCell ref="C42:E42"/>
    <mergeCell ref="F43:G43"/>
    <mergeCell ref="F48:G48"/>
    <mergeCell ref="C45:E45"/>
    <mergeCell ref="B95:I95"/>
    <mergeCell ref="F49:G49"/>
    <mergeCell ref="A52:K52"/>
    <mergeCell ref="A88:F88"/>
    <mergeCell ref="B94:I94"/>
    <mergeCell ref="F44:G44"/>
    <mergeCell ref="A58:E58"/>
    <mergeCell ref="F57:G57"/>
    <mergeCell ref="A87:F87"/>
    <mergeCell ref="C63:E63"/>
    <mergeCell ref="F53:G53"/>
    <mergeCell ref="C47:E47"/>
  </mergeCells>
  <conditionalFormatting sqref="B34">
    <cfRule type="expression" priority="3" dxfId="157">
      <formula>$B$34=$K$22</formula>
    </cfRule>
  </conditionalFormatting>
  <conditionalFormatting sqref="D34">
    <cfRule type="expression" priority="2" dxfId="157">
      <formula>$D$34=$M$22</formula>
    </cfRule>
  </conditionalFormatting>
  <conditionalFormatting sqref="E34">
    <cfRule type="expression" priority="1" dxfId="156">
      <formula>$D$34&lt;&gt;$M$22</formula>
    </cfRule>
  </conditionalFormatting>
  <pageMargins left="0.7" right="0.7" top="0.75" bottom="0.75" header="0.3" footer="0.3"/>
  <pageSetup orientation="landscape" paperSize="9" scale="73" fitToHeight="0"/>
  <tableParts count="3">
    <tablePart r:id="rId1"/>
    <tablePart r:id="rId2"/>
    <tablePart r:id="rId3"/>
  </tableParts>
</worksheet>
</file>

<file path=xl/worksheets/sheet6.xml><?xml version="1.0" encoding="utf-8"?>
<worksheet xmlns:r="http://schemas.openxmlformats.org/officeDocument/2006/relationships" xmlns="http://schemas.openxmlformats.org/spreadsheetml/2006/main">
  <sheetPr codeName="Sheet12">
    <outlinePr summaryBelow="1" summaryRight="1"/>
    <pageSetUpPr/>
  </sheetPr>
  <dimension ref="K1:Q30"/>
  <sheetViews>
    <sheetView zoomScale="56" zoomScaleNormal="70" workbookViewId="0">
      <selection activeCell="R21" sqref="R21"/>
    </sheetView>
  </sheetViews>
  <sheetFormatPr baseColWidth="8" defaultColWidth="8.7265625" defaultRowHeight="14.5"/>
  <cols>
    <col width="29.81640625" customWidth="1" style="450" min="1" max="1"/>
    <col width="13.36328125" customWidth="1" style="450" min="10" max="10"/>
    <col width="31.54296875" customWidth="1" style="450" min="11" max="11"/>
    <col width="13.26953125" customWidth="1" style="450" min="12" max="12"/>
    <col width="29.7265625" customWidth="1" style="450" min="13" max="13"/>
    <col width="9.08984375" bestFit="1" customWidth="1" style="450" min="14" max="14"/>
  </cols>
  <sheetData>
    <row r="1" ht="17" customHeight="1" s="450">
      <c r="M1" s="309" t="n"/>
      <c r="N1" s="309" t="n"/>
      <c r="O1" s="309" t="n"/>
      <c r="P1" s="309" t="n"/>
      <c r="Q1" s="309" t="n"/>
    </row>
    <row r="2" ht="14.5" customHeight="1" s="450">
      <c r="K2" s="310" t="inlineStr">
        <is>
          <t xml:space="preserve">I) DESIGN COST +MOULD FLOW   : </t>
        </is>
      </c>
      <c r="L2" s="59">
        <f>DASHBOARD!C9+DASHBOARD!F9</f>
        <v/>
      </c>
      <c r="M2" s="309" t="n"/>
      <c r="N2" s="309" t="n"/>
      <c r="O2" s="309" t="n"/>
      <c r="P2" s="309" t="n"/>
      <c r="Q2" s="309" t="n"/>
    </row>
    <row r="3">
      <c r="K3" t="inlineStr">
        <is>
          <t>II) RAW MATERIAL COST :</t>
        </is>
      </c>
      <c r="L3">
        <f>DASHBOARD!H28</f>
        <v/>
      </c>
    </row>
    <row r="4">
      <c r="K4" s="23" t="inlineStr">
        <is>
          <t>III) PROCESS COST :</t>
        </is>
      </c>
      <c r="L4">
        <f>DASHBOARD!H52</f>
        <v/>
      </c>
    </row>
    <row r="5">
      <c r="K5" s="23" t="inlineStr">
        <is>
          <t>IV) PROFIT &amp; OVERHEADS COST :</t>
        </is>
      </c>
      <c r="L5">
        <f>DASHBOARD!G61</f>
        <v/>
      </c>
    </row>
    <row r="6">
      <c r="K6" s="308" t="inlineStr">
        <is>
          <t xml:space="preserve">V) OTHER EXPENSES :                         </t>
        </is>
      </c>
      <c r="L6">
        <f>DASHBOARD!H63</f>
        <v/>
      </c>
    </row>
    <row r="11">
      <c r="K11" s="23" t="n"/>
    </row>
    <row r="12">
      <c r="K12" s="23" t="n"/>
    </row>
    <row r="13">
      <c r="K13" s="23" t="n"/>
    </row>
    <row r="14">
      <c r="K14" s="23" t="n"/>
    </row>
    <row r="15">
      <c r="K15" s="23" t="n"/>
    </row>
    <row r="28">
      <c r="M28" s="23" t="n"/>
    </row>
    <row r="29">
      <c r="M29" s="23" t="n"/>
    </row>
    <row r="30">
      <c r="M30" s="23" t="n"/>
    </row>
  </sheetData>
  <pageMargins left="0.75" right="0.75" top="1" bottom="1" header="0.5" footer="0.5"/>
  <pageSetup orientation="portrait" paperSize="9"/>
  <drawing r:id="rId1"/>
</worksheet>
</file>

<file path=xl/worksheets/sheet7.xml><?xml version="1.0" encoding="utf-8"?>
<worksheet xmlns:r="http://schemas.openxmlformats.org/officeDocument/2006/relationships" xmlns="http://schemas.openxmlformats.org/spreadsheetml/2006/main">
  <sheetPr codeName="Sheet13">
    <outlinePr summaryBelow="1" summaryRight="1"/>
    <pageSetUpPr fitToPage="1"/>
  </sheetPr>
  <dimension ref="A1:O35"/>
  <sheetViews>
    <sheetView topLeftCell="A2" zoomScale="85" zoomScaleNormal="85" workbookViewId="0">
      <selection activeCell="D16" sqref="D16"/>
    </sheetView>
  </sheetViews>
  <sheetFormatPr baseColWidth="8" defaultColWidth="9" defaultRowHeight="14.5"/>
  <cols>
    <col width="24.453125" customWidth="1" style="450" min="2" max="2"/>
    <col width="10.36328125" customWidth="1" style="450" min="3" max="3"/>
    <col width="16.453125" customWidth="1" style="450" min="4" max="4"/>
    <col width="31.90625" customWidth="1" style="450" min="5" max="5"/>
    <col width="4" customWidth="1" style="450" min="6" max="6"/>
    <col width="12.08984375" customWidth="1" style="450" min="7" max="7"/>
    <col width="18.1796875" customWidth="1" style="450" min="8" max="8"/>
    <col width="52.1796875" customWidth="1" style="450" min="9" max="9"/>
    <col width="16.36328125" customWidth="1" style="450" min="10" max="11"/>
    <col width="22.54296875" customWidth="1" style="450" min="12" max="15"/>
    <col width="2.54296875" customWidth="1" style="450" min="16" max="16"/>
  </cols>
  <sheetData>
    <row r="1" ht="15" customHeight="1" s="450" thickBot="1">
      <c r="G1" t="inlineStr">
        <is>
          <t>index</t>
        </is>
      </c>
      <c r="J1" s="620" t="n"/>
      <c r="M1" s="59" t="n"/>
      <c r="O1" s="620" t="n"/>
    </row>
    <row r="2" ht="14.5" customHeight="1" s="450">
      <c r="B2" s="534" t="inlineStr">
        <is>
          <t>MANUAL ENTRY</t>
        </is>
      </c>
      <c r="C2" s="447" t="n"/>
      <c r="D2" s="535" t="n"/>
      <c r="E2" s="173" t="inlineStr">
        <is>
          <t>Don’t edit Value in RED</t>
        </is>
      </c>
      <c r="G2" s="266">
        <f>DASHBOARD!B3</f>
        <v/>
      </c>
    </row>
    <row r="3" ht="14.5" customHeight="1" s="450" thickBot="1">
      <c r="B3" s="536" t="n"/>
      <c r="C3" s="478" t="n"/>
      <c r="D3" s="479" t="n"/>
      <c r="E3" s="175" t="inlineStr">
        <is>
          <t>Input Value in YELLOW</t>
        </is>
      </c>
    </row>
    <row r="4" ht="15" customHeight="1" s="450" thickBot="1"/>
    <row r="5">
      <c r="B5" s="176" t="n"/>
      <c r="C5" s="177" t="inlineStr">
        <is>
          <t>Input</t>
        </is>
      </c>
      <c r="D5" s="177" t="inlineStr">
        <is>
          <t>Unit</t>
        </is>
      </c>
      <c r="E5" s="178" t="inlineStr">
        <is>
          <t>Remarks</t>
        </is>
      </c>
      <c r="G5" s="179" t="inlineStr">
        <is>
          <t>Part Cost</t>
        </is>
      </c>
      <c r="H5" s="179" t="n"/>
    </row>
    <row r="6">
      <c r="B6" s="180" t="inlineStr">
        <is>
          <t>Length</t>
        </is>
      </c>
      <c r="C6" s="344">
        <f>DASHBOARD!B6</f>
        <v/>
      </c>
      <c r="D6" s="265" t="inlineStr">
        <is>
          <t>mm</t>
        </is>
      </c>
      <c r="E6" s="182" t="inlineStr">
        <is>
          <t>Longest dimesnion of part</t>
        </is>
      </c>
      <c r="G6" s="1" t="inlineStr">
        <is>
          <t>Total cost/part</t>
        </is>
      </c>
      <c r="H6" s="78">
        <f>'Part Cost'!B13</f>
        <v/>
      </c>
    </row>
    <row r="7">
      <c r="B7" s="180" t="inlineStr">
        <is>
          <t>Width</t>
        </is>
      </c>
      <c r="C7" s="344">
        <f>DASHBOARD!C6</f>
        <v/>
      </c>
      <c r="D7" s="265" t="inlineStr">
        <is>
          <t>mm</t>
        </is>
      </c>
      <c r="E7" s="182" t="inlineStr">
        <is>
          <t>Second longest</t>
        </is>
      </c>
      <c r="G7" s="1" t="inlineStr">
        <is>
          <t>No of parts</t>
        </is>
      </c>
      <c r="H7" s="78">
        <f>'Part Cost'!B14</f>
        <v/>
      </c>
    </row>
    <row r="8">
      <c r="B8" s="180" t="inlineStr">
        <is>
          <t>Height</t>
        </is>
      </c>
      <c r="C8" s="344">
        <f>Website!B3</f>
        <v/>
      </c>
      <c r="D8" s="265" t="inlineStr">
        <is>
          <t>mm</t>
        </is>
      </c>
      <c r="E8" s="182" t="inlineStr">
        <is>
          <t>Smallest dimension</t>
        </is>
      </c>
      <c r="G8" s="183" t="inlineStr">
        <is>
          <t>Total cost</t>
        </is>
      </c>
      <c r="H8" s="184">
        <f>'Part Cost'!B15</f>
        <v/>
      </c>
    </row>
    <row r="9">
      <c r="B9" s="180" t="inlineStr">
        <is>
          <t>Interchange Dim.</t>
        </is>
      </c>
      <c r="C9" s="185" t="b">
        <v>0</v>
      </c>
      <c r="D9" s="265" t="n"/>
      <c r="E9" s="182" t="inlineStr">
        <is>
          <t>Check for the cost change</t>
        </is>
      </c>
    </row>
    <row r="10">
      <c r="B10" s="180" t="inlineStr">
        <is>
          <t>Avg. Wall Thickness</t>
        </is>
      </c>
      <c r="C10" s="181" t="n">
        <v>2</v>
      </c>
      <c r="D10" s="265" t="inlineStr">
        <is>
          <t>mm</t>
        </is>
      </c>
      <c r="E10" s="182" t="inlineStr">
        <is>
          <t>Part Thickness</t>
        </is>
      </c>
    </row>
    <row r="11">
      <c r="B11" s="180" t="inlineStr">
        <is>
          <t>Max. wall Thickness</t>
        </is>
      </c>
      <c r="C11" s="181" t="n">
        <v>3</v>
      </c>
      <c r="D11" s="265" t="inlineStr">
        <is>
          <t>mm</t>
        </is>
      </c>
      <c r="E11" s="182" t="inlineStr">
        <is>
          <t>Part Thickness</t>
        </is>
      </c>
    </row>
    <row r="12" ht="29" customHeight="1" s="450">
      <c r="B12" s="180" t="inlineStr">
        <is>
          <t>Part Material</t>
        </is>
      </c>
      <c r="C12" s="186" t="inlineStr">
        <is>
          <t>ABS</t>
        </is>
      </c>
      <c r="D12" s="265" t="n"/>
      <c r="E12" s="182" t="inlineStr">
        <is>
          <t>Material used for moulding</t>
        </is>
      </c>
      <c r="G12" s="187" t="inlineStr">
        <is>
          <t>COST/Part inc. mould</t>
        </is>
      </c>
      <c r="H12">
        <f>'Input-Output'!D19</f>
        <v/>
      </c>
    </row>
    <row r="13" ht="16.5" customHeight="1" s="450">
      <c r="B13" s="180" t="inlineStr">
        <is>
          <t>Injection Pressure</t>
        </is>
      </c>
      <c r="C13" s="188">
        <f>VLOOKUP(C12,Table11[],3,FALSE)*1000</f>
        <v/>
      </c>
      <c r="D13" s="265" t="inlineStr">
        <is>
          <t>kg/cm2</t>
        </is>
      </c>
      <c r="E13" s="182" t="inlineStr">
        <is>
          <t xml:space="preserve">Based on Tonnage </t>
        </is>
      </c>
      <c r="G13" s="222" t="inlineStr">
        <is>
          <t>Daily expense</t>
        </is>
      </c>
      <c r="H13" s="621">
        <f>'Input-Output'!D20</f>
        <v/>
      </c>
    </row>
    <row r="14">
      <c r="B14" s="180" t="inlineStr">
        <is>
          <t>No of Cavity</t>
        </is>
      </c>
      <c r="C14" s="265">
        <f>IF(E14,C15,'No of Cavity'!B19)</f>
        <v/>
      </c>
      <c r="D14" s="265" t="inlineStr">
        <is>
          <t>Auto/Manual</t>
        </is>
      </c>
      <c r="E14" s="343" t="b">
        <v>1</v>
      </c>
      <c r="G14" s="256" t="n"/>
      <c r="H14" s="256">
        <f>H12</f>
        <v/>
      </c>
    </row>
    <row r="15">
      <c r="B15" s="190" t="inlineStr">
        <is>
          <t>Enter Cavity no</t>
        </is>
      </c>
      <c r="C15" s="185">
        <f>DASHBOARD!B7</f>
        <v/>
      </c>
      <c r="D15" s="185" t="inlineStr">
        <is>
          <t>nos</t>
        </is>
      </c>
      <c r="E15" s="189" t="inlineStr">
        <is>
          <t>Enter manual cavity no in this box</t>
        </is>
      </c>
      <c r="G15" s="256" t="n">
        <v>1</v>
      </c>
      <c r="H15" s="256">
        <f t="dataTable" ref="H15:H19" dt2D="0" dtr="0" r1="C14"/>
        <v/>
      </c>
    </row>
    <row r="16">
      <c r="B16" s="191" t="inlineStr">
        <is>
          <t>Complexity Factor</t>
        </is>
      </c>
      <c r="C16" s="435">
        <f>_xlfn.NUMBERVALUE(DASHBOARD!D7)</f>
        <v/>
      </c>
      <c r="D16" s="192" t="n"/>
      <c r="E16" s="193" t="inlineStr">
        <is>
          <t>Least=1 - Highest=5</t>
        </is>
      </c>
      <c r="G16" s="256" t="n">
        <v>2</v>
      </c>
      <c r="H16" s="257" t="n">
        <v>357.1766729166666</v>
      </c>
      <c r="I16" s="622" t="n"/>
    </row>
    <row r="17">
      <c r="B17" s="180" t="inlineStr">
        <is>
          <t>Part Projection</t>
        </is>
      </c>
      <c r="C17" s="265" t="n">
        <v>80</v>
      </c>
      <c r="D17" s="265" t="inlineStr">
        <is>
          <t>in %</t>
        </is>
      </c>
      <c r="E17" s="182" t="n"/>
      <c r="G17" s="256" t="n">
        <v>4</v>
      </c>
      <c r="H17" s="256" t="n">
        <v>384.9887693055555</v>
      </c>
    </row>
    <row r="18">
      <c r="B18" s="180" t="inlineStr">
        <is>
          <t>No of machine</t>
        </is>
      </c>
      <c r="C18" s="265" t="n">
        <v>1</v>
      </c>
      <c r="D18" s="265" t="n"/>
      <c r="E18" s="182" t="n"/>
      <c r="G18" s="256" t="n">
        <v>6</v>
      </c>
      <c r="H18" s="256" t="n">
        <v>417.6827599537037</v>
      </c>
      <c r="I18" s="623" t="n"/>
    </row>
    <row r="19">
      <c r="B19" s="180" t="inlineStr">
        <is>
          <t>Daily Production</t>
        </is>
      </c>
      <c r="C19" s="81" t="n">
        <v>1000</v>
      </c>
      <c r="D19" s="265" t="inlineStr">
        <is>
          <t>in nos</t>
        </is>
      </c>
      <c r="E19" s="182" t="n"/>
      <c r="G19" s="256" t="n">
        <v>8</v>
      </c>
      <c r="H19" s="258" t="n">
        <v>478.5832565277777</v>
      </c>
    </row>
    <row r="20">
      <c r="B20" s="174" t="inlineStr">
        <is>
          <t xml:space="preserve">Total Part </t>
        </is>
      </c>
      <c r="C20" s="194" t="n">
        <v>20000</v>
      </c>
      <c r="D20" s="194" t="inlineStr">
        <is>
          <t>in nos</t>
        </is>
      </c>
      <c r="E20" s="195" t="inlineStr">
        <is>
          <t>Total part that is required</t>
        </is>
      </c>
      <c r="M20">
        <f>K22</f>
        <v/>
      </c>
    </row>
    <row r="21">
      <c r="J21" s="214" t="inlineStr">
        <is>
          <t>Complexity fact</t>
        </is>
      </c>
      <c r="K21" t="n">
        <v>0.5</v>
      </c>
      <c r="L21" t="n">
        <v>0.5</v>
      </c>
      <c r="M21">
        <f t="dataTable" ref="M21:M26" dt2D="0" dtr="0" r1="K21"/>
        <v/>
      </c>
    </row>
    <row r="22">
      <c r="B22" s="537" t="inlineStr">
        <is>
          <t>MOULD SIZE</t>
        </is>
      </c>
      <c r="C22" s="172" t="inlineStr">
        <is>
          <t>Length</t>
        </is>
      </c>
      <c r="D22" s="196">
        <f>'Mould Costing'!D9</f>
        <v/>
      </c>
      <c r="E22" s="540" t="b">
        <v>1</v>
      </c>
      <c r="J22" s="214" t="inlineStr">
        <is>
          <t>Ratio</t>
        </is>
      </c>
      <c r="K22">
        <f>D27/D26</f>
        <v/>
      </c>
      <c r="L22" t="n">
        <v>1</v>
      </c>
      <c r="M22" t="n">
        <v>1.096779007525272</v>
      </c>
    </row>
    <row r="23">
      <c r="B23" s="538" t="n"/>
      <c r="C23" s="180" t="inlineStr">
        <is>
          <t>Width</t>
        </is>
      </c>
      <c r="D23" s="196">
        <f>'Mould Costing'!E10</f>
        <v/>
      </c>
      <c r="E23" s="512" t="n"/>
      <c r="L23" t="n">
        <v>2</v>
      </c>
      <c r="M23" t="n">
        <v>1.096779007525272</v>
      </c>
    </row>
    <row r="24">
      <c r="B24" s="539" t="n"/>
      <c r="C24" s="197" t="inlineStr">
        <is>
          <t>Height</t>
        </is>
      </c>
      <c r="D24" s="198">
        <f>'Input-Output'!F5</f>
        <v/>
      </c>
      <c r="E24" s="221" t="inlineStr">
        <is>
          <t>Consider Complexity</t>
        </is>
      </c>
      <c r="L24" t="n">
        <v>3</v>
      </c>
      <c r="M24" t="n">
        <v>1.096779007525272</v>
      </c>
    </row>
    <row r="25" ht="24" customHeight="1" s="450">
      <c r="B25" s="199" t="inlineStr">
        <is>
          <t>Total Mould Cost</t>
        </is>
      </c>
      <c r="C25" s="200">
        <f>SUM(C26:C35)</f>
        <v/>
      </c>
      <c r="D25" s="624">
        <f>SUM(D26:D35)</f>
        <v/>
      </c>
      <c r="E25" s="625">
        <f>SUM(E26:E35)</f>
        <v/>
      </c>
      <c r="K25" s="626" t="n"/>
      <c r="L25" t="n">
        <v>4</v>
      </c>
      <c r="M25" t="n">
        <v>1.096779007525272</v>
      </c>
    </row>
    <row r="26">
      <c r="B26" s="201" t="inlineStr">
        <is>
          <t>Material Cost</t>
        </is>
      </c>
      <c r="C26" s="202">
        <f>D26/$D$25</f>
        <v/>
      </c>
      <c r="D26" s="627">
        <f>'Mould Costing'!M22</f>
        <v/>
      </c>
      <c r="E26" s="628">
        <f>D26</f>
        <v/>
      </c>
      <c r="K26" s="626" t="n"/>
      <c r="L26" t="n">
        <v>5</v>
      </c>
      <c r="M26" t="n">
        <v>1.096779007525272</v>
      </c>
    </row>
    <row r="27">
      <c r="B27" s="203" t="inlineStr">
        <is>
          <t>Conversion Cost</t>
        </is>
      </c>
      <c r="C27" s="202">
        <f>D27/$D$25</f>
        <v/>
      </c>
      <c r="D27" s="629">
        <f>'Mould Costing'!C84</f>
        <v/>
      </c>
      <c r="E27" s="628">
        <f>VLOOKUP($C$16,COMPLEXITY!$A$2:$B$7,2,TRUE)*D27</f>
        <v/>
      </c>
      <c r="K27" s="626" t="n"/>
    </row>
    <row r="28">
      <c r="B28" s="203" t="inlineStr">
        <is>
          <t>Standard Items</t>
        </is>
      </c>
      <c r="C28" s="202">
        <f>D28/$D$25</f>
        <v/>
      </c>
      <c r="D28" s="629">
        <f>'Mould Costing'!K50</f>
        <v/>
      </c>
      <c r="E28" s="628">
        <f>D28</f>
        <v/>
      </c>
      <c r="K28" s="626" t="n"/>
    </row>
    <row r="29">
      <c r="B29" s="203" t="inlineStr">
        <is>
          <t>Hot Runner</t>
        </is>
      </c>
      <c r="C29" s="202">
        <f>D29/$D$25</f>
        <v/>
      </c>
      <c r="D29" s="629">
        <f>'Mould Costing'!L97</f>
        <v/>
      </c>
      <c r="E29" s="630">
        <f>'Mould Costing'!L97</f>
        <v/>
      </c>
      <c r="K29" s="626" t="n"/>
    </row>
    <row r="30">
      <c r="B30" s="203" t="inlineStr">
        <is>
          <t>Texturizing</t>
        </is>
      </c>
      <c r="C30" s="202">
        <f>D30/$D$25</f>
        <v/>
      </c>
      <c r="D30" s="629">
        <f>'Mould Costing'!$L$98</f>
        <v/>
      </c>
      <c r="E30" s="630">
        <f>'Mould Costing'!$L$98</f>
        <v/>
      </c>
      <c r="K30" s="626" t="n"/>
    </row>
    <row r="31">
      <c r="B31" s="203" t="inlineStr">
        <is>
          <t>Design &amp; Mould Flow</t>
        </is>
      </c>
      <c r="C31" s="202">
        <f>D31/$D$25</f>
        <v/>
      </c>
      <c r="D31" s="629">
        <f>'Mould Costing'!K60</f>
        <v/>
      </c>
      <c r="E31" s="628">
        <f>D32</f>
        <v/>
      </c>
      <c r="K31" s="626" t="n"/>
    </row>
    <row r="32">
      <c r="B32" s="203" t="inlineStr">
        <is>
          <t>Polishing &amp; Treatment</t>
        </is>
      </c>
      <c r="C32" s="202">
        <f>D32/$D$25</f>
        <v/>
      </c>
      <c r="D32" s="629">
        <f>'Mould Costing'!K89</f>
        <v/>
      </c>
      <c r="E32" s="628">
        <f>VLOOKUP($C$16,COMPLEXITY!$A$2:$B$7,2,TRUE)*D32</f>
        <v/>
      </c>
      <c r="K32" s="626" t="n"/>
    </row>
    <row r="33">
      <c r="B33" s="203" t="inlineStr">
        <is>
          <t>Packaging &amp; Movement</t>
        </is>
      </c>
      <c r="C33" s="202">
        <f>D33/$D$25</f>
        <v/>
      </c>
      <c r="D33" s="629">
        <f>'Mould Costing'!L96</f>
        <v/>
      </c>
      <c r="E33" s="628">
        <f>VLOOKUP($C$16,COMPLEXITY!$A$2:$B$7,2,TRUE)*D33</f>
        <v/>
      </c>
      <c r="K33" s="626" t="n"/>
    </row>
    <row r="34">
      <c r="B34" s="203" t="inlineStr">
        <is>
          <t>Service Charges</t>
        </is>
      </c>
      <c r="C34" s="202">
        <f>D34/$D$25</f>
        <v/>
      </c>
      <c r="D34" s="629">
        <f>'Mould Costing'!$L$99</f>
        <v/>
      </c>
      <c r="E34" s="630">
        <f>'Mould Costing'!$L$99</f>
        <v/>
      </c>
      <c r="K34" s="626" t="n"/>
    </row>
    <row r="35">
      <c r="A35" s="204" t="n">
        <v>0.15</v>
      </c>
      <c r="B35" s="205" t="inlineStr">
        <is>
          <t>Profit &amp; Overhead</t>
        </is>
      </c>
      <c r="C35" s="206">
        <f>D35/$D$25</f>
        <v/>
      </c>
      <c r="D35" s="631">
        <f>'Mould Costing'!L95</f>
        <v/>
      </c>
      <c r="E35" s="632">
        <f>'Mould Costing'!L95</f>
        <v/>
      </c>
      <c r="K35" s="626" t="n"/>
    </row>
  </sheetData>
  <mergeCells count="3">
    <mergeCell ref="B2:D3"/>
    <mergeCell ref="B22:B24"/>
    <mergeCell ref="E22:E23"/>
  </mergeCells>
  <conditionalFormatting sqref="B15">
    <cfRule type="expression" priority="4" dxfId="133">
      <formula>$E$14=TRUE</formula>
    </cfRule>
  </conditionalFormatting>
  <conditionalFormatting sqref="C15">
    <cfRule type="expression" priority="3" dxfId="133">
      <formula>$E$14=TRUE</formula>
    </cfRule>
  </conditionalFormatting>
  <conditionalFormatting sqref="D15">
    <cfRule type="expression" priority="5" dxfId="133">
      <formula>$E$14=TRUE</formula>
    </cfRule>
  </conditionalFormatting>
  <conditionalFormatting sqref="E15">
    <cfRule type="expression" priority="6" dxfId="132">
      <formula>$E$14=TRUE</formula>
    </cfRule>
  </conditionalFormatting>
  <pageMargins left="0.25" right="0.25" top="0.75" bottom="0.75" header="0.3" footer="0.3"/>
  <pageSetup orientation="landscape" paperSize="9" scale="85" fitToHeight="0"/>
  <drawing r:id="rId1"/>
</worksheet>
</file>

<file path=xl/worksheets/sheet8.xml><?xml version="1.0" encoding="utf-8"?>
<worksheet xmlns:r="http://schemas.openxmlformats.org/officeDocument/2006/relationships" xmlns="http://schemas.openxmlformats.org/spreadsheetml/2006/main">
  <sheetPr codeName="Sheet11">
    <tabColor theme="1"/>
    <outlinePr summaryBelow="1" summaryRight="1"/>
    <pageSetUpPr fitToPage="1"/>
  </sheetPr>
  <dimension ref="A1:L27"/>
  <sheetViews>
    <sheetView topLeftCell="C1" zoomScale="85" zoomScaleNormal="85" workbookViewId="0">
      <selection activeCell="L7" sqref="L7"/>
    </sheetView>
  </sheetViews>
  <sheetFormatPr baseColWidth="8" defaultColWidth="9" defaultRowHeight="14.5"/>
  <cols>
    <col width="20.6328125" customWidth="1" style="450" min="1" max="1"/>
    <col width="15.90625" customWidth="1" style="450" min="2" max="2"/>
    <col width="38.08984375" customWidth="1" style="450" min="3" max="3"/>
    <col width="10.90625" customWidth="1" style="450" min="4" max="4"/>
    <col width="23.08984375" customWidth="1" style="450" min="5" max="5"/>
    <col width="6.08984375" customWidth="1" style="450" min="8" max="8"/>
    <col width="30.26953125" customWidth="1" style="450" min="9" max="9"/>
    <col width="19.36328125" customWidth="1" style="450" min="10" max="10"/>
    <col width="19.36328125" customWidth="1" style="450" min="15" max="15"/>
  </cols>
  <sheetData>
    <row r="1">
      <c r="A1" s="226" t="n"/>
      <c r="B1" s="633" t="n"/>
    </row>
    <row r="2" ht="16.5" customHeight="1" s="450">
      <c r="A2" t="inlineStr">
        <is>
          <t>Various Tool Steel</t>
        </is>
      </c>
      <c r="B2" t="inlineStr">
        <is>
          <t>Density(g/cc3)</t>
        </is>
      </c>
      <c r="C2" t="inlineStr">
        <is>
          <t>Uses</t>
        </is>
      </c>
      <c r="D2" t="inlineStr">
        <is>
          <t>Price/Kg</t>
        </is>
      </c>
      <c r="E2" t="inlineStr">
        <is>
          <t>RM cost</t>
        </is>
      </c>
      <c r="F2" t="inlineStr">
        <is>
          <t>Extra cost</t>
        </is>
      </c>
      <c r="G2" t="inlineStr">
        <is>
          <t>Total</t>
        </is>
      </c>
      <c r="I2" s="168" t="inlineStr">
        <is>
          <t>Machining Process</t>
        </is>
      </c>
      <c r="J2" s="169" t="inlineStr">
        <is>
          <t>MRR in cm3/min</t>
        </is>
      </c>
      <c r="K2" s="453" t="inlineStr">
        <is>
          <t>MHR</t>
        </is>
      </c>
      <c r="L2" t="inlineStr">
        <is>
          <t>Column1</t>
        </is>
      </c>
    </row>
    <row r="3" ht="27.5" customFormat="1" customHeight="1" s="187">
      <c r="A3" s="164" t="inlineStr">
        <is>
          <t>C-45</t>
        </is>
      </c>
      <c r="B3" s="187" t="n">
        <v>7.8</v>
      </c>
      <c r="C3" s="164" t="inlineStr">
        <is>
          <t>Top &amp; Bottom Bolster, Housing, Ejector Plate, Spacers, Locating Ring</t>
        </is>
      </c>
      <c r="D3" s="165">
        <f>Table1[[#This Row],[Total]]</f>
        <v/>
      </c>
      <c r="E3" s="166" t="n">
        <v>128</v>
      </c>
      <c r="F3" s="166" t="n"/>
      <c r="G3" s="166">
        <f>Table1[[#This Row],[RM cost]]+Table1[[#This Row],[Extra cost]]</f>
        <v/>
      </c>
      <c r="I3" s="170" t="inlineStr">
        <is>
          <t>Conv Milling - Facing</t>
        </is>
      </c>
      <c r="J3" s="187" t="n">
        <v>3</v>
      </c>
      <c r="K3" s="187" t="n">
        <v>400</v>
      </c>
    </row>
    <row r="4" ht="26" customHeight="1" s="450">
      <c r="A4" s="62" t="inlineStr">
        <is>
          <t>Case Hardening Steel</t>
        </is>
      </c>
      <c r="B4" t="n">
        <v>7.85</v>
      </c>
      <c r="C4" s="164" t="inlineStr">
        <is>
          <t>Pillar &amp; Bush, Stripper Bolts, wear plates, Finger cams, Etc</t>
        </is>
      </c>
      <c r="D4" s="5">
        <f>Table1[[#This Row],[Total]]</f>
        <v/>
      </c>
      <c r="E4" s="166" t="n">
        <v>120</v>
      </c>
      <c r="F4" s="166" t="n">
        <v>135</v>
      </c>
      <c r="G4" s="166">
        <f>Table1[[#This Row],[RM cost]]+Table1[[#This Row],[Extra cost]]</f>
        <v/>
      </c>
      <c r="I4" s="170" t="inlineStr">
        <is>
          <t>Conv Milling - End Milling</t>
        </is>
      </c>
      <c r="J4" t="n">
        <v>5</v>
      </c>
      <c r="K4" s="187" t="n">
        <v>400</v>
      </c>
    </row>
    <row r="5" ht="20.5" customHeight="1" s="450">
      <c r="A5" s="62" t="inlineStr">
        <is>
          <t>Silver Steel</t>
        </is>
      </c>
      <c r="B5" t="n">
        <v>7.8</v>
      </c>
      <c r="C5" s="62" t="inlineStr">
        <is>
          <t>Ejector pins</t>
        </is>
      </c>
      <c r="D5" s="5">
        <f>Table1[[#This Row],[Total]]</f>
        <v/>
      </c>
      <c r="E5" s="166" t="n">
        <v>150</v>
      </c>
      <c r="F5" s="166" t="n"/>
      <c r="G5" s="166">
        <f>Table1[[#This Row],[RM cost]]+Table1[[#This Row],[Extra cost]]</f>
        <v/>
      </c>
      <c r="I5" s="170" t="inlineStr">
        <is>
          <t>Conv Lathe - Facing / Turning</t>
        </is>
      </c>
      <c r="J5" t="n">
        <v>4</v>
      </c>
      <c r="K5" s="187" t="n">
        <v>400</v>
      </c>
    </row>
    <row r="6" ht="27" customHeight="1" s="450">
      <c r="A6" s="62" t="inlineStr">
        <is>
          <t>OHNS</t>
        </is>
      </c>
      <c r="B6" t="n">
        <v>8.67</v>
      </c>
      <c r="C6" s="164" t="inlineStr">
        <is>
          <t>Push back pin, Ejector pin, Sprue Bush, Wear plates, Pillar and Bush, Forming Punches</t>
        </is>
      </c>
      <c r="D6" s="5">
        <f>Table1[[#This Row],[Total]]</f>
        <v/>
      </c>
      <c r="E6" s="166" t="n">
        <v>125</v>
      </c>
      <c r="F6" s="166" t="n"/>
      <c r="G6" s="166">
        <f>Table1[[#This Row],[RM cost]]+Table1[[#This Row],[Extra cost]]</f>
        <v/>
      </c>
      <c r="I6" s="170" t="inlineStr">
        <is>
          <t>Surface Grinding</t>
        </is>
      </c>
      <c r="J6" t="n">
        <v>0.175</v>
      </c>
      <c r="K6" t="n">
        <v>500</v>
      </c>
    </row>
    <row r="7">
      <c r="A7" s="62" t="inlineStr">
        <is>
          <t>HCHCr</t>
        </is>
      </c>
      <c r="B7" t="n">
        <v>7.7</v>
      </c>
      <c r="C7" s="62" t="inlineStr">
        <is>
          <t>Punch, Die, Inserts, Piercing punches</t>
        </is>
      </c>
      <c r="D7" s="5">
        <f>Table1[[#This Row],[Total]]</f>
        <v/>
      </c>
      <c r="E7" s="166" t="n">
        <v>200</v>
      </c>
      <c r="F7" s="166" t="n"/>
      <c r="G7" s="166">
        <f>Table1[[#This Row],[RM cost]]+Table1[[#This Row],[Extra cost]]</f>
        <v/>
      </c>
      <c r="I7" s="170" t="inlineStr">
        <is>
          <t>Cylindrical Grinding</t>
        </is>
      </c>
      <c r="J7" t="n">
        <v>0.2</v>
      </c>
      <c r="K7" t="n">
        <v>500</v>
      </c>
    </row>
    <row r="8">
      <c r="A8" s="62" t="inlineStr">
        <is>
          <t>HDS</t>
        </is>
      </c>
      <c r="B8" t="n">
        <v>7.8</v>
      </c>
      <c r="C8" s="62" t="inlineStr">
        <is>
          <t>Core &amp; Cavity,Inserts, Core pins, Ejector pins</t>
        </is>
      </c>
      <c r="D8" s="5">
        <f>Table1[[#This Row],[Total]]</f>
        <v/>
      </c>
      <c r="E8" s="166" t="n">
        <v>590</v>
      </c>
      <c r="F8" s="166" t="n"/>
      <c r="G8" s="166">
        <f>Table1[[#This Row],[RM cost]]+Table1[[#This Row],[Extra cost]]</f>
        <v/>
      </c>
      <c r="I8" s="170" t="inlineStr">
        <is>
          <t>Radial Drilling - Hole drilling</t>
        </is>
      </c>
      <c r="J8" t="n">
        <v>1</v>
      </c>
      <c r="K8" t="n">
        <v>500</v>
      </c>
    </row>
    <row r="9">
      <c r="A9" s="62" t="inlineStr">
        <is>
          <t>HSS</t>
        </is>
      </c>
      <c r="B9" t="n">
        <v>8.16</v>
      </c>
      <c r="C9" s="62" t="inlineStr">
        <is>
          <t>Piercing punches &amp; Die</t>
        </is>
      </c>
      <c r="D9" s="5">
        <f>Table1[[#This Row],[Total]]</f>
        <v/>
      </c>
      <c r="E9" s="166" t="n">
        <v>950</v>
      </c>
      <c r="F9" s="166" t="n"/>
      <c r="G9" s="166">
        <f>Table1[[#This Row],[RM cost]]+Table1[[#This Row],[Extra cost]]</f>
        <v/>
      </c>
      <c r="I9" s="170" t="inlineStr">
        <is>
          <t>Radial Drilling - Reaming / Tapping</t>
        </is>
      </c>
      <c r="J9" t="n">
        <v>0.5</v>
      </c>
      <c r="K9" t="n">
        <v>500</v>
      </c>
    </row>
    <row r="10">
      <c r="A10" s="62" t="inlineStr">
        <is>
          <t>SG IRON</t>
        </is>
      </c>
      <c r="B10" t="n">
        <v>7.3</v>
      </c>
      <c r="C10" s="62" t="inlineStr">
        <is>
          <t>Housing for Pressure Die casting</t>
        </is>
      </c>
      <c r="D10" s="5">
        <f>Table1[[#This Row],[Total]]</f>
        <v/>
      </c>
      <c r="E10" s="166" t="n">
        <v>100</v>
      </c>
      <c r="F10" s="166" t="n"/>
      <c r="G10" s="166">
        <f>Table1[[#This Row],[RM cost]]+Table1[[#This Row],[Extra cost]]</f>
        <v/>
      </c>
      <c r="I10" s="170" t="inlineStr">
        <is>
          <t>Pillar Drilling</t>
        </is>
      </c>
      <c r="J10" t="n">
        <v>0.3</v>
      </c>
      <c r="K10" t="n">
        <v>500</v>
      </c>
    </row>
    <row r="11">
      <c r="A11" s="62" t="inlineStr">
        <is>
          <t>P20</t>
        </is>
      </c>
      <c r="B11" t="n">
        <v>7.861</v>
      </c>
      <c r="C11" s="62" t="inlineStr">
        <is>
          <t>Core &amp; Cavity of Plastic Mould</t>
        </is>
      </c>
      <c r="D11" s="5">
        <f>Table1[[#This Row],[Total]]</f>
        <v/>
      </c>
      <c r="E11" s="166" t="n">
        <v>230</v>
      </c>
      <c r="F11" s="166" t="n"/>
      <c r="G11" s="166" t="n">
        <v>230</v>
      </c>
      <c r="I11" s="170" t="inlineStr">
        <is>
          <t>Gun Drilling</t>
        </is>
      </c>
      <c r="J11" t="n">
        <v>2</v>
      </c>
      <c r="K11" t="n">
        <v>500</v>
      </c>
    </row>
    <row r="12">
      <c r="A12" s="62" t="inlineStr">
        <is>
          <t>Dievar</t>
        </is>
      </c>
      <c r="B12" s="62" t="n">
        <v>7.8</v>
      </c>
      <c r="C12" s="62" t="inlineStr">
        <is>
          <t xml:space="preserve">Casting core &amp; cavity-Surface finish will be good </t>
        </is>
      </c>
      <c r="D12" s="5">
        <f>Table1[[#This Row],[Total]]</f>
        <v/>
      </c>
      <c r="E12" s="166" t="n">
        <v>985</v>
      </c>
      <c r="F12" s="166" t="n"/>
      <c r="G12" s="166">
        <f>Table1[[#This Row],[RM cost]]+Table1[[#This Row],[Extra cost]]</f>
        <v/>
      </c>
      <c r="I12" s="170" t="inlineStr">
        <is>
          <t>NC EDM</t>
        </is>
      </c>
      <c r="J12" t="n">
        <v>0.01</v>
      </c>
      <c r="K12" t="n">
        <v>800</v>
      </c>
    </row>
    <row r="13">
      <c r="A13" s="62" t="inlineStr">
        <is>
          <t>FCD55</t>
        </is>
      </c>
      <c r="B13" s="62" t="n"/>
      <c r="C13" s="62" t="inlineStr">
        <is>
          <t>mold base</t>
        </is>
      </c>
      <c r="D13" s="5">
        <f>Table1[[#This Row],[Total]]</f>
        <v/>
      </c>
      <c r="E13" s="166" t="n">
        <v>200</v>
      </c>
      <c r="F13" s="166" t="n"/>
      <c r="G13" s="166">
        <f>Table1[[#This Row],[RM cost]]+Table1[[#This Row],[Extra cost]]</f>
        <v/>
      </c>
      <c r="I13" s="170" t="inlineStr">
        <is>
          <t>Wirecut EDM</t>
        </is>
      </c>
      <c r="J13" t="n">
        <v>0.01</v>
      </c>
      <c r="K13" t="n">
        <v>800</v>
      </c>
    </row>
    <row r="14">
      <c r="A14" s="62" t="inlineStr">
        <is>
          <t>EN8</t>
        </is>
      </c>
      <c r="B14" s="62" t="n"/>
      <c r="C14" s="62" t="inlineStr">
        <is>
          <t>mold base</t>
        </is>
      </c>
      <c r="D14" s="5">
        <f>Table1[[#This Row],[Total]]</f>
        <v/>
      </c>
      <c r="E14" s="166" t="n">
        <v>120</v>
      </c>
      <c r="F14" s="166" t="n"/>
      <c r="G14" s="166">
        <f>Table1[[#This Row],[RM cost]]+Table1[[#This Row],[Extra cost]]</f>
        <v/>
      </c>
      <c r="I14" s="170" t="inlineStr">
        <is>
          <t>Jig Boring</t>
        </is>
      </c>
      <c r="J14" t="n">
        <v>0.2</v>
      </c>
      <c r="K14" t="n">
        <v>500</v>
      </c>
    </row>
    <row r="15">
      <c r="A15" s="62" t="inlineStr">
        <is>
          <t>Orvar</t>
        </is>
      </c>
      <c r="B15" s="62" t="n"/>
      <c r="C15" s="62" t="inlineStr">
        <is>
          <t>core &amp; cavity-casting</t>
        </is>
      </c>
      <c r="D15" s="5">
        <f>Table1[[#This Row],[Total]]</f>
        <v/>
      </c>
      <c r="E15" s="166" t="n">
        <v>500</v>
      </c>
      <c r="F15" s="166" t="n"/>
      <c r="G15" s="166">
        <f>Table1[[#This Row],[RM cost]]+Table1[[#This Row],[Extra cost]]</f>
        <v/>
      </c>
      <c r="I15" s="170" t="inlineStr">
        <is>
          <t>CNC Lathe</t>
        </is>
      </c>
      <c r="J15" t="n">
        <v>1.2</v>
      </c>
      <c r="K15" t="n">
        <v>1200</v>
      </c>
    </row>
    <row r="16">
      <c r="A16" s="223" t="inlineStr">
        <is>
          <t>Graphite</t>
        </is>
      </c>
      <c r="B16" s="62" t="n">
        <v>1.5</v>
      </c>
      <c r="C16" s="62" t="inlineStr">
        <is>
          <t>electrode</t>
        </is>
      </c>
      <c r="D16" s="5">
        <f>Table1[[#This Row],[Total]]</f>
        <v/>
      </c>
      <c r="E16" s="167" t="n"/>
      <c r="F16" s="167" t="n"/>
      <c r="G16" s="167" t="n">
        <v>1500</v>
      </c>
      <c r="I16" s="170" t="inlineStr">
        <is>
          <t>CNC Milling</t>
        </is>
      </c>
      <c r="J16" t="n">
        <v>1</v>
      </c>
      <c r="K16" t="n">
        <v>1200</v>
      </c>
    </row>
    <row r="17">
      <c r="A17" s="62" t="n"/>
      <c r="B17" s="62" t="n"/>
      <c r="C17" s="62" t="n"/>
      <c r="E17" s="62" t="n"/>
      <c r="F17" s="62" t="n"/>
      <c r="G17" s="62" t="n"/>
      <c r="I17" s="171" t="inlineStr">
        <is>
          <t>CNC EDM</t>
        </is>
      </c>
      <c r="J17" t="n">
        <v>1</v>
      </c>
      <c r="K17" t="n">
        <v>1200</v>
      </c>
    </row>
    <row r="19">
      <c r="A19" s="336" t="inlineStr">
        <is>
          <t>Part Material</t>
        </is>
      </c>
      <c r="B19" s="336" t="inlineStr">
        <is>
          <t>Price/kg</t>
        </is>
      </c>
      <c r="C19" s="336" t="inlineStr">
        <is>
          <t>Tonnage Constant(/cm2)</t>
        </is>
      </c>
      <c r="D19" s="336" t="inlineStr">
        <is>
          <t>Density</t>
        </is>
      </c>
      <c r="E19" s="336" t="inlineStr">
        <is>
          <t>Young modulus</t>
        </is>
      </c>
    </row>
    <row r="20">
      <c r="A20" s="336" t="inlineStr">
        <is>
          <t>PS</t>
        </is>
      </c>
      <c r="B20" s="148" t="n">
        <v>136</v>
      </c>
      <c r="C20" s="148" t="n">
        <v>0.32</v>
      </c>
      <c r="D20" s="148" t="n">
        <v>1</v>
      </c>
      <c r="E20" s="148" t="n">
        <v>3</v>
      </c>
    </row>
    <row r="21">
      <c r="A21" s="336" t="inlineStr">
        <is>
          <t>PE</t>
        </is>
      </c>
      <c r="B21" s="148" t="n">
        <v>161</v>
      </c>
      <c r="C21" s="148" t="n">
        <v>0.32</v>
      </c>
      <c r="D21" s="148" t="n">
        <v>0.92</v>
      </c>
      <c r="E21" s="148">
        <f>AVERAGE(0.19,0.3)</f>
        <v/>
      </c>
    </row>
    <row r="22">
      <c r="A22" s="336" t="inlineStr">
        <is>
          <t>PP</t>
        </is>
      </c>
      <c r="B22" s="148" t="n">
        <v>139</v>
      </c>
      <c r="C22" s="148" t="n">
        <v>0.32</v>
      </c>
      <c r="D22" s="148" t="n">
        <v>0.91</v>
      </c>
      <c r="E22" s="148">
        <f>AVERAGE(1,3.5)</f>
        <v/>
      </c>
    </row>
    <row r="23">
      <c r="A23" s="336" t="inlineStr">
        <is>
          <t>ABS</t>
        </is>
      </c>
      <c r="B23" s="148" t="n">
        <v>210</v>
      </c>
      <c r="C23" s="148" t="n">
        <v>0.4</v>
      </c>
      <c r="D23" s="148" t="n">
        <v>1.03</v>
      </c>
      <c r="E23" s="148">
        <f>AVERAGE(1.79,3.2)</f>
        <v/>
      </c>
    </row>
    <row r="24">
      <c r="A24" s="336" t="inlineStr">
        <is>
          <t>PA-unfilled-dupont</t>
        </is>
      </c>
      <c r="B24" s="148" t="n">
        <v>481</v>
      </c>
      <c r="C24" s="148" t="n">
        <v>0.6899999999999999</v>
      </c>
      <c r="D24" s="148" t="n">
        <v>1.01</v>
      </c>
      <c r="E24" s="148">
        <f>AVERAGE(1,3.2)</f>
        <v/>
      </c>
    </row>
    <row r="25">
      <c r="A25" s="336" t="inlineStr">
        <is>
          <t>POM</t>
        </is>
      </c>
      <c r="B25" s="148" t="n">
        <v>300</v>
      </c>
      <c r="C25" s="148" t="n">
        <v>0.6899999999999999</v>
      </c>
      <c r="D25" s="148" t="n">
        <v>1.41</v>
      </c>
      <c r="E25" s="148">
        <f>AVERAGE(2.8,3.4)</f>
        <v/>
      </c>
    </row>
    <row r="26">
      <c r="A26" s="336" t="inlineStr">
        <is>
          <t>Glass fiber-Plain</t>
        </is>
      </c>
      <c r="B26" s="148" t="n">
        <v>220</v>
      </c>
      <c r="C26" s="148" t="n">
        <v>0.6899999999999999</v>
      </c>
      <c r="D26" s="148" t="n">
        <v>2.54</v>
      </c>
      <c r="E26" s="148" t="n">
        <v>72</v>
      </c>
    </row>
    <row r="27">
      <c r="A27" s="336" t="inlineStr">
        <is>
          <t>Nylon-srf</t>
        </is>
      </c>
      <c r="B27" s="148" t="n">
        <v>257</v>
      </c>
      <c r="C27" s="148" t="n">
        <v>0.72</v>
      </c>
      <c r="D27" s="148" t="n">
        <v>1.14</v>
      </c>
      <c r="E27" s="148" t="n">
        <v>2.7</v>
      </c>
    </row>
  </sheetData>
  <mergeCells count="1">
    <mergeCell ref="B1:C1"/>
  </mergeCells>
  <pageMargins left="0.7" right="0.7" top="0.75" bottom="0.75" header="0.3" footer="0.3"/>
  <pageSetup orientation="landscape" paperSize="9" scale="75" fitToHeight="0"/>
  <tableParts count="3">
    <tablePart r:id="rId1"/>
    <tablePart r:id="rId2"/>
    <tablePart r:id="rId3"/>
  </tableParts>
</worksheet>
</file>

<file path=xl/worksheets/sheet9.xml><?xml version="1.0" encoding="utf-8"?>
<worksheet xmlns:r="http://schemas.openxmlformats.org/officeDocument/2006/relationships" xmlns="http://schemas.openxmlformats.org/spreadsheetml/2006/main">
  <sheetPr codeName="Sheet2">
    <tabColor theme="8" tint="-0.249977111117893"/>
    <outlinePr summaryBelow="1" summaryRight="1"/>
    <pageSetUpPr fitToPage="1"/>
  </sheetPr>
  <dimension ref="A1:J33"/>
  <sheetViews>
    <sheetView topLeftCell="A5" workbookViewId="0">
      <selection activeCell="E18" sqref="E18"/>
    </sheetView>
  </sheetViews>
  <sheetFormatPr baseColWidth="8" defaultColWidth="9" defaultRowHeight="14.5"/>
  <cols>
    <col width="21.26953125" customWidth="1" style="450" min="1" max="1"/>
    <col width="17.90625" customWidth="1" style="450" min="2" max="2"/>
    <col width="10.81640625" customWidth="1" style="450" min="4" max="4"/>
    <col width="19.1796875" customWidth="1" style="450" min="5" max="5"/>
    <col width="17.36328125" customWidth="1" style="450" min="6" max="6"/>
    <col width="11.453125" customWidth="1" style="450" min="7" max="7"/>
    <col width="11.81640625" customWidth="1" style="450" min="8" max="8"/>
  </cols>
  <sheetData>
    <row r="1">
      <c r="A1" s="563" t="inlineStr">
        <is>
          <t xml:space="preserve">Part </t>
        </is>
      </c>
      <c r="B1" s="563" t="inlineStr">
        <is>
          <t>Dimensions</t>
        </is>
      </c>
      <c r="C1" s="563" t="inlineStr">
        <is>
          <t>unit</t>
        </is>
      </c>
      <c r="E1" s="542" t="inlineStr">
        <is>
          <t>Mould Dimensions Calculation based on Part Data</t>
        </is>
      </c>
      <c r="F1" s="457" t="n"/>
    </row>
    <row r="2" ht="14.5" customHeight="1" s="450">
      <c r="A2" s="336" t="inlineStr">
        <is>
          <t>Length</t>
        </is>
      </c>
      <c r="B2" s="148">
        <f>IF('INJ. MOULDING ESTIMATION'!C9=TRUE,'INJ. MOULDING ESTIMATION'!C6,'INJ. MOULDING ESTIMATION'!C7)</f>
        <v/>
      </c>
      <c r="C2" s="336" t="inlineStr">
        <is>
          <t>mm</t>
        </is>
      </c>
      <c r="E2" s="452" t="n"/>
      <c r="F2" s="454" t="n"/>
    </row>
    <row r="3">
      <c r="A3" s="336" t="inlineStr">
        <is>
          <t>Width</t>
        </is>
      </c>
      <c r="B3" s="148">
        <f>IF('INJ. MOULDING ESTIMATION'!C9=TRUE,'INJ. MOULDING ESTIMATION'!C7,'INJ. MOULDING ESTIMATION'!C6)</f>
        <v/>
      </c>
      <c r="C3" s="336" t="inlineStr">
        <is>
          <t>mm</t>
        </is>
      </c>
      <c r="E3" s="149" t="inlineStr">
        <is>
          <t>Length</t>
        </is>
      </c>
      <c r="F3" s="108">
        <f>VLOOKUP(F6,E12:H16,2,FALSE)+50</f>
        <v/>
      </c>
    </row>
    <row r="4">
      <c r="A4" s="336" t="inlineStr">
        <is>
          <t>Height</t>
        </is>
      </c>
      <c r="B4" s="148">
        <f>'INJ. MOULDING ESTIMATION'!C8</f>
        <v/>
      </c>
      <c r="C4" s="336" t="inlineStr">
        <is>
          <t>mm</t>
        </is>
      </c>
      <c r="E4" s="149" t="inlineStr">
        <is>
          <t xml:space="preserve">Width </t>
        </is>
      </c>
      <c r="F4" s="108">
        <f>VLOOKUP(F6,E12:G16,3,FALSE)+50</f>
        <v/>
      </c>
    </row>
    <row r="5">
      <c r="A5" s="336" t="inlineStr">
        <is>
          <t>Volume</t>
        </is>
      </c>
      <c r="B5" s="148">
        <f>B2*B3*B4</f>
        <v/>
      </c>
      <c r="C5" s="336" t="inlineStr">
        <is>
          <t>mm3</t>
        </is>
      </c>
      <c r="E5" s="149" t="inlineStr">
        <is>
          <t xml:space="preserve">Height </t>
        </is>
      </c>
      <c r="F5" s="108">
        <f>VLOOKUP($F$6,$E$12:$H$16,4,FALSE)</f>
        <v/>
      </c>
    </row>
    <row r="6">
      <c r="A6" s="336" t="inlineStr">
        <is>
          <t>%Projection</t>
        </is>
      </c>
      <c r="B6" s="148">
        <f>'INJ. MOULDING ESTIMATION'!C17/100</f>
        <v/>
      </c>
      <c r="C6" s="336" t="n"/>
      <c r="E6" s="149" t="inlineStr">
        <is>
          <t>Cavity</t>
        </is>
      </c>
      <c r="F6" s="150">
        <f>INT(B10)</f>
        <v/>
      </c>
    </row>
    <row r="7">
      <c r="A7" s="336" t="inlineStr">
        <is>
          <t>Projected Area(in mm2)</t>
        </is>
      </c>
      <c r="B7" s="148">
        <f>B6*B2*B3</f>
        <v/>
      </c>
      <c r="C7" s="336" t="inlineStr">
        <is>
          <t>mm2</t>
        </is>
      </c>
      <c r="E7" s="149" t="inlineStr">
        <is>
          <t>Gap between cavity(T)</t>
        </is>
      </c>
      <c r="F7" s="110" t="n">
        <v>50</v>
      </c>
    </row>
    <row r="8">
      <c r="A8" s="310" t="inlineStr">
        <is>
          <t>surface area(Better estimation then projection area)</t>
        </is>
      </c>
      <c r="B8">
        <f>2*((B2*B3)/2+B3*B4+B2*B4)</f>
        <v/>
      </c>
      <c r="C8" s="336" t="n"/>
      <c r="E8" s="149" t="n"/>
      <c r="F8" s="110" t="n"/>
    </row>
    <row r="9">
      <c r="A9" s="336" t="inlineStr">
        <is>
          <t>Material Used</t>
        </is>
      </c>
      <c r="B9" s="148">
        <f>'INJ. MOULDING ESTIMATION'!C12</f>
        <v/>
      </c>
      <c r="C9" s="336" t="n"/>
      <c r="E9" s="149" t="inlineStr">
        <is>
          <t>Volume(in mm2)</t>
        </is>
      </c>
      <c r="F9" s="150">
        <f>F3*F4*F5</f>
        <v/>
      </c>
    </row>
    <row r="10">
      <c r="A10" s="336" t="inlineStr">
        <is>
          <t>No ofCavity</t>
        </is>
      </c>
      <c r="B10" s="151">
        <f>'INJ. MOULDING ESTIMATION'!C14</f>
        <v/>
      </c>
      <c r="C10" s="336" t="n"/>
    </row>
    <row r="11">
      <c r="A11" s="336" t="inlineStr">
        <is>
          <t xml:space="preserve">No of parts( Dmd. ) </t>
        </is>
      </c>
      <c r="B11" s="148">
        <f>'INJ. MOULDING ESTIMATION'!C20</f>
        <v/>
      </c>
      <c r="C11" s="336" t="n"/>
      <c r="E11" s="152" t="inlineStr">
        <is>
          <t>Cavity</t>
        </is>
      </c>
      <c r="F11" s="153" t="inlineStr">
        <is>
          <t>Length</t>
        </is>
      </c>
      <c r="G11" s="153" t="inlineStr">
        <is>
          <t>Width</t>
        </is>
      </c>
      <c r="H11" s="153" t="inlineStr">
        <is>
          <t>Height</t>
        </is>
      </c>
    </row>
    <row r="12">
      <c r="A12" s="336" t="inlineStr">
        <is>
          <t>Cycle Time</t>
        </is>
      </c>
      <c r="B12" s="154">
        <f>'No of Cavity'!B6</f>
        <v/>
      </c>
      <c r="C12" s="336" t="inlineStr">
        <is>
          <t>sec</t>
        </is>
      </c>
      <c r="E12" s="153" t="n">
        <v>1</v>
      </c>
      <c r="F12" s="155">
        <f>'Mould Layout'!B$28</f>
        <v/>
      </c>
      <c r="G12" s="155">
        <f>'Mould Layout'!B$30</f>
        <v/>
      </c>
      <c r="H12" s="155">
        <f>'Mould Layout'!B$32</f>
        <v/>
      </c>
    </row>
    <row r="13">
      <c r="A13" s="336" t="inlineStr">
        <is>
          <t>Injection Pressure</t>
        </is>
      </c>
      <c r="B13" s="148">
        <f>VLOOKUP(B9,Table11[],3,FALSE)*1000</f>
        <v/>
      </c>
      <c r="C13" s="336" t="n"/>
      <c r="E13" s="153" t="n">
        <v>2</v>
      </c>
      <c r="F13" s="155">
        <f>'Mould Layout'!C$28</f>
        <v/>
      </c>
      <c r="G13" s="155">
        <f>'Mould Layout'!C$30</f>
        <v/>
      </c>
      <c r="H13" s="155">
        <f>'Mould Layout'!C$32</f>
        <v/>
      </c>
    </row>
    <row r="14">
      <c r="A14" s="336" t="inlineStr">
        <is>
          <t>Avg. Wall Thickness</t>
        </is>
      </c>
      <c r="B14" s="148">
        <f>'INJ. MOULDING ESTIMATION'!C10</f>
        <v/>
      </c>
      <c r="C14" s="336" t="inlineStr">
        <is>
          <t>mm</t>
        </is>
      </c>
      <c r="E14" s="153" t="n">
        <v>4</v>
      </c>
      <c r="F14" s="155">
        <f>'Mould Layout'!D$28</f>
        <v/>
      </c>
      <c r="G14" s="155">
        <f>'Mould Layout'!D$30</f>
        <v/>
      </c>
      <c r="H14" s="155">
        <f>'Mould Layout'!D$32</f>
        <v/>
      </c>
    </row>
    <row r="15">
      <c r="A15" s="336" t="inlineStr">
        <is>
          <t>Max wall thickness</t>
        </is>
      </c>
      <c r="B15" s="148">
        <f>'INJ. MOULDING ESTIMATION'!C11</f>
        <v/>
      </c>
      <c r="C15" s="336" t="inlineStr">
        <is>
          <t>mm</t>
        </is>
      </c>
      <c r="E15" s="153" t="n">
        <v>6</v>
      </c>
      <c r="F15" s="155">
        <f>'Mould Layout'!E$28</f>
        <v/>
      </c>
      <c r="G15" s="155">
        <f>'Mould Layout'!E$30</f>
        <v/>
      </c>
      <c r="H15" s="155">
        <f>'Mould Layout'!E$32</f>
        <v/>
      </c>
    </row>
    <row r="16">
      <c r="A16" s="336" t="inlineStr">
        <is>
          <t>Daily production</t>
        </is>
      </c>
      <c r="B16" s="156">
        <f>'INJ. MOULDING ESTIMATION'!C19</f>
        <v/>
      </c>
      <c r="C16" s="336" t="n"/>
      <c r="E16" s="153" t="n">
        <v>8</v>
      </c>
      <c r="F16" s="155">
        <f>'Mould Layout'!F$28</f>
        <v/>
      </c>
      <c r="G16" s="155">
        <f>'Mould Layout'!F30</f>
        <v/>
      </c>
      <c r="H16" s="155">
        <f>'Mould Layout'!F$32</f>
        <v/>
      </c>
    </row>
    <row r="17">
      <c r="A17" s="282" t="inlineStr">
        <is>
          <t>increase no of machine</t>
        </is>
      </c>
      <c r="B17" s="148" t="n"/>
      <c r="C17" s="336" t="n"/>
    </row>
    <row r="18">
      <c r="A18" s="157" t="inlineStr">
        <is>
          <t>Output</t>
        </is>
      </c>
      <c r="B18" s="158" t="inlineStr">
        <is>
          <t>Price</t>
        </is>
      </c>
      <c r="D18">
        <f>B23</f>
        <v/>
      </c>
      <c r="E18" t="inlineStr">
        <is>
          <t>Total cost</t>
        </is>
      </c>
    </row>
    <row r="19">
      <c r="A19" s="437" t="inlineStr">
        <is>
          <t>Mould Cost</t>
        </is>
      </c>
      <c r="B19" s="50">
        <f>'Mould Costing'!L100</f>
        <v/>
      </c>
      <c r="D19">
        <f>D18/B11</f>
        <v/>
      </c>
      <c r="E19" t="inlineStr">
        <is>
          <t>Cost per part</t>
        </is>
      </c>
      <c r="G19" t="inlineStr">
        <is>
          <t>TOTAL WORKING HOUR</t>
        </is>
      </c>
      <c r="I19">
        <f>0.9*8</f>
        <v/>
      </c>
    </row>
    <row r="20">
      <c r="A20" s="437" t="inlineStr">
        <is>
          <t xml:space="preserve">Total Part cost </t>
        </is>
      </c>
      <c r="B20" s="86">
        <f>'Part Cost'!B15</f>
        <v/>
      </c>
      <c r="D20">
        <f>D18/B28</f>
        <v/>
      </c>
      <c r="E20" t="inlineStr">
        <is>
          <t>per day cost</t>
        </is>
      </c>
      <c r="G20" t="inlineStr">
        <is>
          <t>CYCLE TIME</t>
        </is>
      </c>
      <c r="I20">
        <f>B12/3600</f>
        <v/>
      </c>
    </row>
    <row r="21">
      <c r="A21" s="259" t="inlineStr">
        <is>
          <t xml:space="preserve">Total Part </t>
        </is>
      </c>
      <c r="B21" s="86">
        <f>B11</f>
        <v/>
      </c>
      <c r="D21" s="22">
        <f>8*3600/B12*0.9</f>
        <v/>
      </c>
      <c r="E21" t="inlineStr">
        <is>
          <t>no of cycle/day</t>
        </is>
      </c>
      <c r="G21" t="inlineStr">
        <is>
          <t xml:space="preserve">NO OF CYCLE </t>
        </is>
      </c>
      <c r="I21">
        <f>I19/I20</f>
        <v/>
      </c>
    </row>
    <row r="22">
      <c r="A22" s="437" t="n"/>
      <c r="B22" s="86" t="n"/>
      <c r="D22" s="22">
        <f>D21*B28/B10</f>
        <v/>
      </c>
      <c r="E22" t="inlineStr">
        <is>
          <t>total cycle</t>
        </is>
      </c>
      <c r="G22" t="inlineStr">
        <is>
          <t>WASTE TIME</t>
        </is>
      </c>
      <c r="I22">
        <f>10%*I21</f>
        <v/>
      </c>
    </row>
    <row r="23" ht="23.5" customHeight="1" s="450">
      <c r="A23" s="159" t="inlineStr">
        <is>
          <t>Total price</t>
        </is>
      </c>
      <c r="B23" s="160">
        <f>SUM(B19,B20)</f>
        <v/>
      </c>
      <c r="G23" t="inlineStr">
        <is>
          <t>NET CYCLE</t>
        </is>
      </c>
      <c r="I23">
        <f>I21-I22</f>
        <v/>
      </c>
      <c r="J23" t="inlineStr">
        <is>
          <t>P/SEC</t>
        </is>
      </c>
    </row>
    <row r="24">
      <c r="G24" t="inlineStr">
        <is>
          <t>PART PRODUCE</t>
        </is>
      </c>
      <c r="I24">
        <f>I23*B10*'No of Cavity'!B10</f>
        <v/>
      </c>
      <c r="J24">
        <f>I24/(8*3600)</f>
        <v/>
      </c>
    </row>
    <row r="28">
      <c r="A28" s="161" t="inlineStr">
        <is>
          <t>NO OF WORKING DAY REQ</t>
        </is>
      </c>
      <c r="B28" s="162">
        <f>B21/B16</f>
        <v/>
      </c>
      <c r="E28" t="inlineStr">
        <is>
          <t>PROFIT</t>
        </is>
      </c>
      <c r="F28">
        <f>5%*D25</f>
        <v/>
      </c>
    </row>
    <row r="29">
      <c r="A29" s="161" t="n"/>
      <c r="B29" s="162" t="n"/>
      <c r="E29" t="inlineStr">
        <is>
          <t>NET PROFIT</t>
        </is>
      </c>
      <c r="F29">
        <f>F28*B21</f>
        <v/>
      </c>
    </row>
    <row r="30">
      <c r="A30" s="161" t="n"/>
      <c r="B30" s="162" t="n"/>
      <c r="E30" t="inlineStr">
        <is>
          <t>PER DAY PROFIT</t>
        </is>
      </c>
      <c r="F30">
        <f>F29/B28</f>
        <v/>
      </c>
    </row>
    <row r="31">
      <c r="A31" s="161" t="n"/>
      <c r="B31" s="162" t="n"/>
    </row>
    <row r="32">
      <c r="A32" s="161" t="n"/>
      <c r="B32" s="162" t="n"/>
    </row>
    <row r="33">
      <c r="A33" s="163" t="n"/>
      <c r="B33" s="162" t="n"/>
    </row>
  </sheetData>
  <mergeCells count="1">
    <mergeCell ref="E1:F2"/>
  </mergeCells>
  <pageMargins left="0.7" right="0.7" top="0.75" bottom="0.75" header="0.3" footer="0.3"/>
  <pageSetup orientation="landscape" paperSize="9" scale="80" fitToHeight="0"/>
  <tableParts count="2">
    <tablePart r:id="rId1"/>
    <tablePart r:id="rId2"/>
  </tableParts>
</worksheet>
</file>

<file path=xl/worksheets/sheet10.xml><?xml version="1.0" encoding="utf-8"?>
<worksheet xmlns:r="http://schemas.openxmlformats.org/officeDocument/2006/relationships" xmlns="http://schemas.openxmlformats.org/spreadsheetml/2006/main">
  <sheetPr codeName="Sheet3">
    <tabColor rgb="FF92D050"/>
    <outlinePr summaryBelow="1" summaryRight="1"/>
    <pageSetUpPr/>
  </sheetPr>
  <dimension ref="A1:K29"/>
  <sheetViews>
    <sheetView showGridLines="0" zoomScale="49" zoomScaleNormal="49" workbookViewId="0">
      <selection activeCell="K3" sqref="K3"/>
    </sheetView>
  </sheetViews>
  <sheetFormatPr baseColWidth="8" defaultColWidth="9" defaultRowHeight="20.15" customHeight="1"/>
  <cols>
    <col width="46.7265625" customWidth="1" style="450" min="1" max="1"/>
    <col width="25.81640625" customWidth="1" style="563" min="2" max="2"/>
    <col width="11.54296875" customWidth="1" style="62" min="5" max="5"/>
    <col width="12.26953125" customWidth="1" style="62" min="6" max="6"/>
    <col width="29.81640625" customWidth="1" style="62" min="7" max="7"/>
    <col width="8.81640625" customWidth="1" style="450" min="8" max="9"/>
    <col width="13.453125" customWidth="1" style="450" min="10" max="10"/>
    <col width="9.453125" customWidth="1" style="450" min="11" max="13"/>
  </cols>
  <sheetData>
    <row r="1" ht="20.15" customHeight="1" s="450">
      <c r="A1" s="543" t="inlineStr">
        <is>
          <t>Cavity Calculation</t>
        </is>
      </c>
      <c r="B1" s="439" t="n"/>
      <c r="C1" s="437" t="n"/>
      <c r="E1" s="131" t="inlineStr">
        <is>
          <t>No of Cavity</t>
        </is>
      </c>
      <c r="G1" s="518" t="inlineStr">
        <is>
          <t>Cycle Time calculation</t>
        </is>
      </c>
      <c r="H1" s="439" t="n"/>
      <c r="I1" s="437" t="n"/>
      <c r="J1" s="265" t="inlineStr">
        <is>
          <t>Value in Sec</t>
        </is>
      </c>
    </row>
    <row r="2" ht="20.15" customFormat="1" customHeight="1" s="336">
      <c r="A2" s="558" t="n"/>
      <c r="B2" s="558" t="inlineStr">
        <is>
          <t>Value</t>
        </is>
      </c>
      <c r="C2" s="558" t="inlineStr">
        <is>
          <t>Unit</t>
        </is>
      </c>
      <c r="E2" s="132" t="n">
        <v>1</v>
      </c>
      <c r="G2" s="544" t="inlineStr">
        <is>
          <t>T1 = Injection time + dwelling time</t>
        </is>
      </c>
      <c r="H2" s="439" t="n"/>
      <c r="I2" s="437" t="n"/>
      <c r="J2" s="147" t="n">
        <v>3</v>
      </c>
    </row>
    <row r="3" ht="20.15" customHeight="1" s="450">
      <c r="A3" s="265" t="inlineStr">
        <is>
          <t>Daily Requirements</t>
        </is>
      </c>
      <c r="B3" s="133">
        <f>'Input-Output'!B16</f>
        <v/>
      </c>
      <c r="C3" s="109" t="inlineStr">
        <is>
          <t>No.s</t>
        </is>
      </c>
      <c r="E3" s="132" t="n">
        <v>2</v>
      </c>
      <c r="G3" s="544" t="inlineStr">
        <is>
          <t>T2 = Cooling time</t>
        </is>
      </c>
      <c r="H3" s="439" t="n"/>
      <c r="I3" s="437" t="n"/>
      <c r="J3" s="70">
        <f>INDEX(F11:K19,MATCH('Input-Output'!B9,E11:E19,1),MATCH('Input-Output'!B14,F10:K10,1))*1.2</f>
        <v/>
      </c>
    </row>
    <row r="4" ht="20.15" customHeight="1" s="450">
      <c r="A4" s="265" t="inlineStr">
        <is>
          <t>Efficiency (Labour &amp; Machine)</t>
        </is>
      </c>
      <c r="B4" s="134" t="n">
        <v>0.9</v>
      </c>
      <c r="C4" s="109" t="n"/>
      <c r="E4" s="132" t="n">
        <v>4</v>
      </c>
      <c r="G4" s="544" t="inlineStr">
        <is>
          <t>T3 = Time required to remove the molded product</t>
        </is>
      </c>
      <c r="H4" s="439" t="n"/>
      <c r="I4" s="437" t="n"/>
      <c r="J4" s="265" t="n">
        <v>5</v>
      </c>
    </row>
    <row r="5" ht="20.15" customHeight="1" s="450">
      <c r="A5" s="265" t="inlineStr">
        <is>
          <t>Material Rejection</t>
        </is>
      </c>
      <c r="B5" s="134" t="n">
        <v>0.02</v>
      </c>
      <c r="C5" s="109" t="n"/>
      <c r="E5" s="132" t="n">
        <v>6</v>
      </c>
      <c r="G5" s="544" t="inlineStr">
        <is>
          <t>T4 = Time needed for opening and closing the mold</t>
        </is>
      </c>
      <c r="H5" s="439" t="n"/>
      <c r="I5" s="437" t="n"/>
      <c r="J5" s="265" t="n">
        <v>3</v>
      </c>
    </row>
    <row r="6" ht="20.15" customHeight="1" s="450">
      <c r="A6" s="265" t="inlineStr">
        <is>
          <t>Cycle Time / Part</t>
        </is>
      </c>
      <c r="B6" s="135">
        <f>J6</f>
        <v/>
      </c>
      <c r="C6" s="109" t="inlineStr">
        <is>
          <t>Secs</t>
        </is>
      </c>
      <c r="E6" s="132" t="n">
        <v>8</v>
      </c>
      <c r="G6" s="547" t="inlineStr">
        <is>
          <t>Cycle Time /Part</t>
        </is>
      </c>
      <c r="H6" s="439" t="n"/>
      <c r="I6" s="437" t="n"/>
      <c r="J6" s="5">
        <f>SUM(J2:J5)</f>
        <v/>
      </c>
    </row>
    <row r="7" ht="20.15" customHeight="1" s="450">
      <c r="A7" s="265" t="inlineStr">
        <is>
          <t>Cycle Time / Part</t>
        </is>
      </c>
      <c r="B7" s="136">
        <f>B6/3600</f>
        <v/>
      </c>
      <c r="C7" s="109" t="inlineStr">
        <is>
          <t>Hours</t>
        </is>
      </c>
      <c r="G7" s="62" t="inlineStr">
        <is>
          <t>Nominal thickness</t>
        </is>
      </c>
      <c r="H7">
        <f>ROUNDUP('Input-Output'!B14,0)</f>
        <v/>
      </c>
    </row>
    <row r="8" ht="20.15" customHeight="1" s="450">
      <c r="A8" s="265" t="inlineStr">
        <is>
          <t>Hours per Shift</t>
        </is>
      </c>
      <c r="B8" s="135">
        <f>0.9*8</f>
        <v/>
      </c>
      <c r="C8" s="109" t="inlineStr">
        <is>
          <t>Hours</t>
        </is>
      </c>
      <c r="E8" s="546" t="inlineStr">
        <is>
          <t>Cooling time data</t>
        </is>
      </c>
      <c r="F8" s="439" t="n"/>
      <c r="G8" s="439" t="n"/>
      <c r="H8" s="439" t="n"/>
      <c r="I8" s="439" t="n"/>
      <c r="J8" s="439" t="n"/>
      <c r="K8" s="437" t="n"/>
    </row>
    <row r="9" ht="20.15" customHeight="1" s="450">
      <c r="A9" s="265" t="inlineStr">
        <is>
          <t>No of Shift</t>
        </is>
      </c>
      <c r="B9" s="135" t="n">
        <v>1</v>
      </c>
      <c r="C9" s="109" t="n"/>
      <c r="E9" s="545" t="inlineStr">
        <is>
          <t>Material</t>
        </is>
      </c>
      <c r="F9" s="565" t="inlineStr">
        <is>
          <t>Thickness</t>
        </is>
      </c>
      <c r="G9" s="565" t="inlineStr">
        <is>
          <t>mm</t>
        </is>
      </c>
      <c r="H9" s="565" t="inlineStr">
        <is>
          <t>mm</t>
        </is>
      </c>
      <c r="I9" s="565" t="inlineStr">
        <is>
          <t>mm</t>
        </is>
      </c>
      <c r="J9" s="565" t="inlineStr">
        <is>
          <t>mm</t>
        </is>
      </c>
      <c r="K9" s="565" t="inlineStr">
        <is>
          <t>mm</t>
        </is>
      </c>
    </row>
    <row r="10" ht="20.15" customHeight="1" s="450">
      <c r="A10" s="265" t="inlineStr">
        <is>
          <t>No of machine</t>
        </is>
      </c>
      <c r="B10" s="135">
        <f>'INJ. MOULDING ESTIMATION'!C18</f>
        <v/>
      </c>
      <c r="C10" s="109" t="n"/>
      <c r="E10" s="498" t="n"/>
      <c r="F10" s="545" t="n">
        <v>1</v>
      </c>
      <c r="G10" s="545" t="n">
        <v>2</v>
      </c>
      <c r="H10" s="545" t="n">
        <v>3</v>
      </c>
      <c r="I10" s="545" t="n">
        <v>4</v>
      </c>
      <c r="J10" s="545" t="n">
        <v>5</v>
      </c>
      <c r="K10" s="545" t="n">
        <v>6</v>
      </c>
    </row>
    <row r="11" ht="20.15" customHeight="1" s="450">
      <c r="A11" s="265" t="inlineStr">
        <is>
          <t>Actual QTY Required (Considering efficiency)</t>
        </is>
      </c>
      <c r="B11" s="137">
        <f>B3/B4</f>
        <v/>
      </c>
      <c r="C11" s="109" t="n"/>
      <c r="E11" s="138" t="inlineStr">
        <is>
          <t>ABS</t>
        </is>
      </c>
      <c r="F11" s="139" t="n">
        <v>1.8</v>
      </c>
      <c r="G11" s="139" t="n">
        <v>7</v>
      </c>
      <c r="H11" s="139" t="n">
        <v>15.8</v>
      </c>
      <c r="I11" s="139" t="n">
        <v>28.4</v>
      </c>
      <c r="J11" s="139" t="n">
        <v>44.4</v>
      </c>
      <c r="K11" s="139" t="n">
        <v>63.4</v>
      </c>
    </row>
    <row r="12" ht="20.15" customHeight="1" s="450">
      <c r="A12" s="265" t="inlineStr">
        <is>
          <t>Production QTY Req. (Considering Material Rej)</t>
        </is>
      </c>
      <c r="B12" s="137">
        <f>B11+(B11*B5)</f>
        <v/>
      </c>
      <c r="C12" s="109" t="n"/>
      <c r="E12" s="138" t="inlineStr">
        <is>
          <t>PS</t>
        </is>
      </c>
      <c r="F12" s="139" t="n">
        <v>1.3</v>
      </c>
      <c r="G12" s="139" t="n">
        <v>5.4</v>
      </c>
      <c r="H12" s="139" t="n">
        <v>12.1</v>
      </c>
      <c r="I12" s="139" t="n">
        <v>21.4</v>
      </c>
      <c r="J12" s="139" t="n">
        <v>33.5</v>
      </c>
      <c r="K12" s="139" t="n">
        <v>48.4</v>
      </c>
    </row>
    <row r="13" ht="20.15" customHeight="1" s="450">
      <c r="A13" s="265" t="inlineStr">
        <is>
          <t>Required QTY(Rounding off to nearest integer)</t>
        </is>
      </c>
      <c r="B13" s="135">
        <f>ROUNDUP(B12,0)</f>
        <v/>
      </c>
      <c r="C13" s="109" t="n"/>
      <c r="E13" s="138" t="inlineStr">
        <is>
          <t>PE</t>
        </is>
      </c>
      <c r="F13" s="139" t="n">
        <v>3.2</v>
      </c>
      <c r="G13" s="139" t="n">
        <v>12.6</v>
      </c>
      <c r="H13" s="139" t="n">
        <v>28.4</v>
      </c>
      <c r="I13" s="139" t="n">
        <v>50.1</v>
      </c>
      <c r="J13" s="139" t="n">
        <v>79</v>
      </c>
      <c r="K13" s="139" t="n">
        <v>114</v>
      </c>
    </row>
    <row r="14" ht="20.15" customHeight="1" s="450">
      <c r="A14" s="265" t="inlineStr">
        <is>
          <t>Time Required to produce per day requirement</t>
        </is>
      </c>
      <c r="B14" s="136">
        <f>B7*B13</f>
        <v/>
      </c>
      <c r="C14" s="109" t="inlineStr">
        <is>
          <t>Hours</t>
        </is>
      </c>
      <c r="E14" s="138" t="inlineStr">
        <is>
          <t>PA-unfilled-dupont</t>
        </is>
      </c>
      <c r="F14" s="139" t="n">
        <v>1.6</v>
      </c>
      <c r="G14" s="139" t="n">
        <v>6.4</v>
      </c>
      <c r="H14" s="139" t="n">
        <v>14.4</v>
      </c>
      <c r="I14" s="139" t="n">
        <v>25.6</v>
      </c>
      <c r="J14" s="139" t="n">
        <v>40</v>
      </c>
      <c r="K14" s="139" t="n">
        <v>57.6</v>
      </c>
    </row>
    <row r="15" ht="20.15" customHeight="1" s="450">
      <c r="A15" s="265" t="inlineStr">
        <is>
          <t>Time Available for production</t>
        </is>
      </c>
      <c r="B15" s="119">
        <f>B10*B9*B8</f>
        <v/>
      </c>
      <c r="C15" s="109" t="inlineStr">
        <is>
          <t>Hours</t>
        </is>
      </c>
      <c r="E15" s="138" t="inlineStr">
        <is>
          <t>PC</t>
        </is>
      </c>
      <c r="F15" s="139" t="n">
        <v>2.1</v>
      </c>
      <c r="G15" s="139" t="n">
        <v>8.199999999999999</v>
      </c>
      <c r="H15" s="139" t="n">
        <v>18.5</v>
      </c>
      <c r="I15" s="139" t="n">
        <v>32.8</v>
      </c>
      <c r="J15" s="139" t="n">
        <v>51.5</v>
      </c>
      <c r="K15" s="139" t="n">
        <v>74.2</v>
      </c>
    </row>
    <row r="16" ht="20.15" customHeight="1" s="450">
      <c r="A16" s="265" t="inlineStr">
        <is>
          <t>No of Cavity (Calculated)</t>
        </is>
      </c>
      <c r="B16" s="136">
        <f>B14/B15</f>
        <v/>
      </c>
      <c r="C16" s="109" t="n"/>
      <c r="E16" s="138" t="inlineStr">
        <is>
          <t>POM</t>
        </is>
      </c>
      <c r="F16" s="139" t="n">
        <v>1.9</v>
      </c>
      <c r="G16" s="139" t="n">
        <v>7.7</v>
      </c>
      <c r="H16" s="139" t="n">
        <v>17.3</v>
      </c>
      <c r="I16" s="139" t="n">
        <v>30.7</v>
      </c>
      <c r="J16" s="139" t="n">
        <v>48</v>
      </c>
      <c r="K16" s="139" t="n">
        <v>69.2</v>
      </c>
    </row>
    <row r="17" ht="20.15" customHeight="1" s="450">
      <c r="A17" s="265" t="inlineStr">
        <is>
          <t>Round of cavity( based on No of part)</t>
        </is>
      </c>
      <c r="B17" s="140">
        <f>IF(B16&lt;1,1,IF(B16&lt;2,2,IF(B16&lt;4,4,IF(B16&lt;6,6,IF(B16&gt;6,8)))))</f>
        <v/>
      </c>
      <c r="C17" s="141" t="n"/>
      <c r="E17" s="138" t="inlineStr">
        <is>
          <t>PP</t>
        </is>
      </c>
      <c r="F17" s="139" t="n">
        <v>2.5</v>
      </c>
      <c r="G17" s="139" t="n">
        <v>9.9</v>
      </c>
      <c r="H17" s="139" t="n">
        <v>22.3</v>
      </c>
      <c r="I17" s="139" t="n">
        <v>39.5</v>
      </c>
      <c r="J17" s="139" t="n">
        <v>61.8</v>
      </c>
      <c r="K17" s="139" t="n">
        <v>88.90000000000001</v>
      </c>
    </row>
    <row r="18" ht="20.15" customHeight="1" s="450">
      <c r="A18" s="79" t="inlineStr">
        <is>
          <t>No of cavity( As per part length)</t>
        </is>
      </c>
      <c r="B18" s="142">
        <f>IF('Input-Output'!B2&lt;100,8,IF('Input-Output'!B2&lt;300,6,IF('Input-Output'!B2&lt;400,4,IF('Input-Output'!B2&lt;500,2,IF('Input-Output'!B2&gt;=500,1)))))</f>
        <v/>
      </c>
      <c r="C18" s="109" t="n"/>
      <c r="E18" s="138" t="inlineStr">
        <is>
          <t>Nylon-srf</t>
        </is>
      </c>
      <c r="F18" s="634" t="n">
        <v>1.925</v>
      </c>
      <c r="G18" s="634" t="n">
        <v>7.4</v>
      </c>
      <c r="H18" s="634" t="n">
        <v>16.475</v>
      </c>
      <c r="I18" s="634" t="n">
        <v>29.0625</v>
      </c>
      <c r="J18" s="634" t="n">
        <v>45.4</v>
      </c>
      <c r="K18" s="634" t="n">
        <v>65.21250000000001</v>
      </c>
    </row>
    <row r="19" ht="20.15" customHeight="1" s="450">
      <c r="A19" s="265" t="inlineStr">
        <is>
          <t>No of Cavity</t>
        </is>
      </c>
      <c r="B19" s="143">
        <f>MIN(B18,B17)</f>
        <v/>
      </c>
      <c r="C19" s="109" t="n"/>
      <c r="E19" s="138" t="inlineStr">
        <is>
          <t>Glass fiber-Plain</t>
        </is>
      </c>
      <c r="F19" s="634" t="n">
        <v>2.040625</v>
      </c>
      <c r="G19" s="634" t="n">
        <v>8.074999999999999</v>
      </c>
      <c r="H19" s="634" t="n">
        <v>18.159375</v>
      </c>
      <c r="I19" s="634" t="n">
        <v>32.1953125</v>
      </c>
      <c r="J19" s="634" t="n">
        <v>50.45</v>
      </c>
      <c r="K19" s="634" t="n">
        <v>72.6140625</v>
      </c>
    </row>
    <row r="21" ht="20.15" customHeight="1" s="450">
      <c r="A21" s="144" t="inlineStr">
        <is>
          <t>Length</t>
        </is>
      </c>
      <c r="B21" s="144" t="inlineStr">
        <is>
          <t>cavity 1</t>
        </is>
      </c>
      <c r="C21" s="144" t="inlineStr">
        <is>
          <t>cavity 2</t>
        </is>
      </c>
      <c r="D21" s="144" t="inlineStr">
        <is>
          <t>cavity 4</t>
        </is>
      </c>
      <c r="E21" s="144" t="inlineStr">
        <is>
          <t>cavity 6</t>
        </is>
      </c>
      <c r="F21" s="144" t="inlineStr">
        <is>
          <t>cavity 8</t>
        </is>
      </c>
    </row>
    <row r="22" ht="20.15" customHeight="1" s="450">
      <c r="A22" s="144" t="inlineStr">
        <is>
          <t>Part</t>
        </is>
      </c>
      <c r="B22" s="144" t="inlineStr">
        <is>
          <t>Mould</t>
        </is>
      </c>
      <c r="C22" s="144" t="n"/>
      <c r="D22" s="144" t="n"/>
      <c r="E22" s="144" t="n"/>
      <c r="F22" s="144" t="n"/>
    </row>
    <row r="23" ht="20.15" customHeight="1" s="450">
      <c r="A23" s="145" t="n">
        <v>700</v>
      </c>
      <c r="B23" s="146" t="n">
        <v>976</v>
      </c>
      <c r="C23" s="146" t="n"/>
      <c r="D23" s="146" t="n"/>
      <c r="E23" s="146" t="n"/>
      <c r="F23" s="146" t="n"/>
    </row>
    <row r="24" ht="20.15" customHeight="1" s="450">
      <c r="A24" s="146" t="n">
        <v>600</v>
      </c>
      <c r="B24" s="146" t="n">
        <v>849</v>
      </c>
      <c r="C24" s="146" t="n"/>
      <c r="D24" s="146" t="n"/>
      <c r="E24" s="146" t="n"/>
      <c r="F24" s="146" t="n"/>
    </row>
    <row r="25" ht="20.15" customHeight="1" s="450">
      <c r="A25" s="146" t="n">
        <v>500</v>
      </c>
      <c r="B25" s="146" t="n">
        <v>722</v>
      </c>
      <c r="C25" s="146" t="n"/>
      <c r="D25" s="146" t="n"/>
      <c r="E25" s="146" t="n"/>
      <c r="F25" s="146" t="n"/>
    </row>
    <row r="26" ht="20.15" customHeight="1" s="450">
      <c r="A26" s="146" t="n">
        <v>400</v>
      </c>
      <c r="B26" s="146" t="n">
        <v>594</v>
      </c>
      <c r="C26" s="146" t="n">
        <v>1153</v>
      </c>
      <c r="D26" s="146" t="n"/>
      <c r="E26" s="146" t="n"/>
      <c r="F26" s="146" t="n"/>
    </row>
    <row r="27" ht="20.15" customHeight="1" s="450">
      <c r="A27" s="146" t="n">
        <v>300</v>
      </c>
      <c r="B27" s="146" t="n">
        <v>476</v>
      </c>
      <c r="C27" s="146" t="n">
        <v>899</v>
      </c>
      <c r="D27" s="146" t="n">
        <v>1029</v>
      </c>
      <c r="E27" s="146" t="n">
        <v>1159</v>
      </c>
      <c r="F27" s="146" t="n"/>
    </row>
    <row r="28" ht="20.15" customHeight="1" s="450">
      <c r="A28" s="146" t="n">
        <v>200</v>
      </c>
      <c r="B28" s="146" t="n">
        <v>357</v>
      </c>
      <c r="C28" s="146" t="n">
        <v>644</v>
      </c>
      <c r="D28" s="146" t="n">
        <v>753</v>
      </c>
      <c r="E28" s="146" t="n">
        <v>845</v>
      </c>
      <c r="F28" s="146" t="n"/>
    </row>
    <row r="29" ht="20.15" customHeight="1" s="450">
      <c r="A29" s="146" t="n">
        <v>100</v>
      </c>
      <c r="B29" s="146" t="n">
        <v>246</v>
      </c>
      <c r="C29" s="146" t="n">
        <v>422</v>
      </c>
      <c r="D29" s="146" t="n">
        <v>475</v>
      </c>
      <c r="E29" s="146" t="n">
        <v>528</v>
      </c>
      <c r="F29" s="146" t="n">
        <v>881</v>
      </c>
    </row>
  </sheetData>
  <mergeCells count="9">
    <mergeCell ref="G2:I2"/>
    <mergeCell ref="E9:E10"/>
    <mergeCell ref="E8:K8"/>
    <mergeCell ref="G6:I6"/>
    <mergeCell ref="G5:I5"/>
    <mergeCell ref="A1:C1"/>
    <mergeCell ref="G4:I4"/>
    <mergeCell ref="G3:I3"/>
    <mergeCell ref="G1:I1"/>
  </mergeCells>
  <conditionalFormatting sqref="B10">
    <cfRule type="expression" priority="2" dxfId="112">
      <formula>$B$16&gt;$B$18</formula>
    </cfRule>
  </conditionalFormatting>
  <pageMargins left="0.7" right="0.7" top="0.75" bottom="0.75" header="0.3" footer="0.3"/>
  <drawing r:id="rId1"/>
</worksheet>
</file>

<file path=xl/worksheets/sheet11.xml><?xml version="1.0" encoding="utf-8"?>
<worksheet xmlns:r="http://schemas.openxmlformats.org/officeDocument/2006/relationships" xmlns="http://schemas.openxmlformats.org/spreadsheetml/2006/main">
  <sheetPr codeName="Sheet14">
    <tabColor rgb="FF92D050"/>
    <outlinePr summaryBelow="1" summaryRight="1"/>
    <pageSetUpPr fitToPage="1"/>
  </sheetPr>
  <dimension ref="A1:J27"/>
  <sheetViews>
    <sheetView workbookViewId="0">
      <selection activeCell="E5" sqref="E5"/>
    </sheetView>
  </sheetViews>
  <sheetFormatPr baseColWidth="8" defaultColWidth="9" defaultRowHeight="14.5"/>
  <cols>
    <col width="17.7265625" customWidth="1" style="450" min="1" max="1"/>
    <col width="17.453125" customWidth="1" style="450" min="2" max="2"/>
  </cols>
  <sheetData>
    <row r="1">
      <c r="A1" t="inlineStr">
        <is>
          <t>Complexity index</t>
        </is>
      </c>
      <c r="B1" t="inlineStr">
        <is>
          <t>Complexity factor</t>
        </is>
      </c>
    </row>
    <row r="2">
      <c r="A2" s="22" t="n">
        <v>0.5</v>
      </c>
      <c r="B2" s="22" t="n">
        <v>0.7</v>
      </c>
    </row>
    <row r="3">
      <c r="A3" t="n">
        <v>1</v>
      </c>
      <c r="B3" s="22" t="n">
        <v>1</v>
      </c>
    </row>
    <row r="4">
      <c r="A4" t="n">
        <v>2</v>
      </c>
      <c r="B4" s="22" t="n">
        <v>1.43964313567828</v>
      </c>
    </row>
    <row r="5">
      <c r="A5" t="n">
        <v>3</v>
      </c>
      <c r="B5" s="22" t="n">
        <v>1.84507505967945</v>
      </c>
    </row>
    <row r="6">
      <c r="A6" t="n">
        <v>4</v>
      </c>
      <c r="B6" s="22" t="n">
        <v>2.30699477542575</v>
      </c>
    </row>
    <row r="7">
      <c r="A7" t="n">
        <v>5</v>
      </c>
      <c r="B7" s="22" t="n">
        <v>2.71608734139087</v>
      </c>
    </row>
    <row r="8" ht="15" customHeight="1" s="450" thickBot="1"/>
    <row r="9" ht="26" customHeight="1" s="450">
      <c r="A9" s="555" t="inlineStr">
        <is>
          <t>Mould Complexity Rating Scale for Injection Moulding:</t>
        </is>
      </c>
      <c r="B9" s="556" t="n"/>
      <c r="C9" s="556" t="n"/>
      <c r="D9" s="556" t="n"/>
      <c r="E9" s="556" t="n"/>
      <c r="F9" s="556" t="n"/>
      <c r="G9" s="556" t="n"/>
      <c r="H9" s="556" t="n"/>
      <c r="I9" s="556" t="n"/>
      <c r="J9" s="557" t="n"/>
    </row>
    <row r="10">
      <c r="A10" s="551" t="inlineStr">
        <is>
          <t xml:space="preserve">0.5: Very Simple Part (Easy to Design) </t>
        </is>
      </c>
      <c r="B10" s="439" t="n"/>
      <c r="C10" s="439" t="n"/>
      <c r="D10" s="439" t="n"/>
      <c r="E10" s="439" t="n"/>
      <c r="F10" s="439" t="n"/>
      <c r="G10" s="439" t="n"/>
      <c r="H10" s="439" t="n"/>
      <c r="I10" s="439" t="n"/>
      <c r="J10" s="552" t="n"/>
    </row>
    <row r="11" ht="39" customHeight="1" s="450">
      <c r="A11" s="553" t="inlineStr">
        <is>
          <t>·This rating indicates that the part design is straightforward and uncomplicated. It doesn't require any complex features or additional components. Designing the mould for this part should be relatively simple.</t>
        </is>
      </c>
      <c r="B11" s="453" t="n"/>
      <c r="C11" s="453" t="n"/>
      <c r="D11" s="453" t="n"/>
      <c r="E11" s="453" t="n"/>
      <c r="F11" s="453" t="n"/>
      <c r="G11" s="453" t="n"/>
      <c r="H11" s="453" t="n"/>
      <c r="I11" s="453" t="n"/>
      <c r="J11" s="554" t="n"/>
    </row>
    <row r="12" ht="11" customHeight="1" s="450">
      <c r="A12" s="216" t="n"/>
      <c r="B12" s="215" t="n"/>
      <c r="C12" s="215" t="n"/>
      <c r="D12" s="215" t="n"/>
      <c r="E12" s="215" t="n"/>
      <c r="F12" s="215" t="n"/>
      <c r="G12" s="215" t="n"/>
      <c r="H12" s="215" t="n"/>
      <c r="I12" s="215" t="n"/>
      <c r="J12" s="217" t="n"/>
    </row>
    <row r="13">
      <c r="A13" s="551" t="inlineStr">
        <is>
          <t xml:space="preserve">1: Normal Part (Generally Symmetric) </t>
        </is>
      </c>
      <c r="B13" s="439" t="n"/>
      <c r="C13" s="439" t="n"/>
      <c r="D13" s="439" t="n"/>
      <c r="E13" s="439" t="n"/>
      <c r="F13" s="439" t="n"/>
      <c r="G13" s="439" t="n"/>
      <c r="H13" s="439" t="n"/>
      <c r="I13" s="439" t="n"/>
      <c r="J13" s="552" t="n"/>
    </row>
    <row r="14" ht="48" customHeight="1" s="450">
      <c r="A14" s="553" t="inlineStr">
        <is>
          <t>·A rating of 1 suggests that the part is relatively common and exhibits symmetrical characteristics. The mould design should follow standard practices and considerations for ensuring balanced filling and ejection.</t>
        </is>
      </c>
      <c r="B14" s="453" t="n"/>
      <c r="C14" s="453" t="n"/>
      <c r="D14" s="453" t="n"/>
      <c r="E14" s="453" t="n"/>
      <c r="F14" s="453" t="n"/>
      <c r="G14" s="453" t="n"/>
      <c r="H14" s="453" t="n"/>
      <c r="I14" s="453" t="n"/>
      <c r="J14" s="554" t="n"/>
    </row>
    <row r="15" ht="11.5" customHeight="1" s="450">
      <c r="A15" s="216" t="n"/>
      <c r="B15" s="215" t="n"/>
      <c r="C15" s="215" t="n"/>
      <c r="D15" s="215" t="n"/>
      <c r="E15" s="215" t="n"/>
      <c r="F15" s="215" t="n"/>
      <c r="G15" s="215" t="n"/>
      <c r="H15" s="215" t="n"/>
      <c r="I15" s="215" t="n"/>
      <c r="J15" s="217" t="n"/>
    </row>
    <row r="16" ht="14" customHeight="1" s="450">
      <c r="A16" s="551" t="inlineStr">
        <is>
          <t xml:space="preserve">2: Normal Part (Use of Side Cores, Lifters, Inserts Pins for Adding Features) </t>
        </is>
      </c>
      <c r="B16" s="439" t="n"/>
      <c r="C16" s="439" t="n"/>
      <c r="D16" s="439" t="n"/>
      <c r="E16" s="439" t="n"/>
      <c r="F16" s="439" t="n"/>
      <c r="G16" s="439" t="n"/>
      <c r="H16" s="439" t="n"/>
      <c r="I16" s="439" t="n"/>
      <c r="J16" s="552" t="n"/>
    </row>
    <row r="17" ht="49.5" customHeight="1" s="450">
      <c r="A17" s="553" t="inlineStr">
        <is>
          <t>·This rating implies that the part design includes some additional features such as side cores, lifters, or pins to achieve certain functionalities or complex shapes. The mould design must account for these features and incorporate the necessary mechanisms for their proper operation.</t>
        </is>
      </c>
      <c r="B17" s="453" t="n"/>
      <c r="C17" s="453" t="n"/>
      <c r="D17" s="453" t="n"/>
      <c r="E17" s="453" t="n"/>
      <c r="F17" s="453" t="n"/>
      <c r="G17" s="453" t="n"/>
      <c r="H17" s="453" t="n"/>
      <c r="I17" s="453" t="n"/>
      <c r="J17" s="554" t="n"/>
    </row>
    <row r="18" ht="14.5" customHeight="1" s="450">
      <c r="A18" s="216" t="n"/>
      <c r="B18" s="215" t="n"/>
      <c r="C18" s="215" t="n"/>
      <c r="D18" s="215" t="n"/>
      <c r="E18" s="215" t="n"/>
      <c r="F18" s="215" t="n"/>
      <c r="G18" s="215" t="n"/>
      <c r="H18" s="215" t="n"/>
      <c r="I18" s="215" t="n"/>
      <c r="J18" s="217" t="n"/>
    </row>
    <row r="19">
      <c r="A19" s="551" t="inlineStr">
        <is>
          <t>3: Moderately Complex Part</t>
        </is>
      </c>
      <c r="B19" s="439" t="n"/>
      <c r="C19" s="439" t="n"/>
      <c r="D19" s="439" t="n"/>
      <c r="E19" s="439" t="n"/>
      <c r="F19" s="439" t="n"/>
      <c r="G19" s="439" t="n"/>
      <c r="H19" s="439" t="n"/>
      <c r="I19" s="439" t="n"/>
      <c r="J19" s="552" t="n"/>
    </row>
    <row r="20" ht="52" customHeight="1" s="450">
      <c r="A20" s="553" t="inlineStr">
        <is>
          <t>·A rating of 3 signifies that the part design is moderately complex, with features that require careful attention during mould construction. It may involve the inclusion of multiple moving components, intricate geometries, or specific design requirements. The mould construction process should adhere to detailed instructions to ensure the successful production of the part.</t>
        </is>
      </c>
      <c r="B20" s="453" t="n"/>
      <c r="C20" s="453" t="n"/>
      <c r="D20" s="453" t="n"/>
      <c r="E20" s="453" t="n"/>
      <c r="F20" s="453" t="n"/>
      <c r="G20" s="453" t="n"/>
      <c r="H20" s="453" t="n"/>
      <c r="I20" s="453" t="n"/>
      <c r="J20" s="554" t="n"/>
    </row>
    <row r="21" ht="11" customHeight="1" s="450">
      <c r="A21" s="218" t="n"/>
      <c r="B21" s="219" t="n"/>
      <c r="C21" s="219" t="n"/>
      <c r="D21" s="219" t="n"/>
      <c r="E21" s="219" t="n"/>
      <c r="F21" s="219" t="n"/>
      <c r="G21" s="219" t="n"/>
      <c r="H21" s="219" t="n"/>
      <c r="I21" s="219" t="n"/>
      <c r="J21" s="220" t="n"/>
    </row>
    <row r="22">
      <c r="A22" s="551" t="inlineStr">
        <is>
          <t xml:space="preserve">4: Complex Part, High Features, More Holes, Instruction Need to be Followed </t>
        </is>
      </c>
      <c r="B22" s="439" t="n"/>
      <c r="C22" s="439" t="n"/>
      <c r="D22" s="439" t="n"/>
      <c r="E22" s="439" t="n"/>
      <c r="F22" s="439" t="n"/>
      <c r="G22" s="439" t="n"/>
      <c r="H22" s="439" t="n"/>
      <c r="I22" s="439" t="n"/>
      <c r="J22" s="552" t="n"/>
    </row>
    <row r="23" ht="46" customHeight="1" s="450">
      <c r="A23" s="553" t="inlineStr">
        <is>
          <t>·A rating of 4 indicates that the part design is complex, with numerous features, holes, or intricate details. It requires meticulous adherence to specific instructions during mould construction. The design may involve challenging geometries, tight tolerances, or advanced molding techniques to achieve the desired outcome.</t>
        </is>
      </c>
      <c r="B23" s="453" t="n"/>
      <c r="C23" s="453" t="n"/>
      <c r="D23" s="453" t="n"/>
      <c r="E23" s="453" t="n"/>
      <c r="F23" s="453" t="n"/>
      <c r="G23" s="453" t="n"/>
      <c r="H23" s="453" t="n"/>
      <c r="I23" s="453" t="n"/>
      <c r="J23" s="554" t="n"/>
    </row>
    <row r="24">
      <c r="A24" s="216" t="n"/>
      <c r="B24" s="215" t="n"/>
      <c r="C24" s="215" t="n"/>
      <c r="D24" s="215" t="n"/>
      <c r="E24" s="215" t="n"/>
      <c r="F24" s="215" t="n"/>
      <c r="G24" s="215" t="n"/>
      <c r="H24" s="215" t="n"/>
      <c r="I24" s="215" t="n"/>
      <c r="J24" s="217" t="n"/>
    </row>
    <row r="25">
      <c r="A25" s="551" t="inlineStr">
        <is>
          <t>5: Very Complex Part, Lots of Features, Large Part Size, High Electrode Requirement, Detailed Design Instructions</t>
        </is>
      </c>
      <c r="B25" s="439" t="n"/>
      <c r="C25" s="439" t="n"/>
      <c r="D25" s="439" t="n"/>
      <c r="E25" s="439" t="n"/>
      <c r="F25" s="439" t="n"/>
      <c r="G25" s="439" t="n"/>
      <c r="H25" s="439" t="n"/>
      <c r="I25" s="439" t="n"/>
      <c r="J25" s="552" t="n"/>
    </row>
    <row r="26" ht="49.5" customHeight="1" s="450">
      <c r="A26" s="553" t="inlineStr">
        <is>
          <t>·This rating represents the highest level of complexity. The part design is extremely intricate, with numerous features, a large size, and high electrode requirements. The mould design must accommodate the complexity of the part, following detailed design instructions precisely to ensure a successful injection molding process.</t>
        </is>
      </c>
      <c r="B26" s="453" t="n"/>
      <c r="C26" s="453" t="n"/>
      <c r="D26" s="453" t="n"/>
      <c r="E26" s="453" t="n"/>
      <c r="F26" s="453" t="n"/>
      <c r="G26" s="453" t="n"/>
      <c r="H26" s="453" t="n"/>
      <c r="I26" s="453" t="n"/>
      <c r="J26" s="554" t="n"/>
    </row>
    <row r="27" ht="47" customHeight="1" s="450" thickBot="1">
      <c r="A27" s="548" t="inlineStr">
        <is>
          <t>It's important to note that the complexity ratings are subjective and may vary depending on the specific context and industry standards. The ratings provided here are intended as a general guideline to help assess the level of complexity in injection mould design and construction.</t>
        </is>
      </c>
      <c r="B27" s="549" t="n"/>
      <c r="C27" s="549" t="n"/>
      <c r="D27" s="549" t="n"/>
      <c r="E27" s="549" t="n"/>
      <c r="F27" s="549" t="n"/>
      <c r="G27" s="549" t="n"/>
      <c r="H27" s="549" t="n"/>
      <c r="I27" s="549" t="n"/>
      <c r="J27" s="550" t="n"/>
    </row>
  </sheetData>
  <mergeCells count="14">
    <mergeCell ref="A23:J23"/>
    <mergeCell ref="A14:J14"/>
    <mergeCell ref="A22:J22"/>
    <mergeCell ref="A17:J17"/>
    <mergeCell ref="A9:J9"/>
    <mergeCell ref="A27:J27"/>
    <mergeCell ref="A26:J26"/>
    <mergeCell ref="A20:J20"/>
    <mergeCell ref="A16:J16"/>
    <mergeCell ref="A13:J13"/>
    <mergeCell ref="A10:J10"/>
    <mergeCell ref="A25:J25"/>
    <mergeCell ref="A19:J19"/>
    <mergeCell ref="A11:J11"/>
  </mergeCells>
  <pageMargins left="0.25" right="0.25" top="0.75" bottom="0.75" header="0.3" footer="0.3"/>
  <pageSetup orientation="portrait" paperSize="9" scale="92"/>
  <tableParts count="1">
    <tablePart r:id="rId1"/>
  </tableParts>
</worksheet>
</file>

<file path=xl/worksheets/sheet12.xml><?xml version="1.0" encoding="utf-8"?>
<worksheet xmlns="http://schemas.openxmlformats.org/spreadsheetml/2006/main">
  <sheetPr codeName="Sheet4">
    <tabColor rgb="FF92D050"/>
    <outlinePr summaryBelow="1" summaryRight="1"/>
    <pageSetUpPr/>
  </sheetPr>
  <dimension ref="B2:M20"/>
  <sheetViews>
    <sheetView showGridLines="0" zoomScale="50" zoomScaleNormal="50" workbookViewId="0">
      <selection activeCell="C17" sqref="C17"/>
    </sheetView>
  </sheetViews>
  <sheetFormatPr baseColWidth="8" defaultColWidth="9" defaultRowHeight="14.5"/>
  <cols>
    <col width="43.1796875" customWidth="1" style="450" min="2" max="2"/>
    <col width="40.81640625" customWidth="1" style="450" min="3" max="3"/>
  </cols>
  <sheetData>
    <row r="2">
      <c r="B2" s="558" t="inlineStr">
        <is>
          <t>Guide Pillar Working Diameter Calculation</t>
        </is>
      </c>
      <c r="C2" s="459" t="n"/>
      <c r="D2" s="457" t="n"/>
      <c r="E2" s="125" t="n"/>
    </row>
    <row r="3">
      <c r="B3" s="452" t="n"/>
      <c r="C3" s="453" t="n"/>
      <c r="D3" s="454" t="n"/>
      <c r="E3" s="125" t="n"/>
    </row>
    <row r="4">
      <c r="B4" s="70" t="inlineStr">
        <is>
          <t>Overall Dimension of Guide Pillar=</t>
        </is>
      </c>
      <c r="C4" s="70" t="inlineStr">
        <is>
          <t>Working Diameter of Guide Pillar(d)+1+1</t>
        </is>
      </c>
      <c r="D4" s="70" t="n"/>
      <c r="E4" s="62" t="n"/>
    </row>
    <row r="5">
      <c r="B5" s="70" t="n"/>
      <c r="C5" s="635">
        <f>C16+1+1</f>
        <v/>
      </c>
      <c r="D5" s="70" t="inlineStr">
        <is>
          <t>in cm</t>
        </is>
      </c>
      <c r="E5" s="62" t="n"/>
    </row>
    <row r="6">
      <c r="B6" s="70" t="n"/>
      <c r="C6" s="70" t="n"/>
      <c r="D6" s="70" t="n"/>
      <c r="E6" s="62" t="n"/>
    </row>
    <row r="7">
      <c r="B7" s="559" t="inlineStr">
        <is>
          <t>Side Thrust(Q) acting on the guide pillar</t>
        </is>
      </c>
      <c r="C7" s="437" t="n"/>
      <c r="D7" s="70" t="n"/>
      <c r="E7" s="62" t="n"/>
    </row>
    <row r="8" ht="26" customHeight="1" s="450">
      <c r="B8" s="70" t="n"/>
      <c r="C8" s="126" t="inlineStr">
        <is>
          <t>Q = 2/3 x D x h x Pc</t>
        </is>
      </c>
      <c r="D8" s="265" t="n"/>
      <c r="F8" s="127" t="inlineStr">
        <is>
          <t>ø</t>
        </is>
      </c>
    </row>
    <row r="9">
      <c r="B9" s="70" t="inlineStr">
        <is>
          <t>Where,</t>
        </is>
      </c>
      <c r="C9" s="128">
        <f>(2/3*'Input-Output'!B2/10*'Input-Output'!B3/10*'Input-Output'!B10*'Input-Output'!B13*0.33)*'Input-Output'!B10</f>
        <v/>
      </c>
      <c r="D9" s="70" t="inlineStr">
        <is>
          <t>in Kg</t>
        </is>
      </c>
      <c r="E9" s="62" t="n"/>
    </row>
    <row r="10" ht="26" customHeight="1" s="450">
      <c r="B10" s="70" t="inlineStr">
        <is>
          <t>D is the diameter of the part</t>
        </is>
      </c>
      <c r="C10" s="70" t="n"/>
      <c r="D10" s="70" t="n"/>
      <c r="E10" s="62" t="n"/>
      <c r="F10" s="31">
        <f>C5*10</f>
        <v/>
      </c>
      <c r="H10" s="129" t="inlineStr">
        <is>
          <t>ø</t>
        </is>
      </c>
      <c r="I10" s="31">
        <f>C17*10</f>
        <v/>
      </c>
      <c r="L10" s="129" t="inlineStr">
        <is>
          <t>ø</t>
        </is>
      </c>
      <c r="M10" s="31">
        <f>C16*10</f>
        <v/>
      </c>
    </row>
    <row r="11">
      <c r="B11" s="70" t="inlineStr">
        <is>
          <t>h is the height of th part</t>
        </is>
      </c>
      <c r="C11" s="70" t="n"/>
      <c r="D11" s="70" t="n"/>
      <c r="E11" s="62" t="n"/>
    </row>
    <row r="12">
      <c r="B12" s="70" t="inlineStr">
        <is>
          <t>Pc is the cavity pressure</t>
        </is>
      </c>
      <c r="C12" s="70" t="n"/>
      <c r="D12" s="70" t="n"/>
      <c r="E12" s="62" t="n"/>
    </row>
    <row r="13">
      <c r="B13" s="70" t="n"/>
      <c r="C13" s="70" t="n"/>
      <c r="D13" s="70" t="n"/>
      <c r="E13" s="62" t="n"/>
    </row>
    <row r="14">
      <c r="B14" s="70" t="inlineStr">
        <is>
          <t>Working diameter(d) of guide pillar is given by</t>
        </is>
      </c>
      <c r="C14" s="70" t="n"/>
      <c r="D14" s="70" t="n"/>
      <c r="E14" s="62" t="n"/>
    </row>
    <row r="15">
      <c r="B15" s="70" t="n"/>
      <c r="C15" s="126" t="inlineStr">
        <is>
          <t>d ≥ Ö (4 x Q)/ (N x fs x p)</t>
        </is>
      </c>
      <c r="D15" s="70" t="n"/>
      <c r="E15" s="62" t="n"/>
    </row>
    <row r="16">
      <c r="B16" s="70" t="n"/>
      <c r="C16" s="635">
        <f>SQRT((4*C9)/(C19*C20*3.14))</f>
        <v/>
      </c>
      <c r="D16" s="70" t="inlineStr">
        <is>
          <t>in cm</t>
        </is>
      </c>
      <c r="E16" s="62" t="n"/>
    </row>
    <row r="17">
      <c r="B17" s="70" t="n"/>
      <c r="C17" s="635">
        <f>C16+1</f>
        <v/>
      </c>
      <c r="D17" s="70" t="n"/>
      <c r="E17" s="62" t="n"/>
    </row>
    <row r="18">
      <c r="B18" s="70" t="inlineStr">
        <is>
          <t>Where</t>
        </is>
      </c>
      <c r="C18" s="70" t="n"/>
      <c r="D18" s="70" t="n"/>
      <c r="E18" s="62" t="n"/>
    </row>
    <row r="19">
      <c r="B19" s="70" t="inlineStr">
        <is>
          <t>N is the no. of guide pillars</t>
        </is>
      </c>
      <c r="C19" s="130" t="n">
        <v>4</v>
      </c>
      <c r="D19" s="70" t="n"/>
      <c r="E19" s="62" t="n"/>
      <c r="H19" s="81">
        <f>'Mould Costing'!F15</f>
        <v/>
      </c>
      <c r="L19" s="81">
        <f>'Mould Costing'!F14</f>
        <v/>
      </c>
    </row>
    <row r="20" ht="16.5" customHeight="1" s="450">
      <c r="B20" s="70" t="inlineStr">
        <is>
          <t>fs is the shear force for steel</t>
        </is>
      </c>
      <c r="C20" s="130" t="n">
        <v>1600</v>
      </c>
      <c r="D20" s="70" t="inlineStr">
        <is>
          <t>Kg/cm2</t>
        </is>
      </c>
      <c r="E20" s="62" t="n"/>
    </row>
  </sheetData>
  <mergeCells count="2">
    <mergeCell ref="B2:D3"/>
    <mergeCell ref="B7:C7"/>
  </mergeCells>
  <pageMargins left="0.7" right="0.7" top="0.75" bottom="0.75" header="0.3" footer="0.3"/>
  <pageSetup orientation="portrait"/>
</worksheet>
</file>

<file path=xl/worksheets/sheet13.xml><?xml version="1.0" encoding="utf-8"?>
<worksheet xmlns:r="http://schemas.openxmlformats.org/officeDocument/2006/relationships" xmlns="http://schemas.openxmlformats.org/spreadsheetml/2006/main">
  <sheetPr codeName="Sheet5">
    <tabColor rgb="FF92D050"/>
    <outlinePr summaryBelow="1" summaryRight="1"/>
    <pageSetUpPr/>
  </sheetPr>
  <dimension ref="A2:Q32"/>
  <sheetViews>
    <sheetView showGridLines="0" topLeftCell="A5" zoomScale="67" zoomScaleNormal="67" workbookViewId="0">
      <selection activeCell="B32" sqref="B32"/>
    </sheetView>
  </sheetViews>
  <sheetFormatPr baseColWidth="8" defaultColWidth="9" defaultRowHeight="14.5"/>
  <cols>
    <col width="14.1796875" customWidth="1" style="450" min="1" max="1"/>
    <col width="9.26953125" customWidth="1" style="450" min="10" max="10"/>
    <col width="8.54296875" customWidth="1" style="450" min="11" max="11"/>
    <col width="20.1796875" customWidth="1" style="450" min="14" max="14"/>
    <col width="8.81640625" customWidth="1" style="563" min="15" max="15"/>
    <col width="10.1796875" customWidth="1" style="450" min="17" max="17"/>
  </cols>
  <sheetData>
    <row r="2">
      <c r="K2" t="n">
        <v>25</v>
      </c>
    </row>
    <row r="4">
      <c r="L4" s="563" t="n">
        <v>25</v>
      </c>
      <c r="N4" s="562" t="inlineStr">
        <is>
          <t>Mould Dimensions</t>
        </is>
      </c>
    </row>
    <row r="5">
      <c r="K5" s="59">
        <f>'Guide Pillar'!F10</f>
        <v/>
      </c>
    </row>
    <row r="7">
      <c r="J7" s="62" t="n">
        <v>50</v>
      </c>
      <c r="N7" s="119" t="n"/>
      <c r="O7" s="561" t="n"/>
      <c r="P7" s="119" t="inlineStr">
        <is>
          <t>Length</t>
        </is>
      </c>
      <c r="Q7" s="119" t="inlineStr">
        <is>
          <t>Width</t>
        </is>
      </c>
    </row>
    <row r="8">
      <c r="N8" s="119" t="inlineStr">
        <is>
          <t>Mould Layout</t>
        </is>
      </c>
      <c r="O8" s="561" t="inlineStr">
        <is>
          <t>in mm</t>
        </is>
      </c>
      <c r="P8" s="225">
        <f>VLOOKUP(O11,N13:P18,2,FALSE)</f>
        <v/>
      </c>
      <c r="Q8" s="225">
        <f>VLOOKUP(O11,N13:P18,3,FALSE)</f>
        <v/>
      </c>
    </row>
    <row r="9">
      <c r="N9" s="119" t="inlineStr">
        <is>
          <t>Mould Layout</t>
        </is>
      </c>
      <c r="O9" s="561" t="inlineStr">
        <is>
          <t>in cm</t>
        </is>
      </c>
      <c r="P9" s="636">
        <f>P8/10</f>
        <v/>
      </c>
      <c r="Q9" s="636">
        <f>Q8/10</f>
        <v/>
      </c>
    </row>
    <row r="11">
      <c r="N11" s="561" t="inlineStr">
        <is>
          <t>Cavity</t>
        </is>
      </c>
      <c r="O11" s="561">
        <f>'Input-Output'!B10</f>
        <v/>
      </c>
    </row>
    <row r="12">
      <c r="K12" s="563">
        <f>'Input-Output'!B3</f>
        <v/>
      </c>
    </row>
    <row r="13">
      <c r="N13" s="119" t="n"/>
      <c r="O13" s="561" t="inlineStr">
        <is>
          <t>Length</t>
        </is>
      </c>
      <c r="P13" s="119" t="inlineStr">
        <is>
          <t>Width</t>
        </is>
      </c>
    </row>
    <row r="14">
      <c r="N14" s="561">
        <f t="array" ref="N14:N18">TRANSPOSE(B26:F26)</f>
        <v/>
      </c>
      <c r="O14" s="120">
        <f t="array" ref="O14:O18">TRANSPOSE(B28:F28)</f>
        <v/>
      </c>
      <c r="P14" s="121">
        <f t="array" ref="P14:P18">TRANSPOSE(B30:F30)</f>
        <v/>
      </c>
      <c r="Q14" s="124" t="n"/>
    </row>
    <row r="15">
      <c r="N15" s="561" t="n">
        <v>2</v>
      </c>
      <c r="O15" s="120" t="n">
        <v>477.4335930061532</v>
      </c>
      <c r="P15" s="121" t="n">
        <v>427.4335930061532</v>
      </c>
      <c r="Q15" s="124" t="n"/>
    </row>
    <row r="16">
      <c r="N16" s="561" t="n">
        <v>4</v>
      </c>
      <c r="O16" s="120" t="n">
        <v>477.4335930061532</v>
      </c>
      <c r="P16" s="121" t="n">
        <v>677.4335930061532</v>
      </c>
    </row>
    <row r="17">
      <c r="I17" s="563">
        <f>'Input-Output'!B2</f>
        <v/>
      </c>
      <c r="N17" s="561" t="n">
        <v>6</v>
      </c>
      <c r="O17" s="120" t="n">
        <v>477.4335930061532</v>
      </c>
      <c r="P17" s="121" t="n">
        <v>927.4335930061532</v>
      </c>
    </row>
    <row r="18">
      <c r="N18" s="561" t="n">
        <v>8</v>
      </c>
      <c r="O18" s="120" t="n">
        <v>777.4335930061532</v>
      </c>
      <c r="P18" s="121" t="n">
        <v>677.4335930061532</v>
      </c>
    </row>
    <row r="25">
      <c r="A25" s="560" t="inlineStr">
        <is>
          <t>Mould Dimensions</t>
        </is>
      </c>
      <c r="B25" s="561" t="inlineStr">
        <is>
          <t>cavity</t>
        </is>
      </c>
      <c r="C25" s="439" t="n"/>
      <c r="D25" s="439" t="n"/>
      <c r="E25" s="439" t="n"/>
      <c r="F25" s="437" t="n"/>
    </row>
    <row r="26">
      <c r="A26" s="498" t="n"/>
      <c r="B26" s="561" t="n">
        <v>1</v>
      </c>
      <c r="C26" s="561" t="n">
        <v>2</v>
      </c>
      <c r="D26" s="561" t="n">
        <v>4</v>
      </c>
      <c r="E26" s="561" t="n">
        <v>6</v>
      </c>
      <c r="F26" s="561" t="n">
        <v>8</v>
      </c>
      <c r="H26" s="523" t="inlineStr">
        <is>
          <t>l=length of part</t>
        </is>
      </c>
      <c r="I26" s="439" t="n"/>
      <c r="J26" s="437" t="n"/>
      <c r="K26" s="122">
        <f>'Input-Output'!B2</f>
        <v/>
      </c>
      <c r="L26" s="457" t="inlineStr">
        <is>
          <t>mm</t>
        </is>
      </c>
    </row>
    <row r="27">
      <c r="A27" s="115" t="inlineStr">
        <is>
          <t>L(formula)</t>
        </is>
      </c>
      <c r="B27" s="565" t="inlineStr">
        <is>
          <t>l+2G</t>
        </is>
      </c>
      <c r="C27" s="565" t="inlineStr">
        <is>
          <t>2l+T+2G</t>
        </is>
      </c>
      <c r="D27" s="565" t="inlineStr">
        <is>
          <t>2l+T+2G</t>
        </is>
      </c>
      <c r="E27" s="565" t="inlineStr">
        <is>
          <t>2l+T+2G</t>
        </is>
      </c>
      <c r="F27" s="565" t="inlineStr">
        <is>
          <t>3T+4l+2G</t>
        </is>
      </c>
      <c r="H27" s="523" t="inlineStr">
        <is>
          <t>w=width of part</t>
        </is>
      </c>
      <c r="I27" s="439" t="n"/>
      <c r="J27" s="437" t="n"/>
      <c r="K27" s="122">
        <f>'Input-Output'!B3</f>
        <v/>
      </c>
      <c r="L27" s="457" t="inlineStr">
        <is>
          <t>mm</t>
        </is>
      </c>
    </row>
    <row r="28" ht="29" customHeight="1" s="450">
      <c r="A28" s="116" t="inlineStr">
        <is>
          <t>Value in mm</t>
        </is>
      </c>
      <c r="B28" s="117">
        <f>K26+2*K29</f>
        <v/>
      </c>
      <c r="C28" s="117">
        <f>2*K26+K28+2*K29</f>
        <v/>
      </c>
      <c r="D28" s="117">
        <f>2*K26+K28+2*K29</f>
        <v/>
      </c>
      <c r="E28" s="117">
        <f>2*K26+K28+2*K29</f>
        <v/>
      </c>
      <c r="F28" s="117">
        <f>4*K26+3*K28+2*K29</f>
        <v/>
      </c>
      <c r="H28" s="523" t="inlineStr">
        <is>
          <t>T=tolerance b/w parts</t>
        </is>
      </c>
      <c r="I28" s="439" t="n"/>
      <c r="J28" s="437" t="n"/>
      <c r="K28" s="122">
        <f>'Input-Output'!F7</f>
        <v/>
      </c>
      <c r="L28" s="457" t="inlineStr">
        <is>
          <t>mm</t>
        </is>
      </c>
    </row>
    <row r="29">
      <c r="A29" s="115" t="inlineStr">
        <is>
          <t>W(formula)</t>
        </is>
      </c>
      <c r="B29" s="565" t="inlineStr">
        <is>
          <t>w+2G</t>
        </is>
      </c>
      <c r="C29" s="565" t="inlineStr">
        <is>
          <t>2G+w</t>
        </is>
      </c>
      <c r="D29" s="565" t="inlineStr">
        <is>
          <t>T+2w+2G</t>
        </is>
      </c>
      <c r="E29" s="565" t="inlineStr">
        <is>
          <t>3w+2T+2G</t>
        </is>
      </c>
      <c r="F29" s="565" t="inlineStr">
        <is>
          <t>2w+T+2G</t>
        </is>
      </c>
      <c r="H29" s="523" t="inlineStr">
        <is>
          <t>G=Guide pillar clearance</t>
        </is>
      </c>
      <c r="I29" s="439" t="n"/>
      <c r="J29" s="437" t="n"/>
      <c r="K29" s="123">
        <f>L4+K5+J7</f>
        <v/>
      </c>
      <c r="L29" s="437" t="inlineStr">
        <is>
          <t>mm</t>
        </is>
      </c>
    </row>
    <row r="30">
      <c r="A30" s="116" t="inlineStr">
        <is>
          <t>Value in mm</t>
        </is>
      </c>
      <c r="B30" s="117">
        <f>K27+2*K29</f>
        <v/>
      </c>
      <c r="C30" s="117">
        <f>K27+2*K29</f>
        <v/>
      </c>
      <c r="D30" s="117">
        <f>K28+2*K27+2*K29</f>
        <v/>
      </c>
      <c r="E30" s="117">
        <f>3*K27+2*K28+2*K29</f>
        <v/>
      </c>
      <c r="F30" s="117">
        <f>2*K27+K28+2*K29</f>
        <v/>
      </c>
    </row>
    <row r="31">
      <c r="A31" s="115" t="inlineStr">
        <is>
          <t>H</t>
        </is>
      </c>
      <c r="B31" s="561" t="n"/>
      <c r="C31" s="561" t="n"/>
      <c r="D31" s="561" t="n"/>
      <c r="E31" s="561" t="n"/>
      <c r="F31" s="561" t="n"/>
    </row>
    <row r="32">
      <c r="A32" s="116" t="inlineStr">
        <is>
          <t>Value in mm</t>
        </is>
      </c>
      <c r="B32" s="118">
        <f>'Mould Costing'!$F$9+'Mould Costing'!$F$10+'Mould Costing'!$F$11+'Mould Costing'!$F$14+'Mould Costing'!$F$15</f>
        <v/>
      </c>
      <c r="C32" s="118">
        <f>'Mould Costing'!$F$9+'Mould Costing'!$F$10+'Mould Costing'!$F$11+'Mould Costing'!$F$14+'Mould Costing'!$F$15</f>
        <v/>
      </c>
      <c r="D32" s="118">
        <f>'Mould Costing'!$F$9+'Mould Costing'!$F$10+'Mould Costing'!$F$11+'Mould Costing'!$F$14+'Mould Costing'!$F$15</f>
        <v/>
      </c>
      <c r="E32" s="118">
        <f>'Mould Costing'!$F$9+'Mould Costing'!$F$10+'Mould Costing'!$F$11+'Mould Costing'!$F$14+'Mould Costing'!$F$15</f>
        <v/>
      </c>
      <c r="F32" s="118">
        <f>'Mould Costing'!$F$9+'Mould Costing'!$F$10+'Mould Costing'!$F$11+'Mould Costing'!$F$14+'Mould Costing'!$F$15</f>
        <v/>
      </c>
    </row>
  </sheetData>
  <mergeCells count="7">
    <mergeCell ref="H28:J28"/>
    <mergeCell ref="A25:A26"/>
    <mergeCell ref="B25:F25"/>
    <mergeCell ref="H27:J27"/>
    <mergeCell ref="N4:Q4"/>
    <mergeCell ref="H26:J26"/>
    <mergeCell ref="H29:J29"/>
  </mergeCells>
  <pageMargins left="0.7" right="0.7" top="0.75" bottom="0.75" header="0.3" footer="0.3"/>
  <drawing r:id="rId1"/>
</worksheet>
</file>

<file path=xl/worksheets/sheet14.xml><?xml version="1.0" encoding="utf-8"?>
<worksheet xmlns="http://schemas.openxmlformats.org/spreadsheetml/2006/main">
  <sheetPr codeName="Sheet6">
    <tabColor rgb="FF92D050"/>
    <outlinePr summaryBelow="1" summaryRight="1"/>
    <pageSetUpPr fitToPage="1"/>
  </sheetPr>
  <dimension ref="A1:P34"/>
  <sheetViews>
    <sheetView topLeftCell="A2" zoomScale="72" zoomScaleNormal="51" workbookViewId="0">
      <selection activeCell="D7" sqref="D7"/>
    </sheetView>
  </sheetViews>
  <sheetFormatPr baseColWidth="8" defaultColWidth="9" defaultRowHeight="14.5"/>
  <cols>
    <col width="3.90625" customWidth="1" style="450" min="1" max="1"/>
    <col width="57.453125" customWidth="1" style="450" min="2" max="2"/>
    <col width="17" customWidth="1" style="450" min="3" max="3"/>
    <col width="23.90625" customWidth="1" style="450" min="6" max="6"/>
    <col width="20.1796875" customWidth="1" style="450" min="8" max="8"/>
    <col width="17.81640625" customWidth="1" style="450" min="10" max="10"/>
    <col width="3.1796875" customWidth="1" style="450" min="11" max="11"/>
    <col width="17.90625" customWidth="1" style="450" min="19" max="19"/>
    <col width="14.1796875" customWidth="1" style="450" min="20" max="20"/>
    <col width="18.26953125" customWidth="1" style="450" min="21" max="21"/>
    <col width="15.6328125" customWidth="1" style="450" min="22" max="22"/>
    <col width="12.1796875" customWidth="1" style="450" min="23" max="23"/>
  </cols>
  <sheetData>
    <row r="1">
      <c r="A1" s="91" t="n"/>
      <c r="B1" s="447" t="n"/>
      <c r="C1" s="447" t="n"/>
      <c r="D1" s="447" t="n"/>
      <c r="E1" s="447" t="n"/>
      <c r="F1" s="447" t="n"/>
      <c r="G1" s="447" t="n"/>
      <c r="H1" s="447" t="n"/>
      <c r="I1" s="447" t="n"/>
      <c r="J1" s="447" t="n"/>
      <c r="K1" s="482" t="n"/>
    </row>
    <row r="2">
      <c r="A2" s="92" t="n"/>
      <c r="B2" s="569" t="inlineStr">
        <is>
          <t>Core Plate thickness</t>
        </is>
      </c>
      <c r="C2" s="439" t="n"/>
      <c r="D2" s="437" t="n"/>
      <c r="F2" s="567" t="inlineStr">
        <is>
          <t>Database</t>
        </is>
      </c>
      <c r="G2" s="439" t="n"/>
      <c r="H2" s="439" t="n"/>
      <c r="I2" s="439" t="n"/>
      <c r="J2" s="437" t="n"/>
      <c r="K2" s="512" t="n"/>
    </row>
    <row r="3">
      <c r="A3" s="92" t="n"/>
      <c r="B3" s="568" t="inlineStr">
        <is>
          <t>Considering the core plate as a simply supported beam with uniformly distributed load</t>
        </is>
      </c>
      <c r="C3" s="439" t="n"/>
      <c r="D3" s="437" t="n"/>
      <c r="F3" s="93" t="inlineStr">
        <is>
          <t>Part Material</t>
        </is>
      </c>
      <c r="G3" s="93" t="inlineStr">
        <is>
          <t>COF,u</t>
        </is>
      </c>
      <c r="H3" s="93" t="inlineStr">
        <is>
          <t>Poisson's ratio</t>
        </is>
      </c>
      <c r="I3" s="93" t="inlineStr">
        <is>
          <t>COE</t>
        </is>
      </c>
      <c r="J3" s="93" t="inlineStr">
        <is>
          <t>Soft. Temp</t>
        </is>
      </c>
      <c r="K3" s="512" t="n"/>
    </row>
    <row r="4">
      <c r="A4" s="92" t="n"/>
      <c r="B4" s="265" t="n"/>
      <c r="C4" s="265" t="n"/>
      <c r="D4" s="265" t="n"/>
      <c r="F4" s="94" t="inlineStr">
        <is>
          <t>PS</t>
        </is>
      </c>
      <c r="G4" s="95" t="n">
        <v>0.33</v>
      </c>
      <c r="H4" s="95" t="n">
        <v>0.35</v>
      </c>
      <c r="I4" s="95" t="n">
        <v>8.000000000000001e-05</v>
      </c>
      <c r="J4" s="95" t="n">
        <v>100</v>
      </c>
      <c r="K4" s="512" t="n"/>
    </row>
    <row r="5">
      <c r="A5" s="92" t="n"/>
      <c r="B5" s="70" t="inlineStr">
        <is>
          <t>t is the thickness of the plate in cm</t>
        </is>
      </c>
      <c r="C5" s="523" t="inlineStr">
        <is>
          <t>in cm</t>
        </is>
      </c>
      <c r="D5" s="96">
        <f>POWER(((5*D6*D7^4)/(32*(2*10^6)*D9*D10)),1/3)</f>
        <v/>
      </c>
      <c r="F5" s="97" t="inlineStr">
        <is>
          <t>PE</t>
        </is>
      </c>
      <c r="G5" s="95" t="n">
        <v>0.2</v>
      </c>
      <c r="H5" s="95" t="n">
        <v>0.42</v>
      </c>
      <c r="I5" s="95" t="n">
        <v>0.0002</v>
      </c>
      <c r="J5" s="95" t="n">
        <v>110</v>
      </c>
      <c r="K5" s="512" t="n"/>
    </row>
    <row r="6" ht="16.5" customHeight="1" s="450">
      <c r="A6" s="92" t="n"/>
      <c r="B6" s="70" t="inlineStr">
        <is>
          <t>w is the load acting on the plate = injection pressure in kg/cm2</t>
        </is>
      </c>
      <c r="C6" s="523" t="inlineStr">
        <is>
          <t>Kg/cm2</t>
        </is>
      </c>
      <c r="D6" s="523">
        <f>'Input-Output'!B13*0.33</f>
        <v/>
      </c>
      <c r="F6" s="94" t="inlineStr">
        <is>
          <t>PP</t>
        </is>
      </c>
      <c r="G6" s="95" t="n">
        <v>0.47</v>
      </c>
      <c r="H6" s="95" t="n">
        <v>0.42</v>
      </c>
      <c r="I6" s="95" t="n">
        <v>0.0002</v>
      </c>
      <c r="J6" s="95" t="n">
        <v>150</v>
      </c>
      <c r="K6" s="512" t="n"/>
    </row>
    <row r="7">
      <c r="A7" s="92" t="n"/>
      <c r="B7" s="70" t="inlineStr">
        <is>
          <t>l is the length of the plate in cm</t>
        </is>
      </c>
      <c r="C7" s="523" t="inlineStr">
        <is>
          <t>in cm</t>
        </is>
      </c>
      <c r="D7" s="98">
        <f>'Mould Costing'!B3/10</f>
        <v/>
      </c>
      <c r="F7" s="97" t="inlineStr">
        <is>
          <t>ABS</t>
        </is>
      </c>
      <c r="G7" s="95" t="n">
        <v>0.35</v>
      </c>
      <c r="H7" s="95" t="n">
        <v>0.35</v>
      </c>
      <c r="I7" s="95" t="n">
        <v>8.000000000000001e-05</v>
      </c>
      <c r="J7" s="95" t="n">
        <v>105</v>
      </c>
      <c r="K7" s="512" t="n"/>
    </row>
    <row r="8" ht="16.5" customHeight="1" s="450">
      <c r="A8" s="92" t="n"/>
      <c r="B8" s="70" t="inlineStr">
        <is>
          <t>E is the moulus of elasticity  (for steel)</t>
        </is>
      </c>
      <c r="C8" s="523" t="inlineStr">
        <is>
          <t xml:space="preserve"> kg / cm2</t>
        </is>
      </c>
      <c r="D8" s="523" t="inlineStr">
        <is>
          <t>2 x 106</t>
        </is>
      </c>
      <c r="F8" s="94" t="inlineStr">
        <is>
          <t>PA-unfilled-dupont</t>
        </is>
      </c>
      <c r="G8" s="95" t="n">
        <v>0.4</v>
      </c>
      <c r="H8" s="95" t="n">
        <v>0.35</v>
      </c>
      <c r="I8" s="95" t="n">
        <v>8.000000000000001e-05</v>
      </c>
      <c r="J8" s="95" t="n">
        <v>200</v>
      </c>
      <c r="K8" s="512" t="n"/>
    </row>
    <row r="9">
      <c r="A9" s="92" t="n"/>
      <c r="B9" s="70" t="inlineStr">
        <is>
          <t>d is the width of the plate in cm</t>
        </is>
      </c>
      <c r="C9" s="523" t="inlineStr">
        <is>
          <t>in cm</t>
        </is>
      </c>
      <c r="D9" s="98">
        <f>'Mould Costing'!B4/10</f>
        <v/>
      </c>
      <c r="F9" s="97" t="inlineStr">
        <is>
          <t>POM</t>
        </is>
      </c>
      <c r="G9" s="95" t="n">
        <v>0.28</v>
      </c>
      <c r="H9" s="95" t="n">
        <v>0.36</v>
      </c>
      <c r="I9" s="95" t="n">
        <v>0.00011</v>
      </c>
      <c r="J9" s="95" t="n">
        <v>170</v>
      </c>
      <c r="K9" s="512" t="n"/>
    </row>
    <row r="10">
      <c r="A10" s="92" t="n"/>
      <c r="B10" s="99" t="inlineStr">
        <is>
          <t>d is the maximum allowable deflection 0.005 cm</t>
        </is>
      </c>
      <c r="C10" s="523" t="inlineStr">
        <is>
          <t>in cm</t>
        </is>
      </c>
      <c r="D10" s="523" t="n">
        <v>0.005</v>
      </c>
      <c r="F10" s="94" t="inlineStr">
        <is>
          <t>Glass fiber-Plain</t>
        </is>
      </c>
      <c r="G10" s="95" t="n">
        <v>0.26</v>
      </c>
      <c r="H10" s="95" t="n">
        <v>0.2</v>
      </c>
      <c r="I10" s="95" t="n">
        <v>6e-05</v>
      </c>
      <c r="J10" s="95" t="n">
        <v>260</v>
      </c>
      <c r="K10" s="512" t="n"/>
    </row>
    <row r="11">
      <c r="A11" s="92" t="n"/>
      <c r="B11" s="62" t="n"/>
      <c r="C11" s="62" t="n"/>
      <c r="D11" s="62" t="n"/>
      <c r="E11" s="62" t="n"/>
      <c r="F11" s="97" t="inlineStr">
        <is>
          <t>Nylon-srf</t>
        </is>
      </c>
      <c r="G11" s="95" t="n">
        <v>0.37</v>
      </c>
      <c r="H11" s="95" t="n">
        <v>0.4</v>
      </c>
      <c r="I11" s="95" t="n">
        <v>0.00015</v>
      </c>
      <c r="J11" s="95" t="n">
        <v>225</v>
      </c>
      <c r="K11" s="512" t="n"/>
    </row>
    <row r="12">
      <c r="A12" s="92" t="n"/>
      <c r="B12" s="100" t="inlineStr">
        <is>
          <t>Runner Diameter = Max Part Wall Thickness+1.5</t>
        </is>
      </c>
      <c r="C12" s="101">
        <f>'Input-Output'!B15+1.5</f>
        <v/>
      </c>
      <c r="D12" s="102" t="inlineStr">
        <is>
          <t>mm</t>
        </is>
      </c>
      <c r="K12" s="512" t="n"/>
    </row>
    <row r="13">
      <c r="A13" s="103" t="n"/>
      <c r="B13" s="104" t="inlineStr">
        <is>
          <t>Gate Diameter = dr/dg=4.5</t>
        </is>
      </c>
      <c r="C13" s="101">
        <f>C12/4.5</f>
        <v/>
      </c>
      <c r="D13" s="102" t="inlineStr">
        <is>
          <t>mm</t>
        </is>
      </c>
      <c r="F13" s="564" t="inlineStr">
        <is>
          <t>Ejector Force Calculation</t>
        </is>
      </c>
      <c r="G13" s="437" t="n"/>
      <c r="H13" s="564" t="n"/>
      <c r="I13" s="437" t="n"/>
      <c r="K13" s="512" t="n"/>
    </row>
    <row r="14">
      <c r="A14" s="92" t="n"/>
      <c r="F14" s="341" t="inlineStr">
        <is>
          <t>Fp</t>
        </is>
      </c>
      <c r="G14" s="342" t="n"/>
      <c r="H14" s="78">
        <f>C25</f>
        <v/>
      </c>
      <c r="I14" s="265" t="inlineStr">
        <is>
          <t>kN</t>
        </is>
      </c>
      <c r="K14" s="512" t="n"/>
    </row>
    <row r="15">
      <c r="A15" s="92" t="n"/>
      <c r="B15" s="570" t="inlineStr">
        <is>
          <t>Ejector plate thickness</t>
        </is>
      </c>
      <c r="C15" s="439" t="n"/>
      <c r="D15" s="437" t="n"/>
      <c r="F15" s="341" t="inlineStr">
        <is>
          <t>Fp</t>
        </is>
      </c>
      <c r="G15" s="342" t="n"/>
      <c r="H15" s="78">
        <f>H14*G19</f>
        <v/>
      </c>
      <c r="I15" s="265" t="inlineStr">
        <is>
          <t>KgF</t>
        </is>
      </c>
      <c r="K15" s="512" t="n"/>
    </row>
    <row r="16" ht="29" customHeight="1" s="450">
      <c r="A16" s="92" t="n"/>
      <c r="B16" s="566" t="inlineStr">
        <is>
          <t>Considering both ejector plate and ejector back plate as simply supported beam with uniformly distributed load</t>
        </is>
      </c>
      <c r="C16" s="439" t="n"/>
      <c r="D16" s="437" t="n"/>
      <c r="F16" s="565" t="inlineStr">
        <is>
          <t>No of Cavity</t>
        </is>
      </c>
      <c r="G16" s="437" t="n"/>
      <c r="H16" s="78">
        <f>'Input-Output'!B10</f>
        <v/>
      </c>
      <c r="I16" s="265" t="n"/>
      <c r="K16" s="512" t="n"/>
      <c r="P16" t="inlineStr">
        <is>
          <t>`</t>
        </is>
      </c>
    </row>
    <row r="17" ht="16.5" customHeight="1" s="450">
      <c r="A17" s="92" t="n"/>
      <c r="B17" s="105" t="inlineStr">
        <is>
          <t xml:space="preserve"> t=3Ö5 w l4  / 32 E d d=</t>
        </is>
      </c>
      <c r="C17" s="106">
        <f>POWER(((5*C18*C19^4)/(32*(2*10^6)*C21*C22)),1/3)</f>
        <v/>
      </c>
      <c r="D17" s="265" t="inlineStr">
        <is>
          <t>cm</t>
        </is>
      </c>
      <c r="E17" s="105" t="n"/>
      <c r="F17" s="565" t="inlineStr">
        <is>
          <t>Total Ejection Force</t>
        </is>
      </c>
      <c r="G17" s="437" t="n"/>
      <c r="H17" s="78">
        <f>H16*H15</f>
        <v/>
      </c>
      <c r="I17" s="265" t="inlineStr">
        <is>
          <t>KgF</t>
        </is>
      </c>
      <c r="K17" s="512" t="n"/>
    </row>
    <row r="18">
      <c r="A18" s="92" t="n"/>
      <c r="B18" s="107" t="inlineStr">
        <is>
          <t>Ejection force required in Kgf , w=</t>
        </is>
      </c>
      <c r="C18" s="108">
        <f>C25*G19</f>
        <v/>
      </c>
      <c r="D18" s="265" t="n"/>
      <c r="F18" s="265" t="inlineStr">
        <is>
          <t>kN</t>
        </is>
      </c>
      <c r="G18" s="265" t="inlineStr">
        <is>
          <t>KgF</t>
        </is>
      </c>
      <c r="K18" s="512" t="n"/>
    </row>
    <row r="19">
      <c r="A19" s="92" t="n"/>
      <c r="B19" s="107" t="inlineStr">
        <is>
          <t>Length of the ejector plate in cm, l=</t>
        </is>
      </c>
      <c r="C19" s="108">
        <f>'Mould Costing'!D13/10</f>
        <v/>
      </c>
      <c r="D19" s="265" t="inlineStr">
        <is>
          <t>cm</t>
        </is>
      </c>
      <c r="F19" s="109" t="n">
        <v>1</v>
      </c>
      <c r="G19" s="265" t="n">
        <v>0.101972</v>
      </c>
      <c r="K19" s="512" t="n"/>
    </row>
    <row r="20" ht="16.5" customHeight="1" s="450">
      <c r="A20" s="92" t="n"/>
      <c r="B20" s="107" t="inlineStr">
        <is>
          <t>Moulus of elasticity 2 x 106 kg / cm2 (for steel), E=</t>
        </is>
      </c>
      <c r="C20" s="110" t="inlineStr">
        <is>
          <t>2 x 106</t>
        </is>
      </c>
      <c r="D20" s="265" t="n"/>
      <c r="K20" s="512" t="n"/>
    </row>
    <row r="21">
      <c r="A21" s="92" t="n"/>
      <c r="B21" s="107" t="inlineStr">
        <is>
          <t>Width of the ejector plate in cm, d=</t>
        </is>
      </c>
      <c r="C21" s="108">
        <f>'Mould Costing'!E13/10</f>
        <v/>
      </c>
      <c r="D21" s="265" t="inlineStr">
        <is>
          <t>cm</t>
        </is>
      </c>
      <c r="F21" s="111" t="n"/>
      <c r="K21" s="512" t="n"/>
    </row>
    <row r="22">
      <c r="A22" s="92" t="n"/>
      <c r="B22" s="107" t="inlineStr">
        <is>
          <t>Maximum allowable deflection 0.005 cm</t>
        </is>
      </c>
      <c r="C22" s="110" t="n">
        <v>0.005</v>
      </c>
      <c r="D22" s="265" t="inlineStr">
        <is>
          <t>cm</t>
        </is>
      </c>
      <c r="K22" s="512" t="n"/>
    </row>
    <row r="23">
      <c r="A23" s="92" t="n"/>
      <c r="K23" s="512" t="n"/>
    </row>
    <row r="24">
      <c r="A24" s="92" t="n"/>
      <c r="B24" s="112" t="inlineStr">
        <is>
          <t>where</t>
        </is>
      </c>
      <c r="K24" s="512" t="n"/>
    </row>
    <row r="25">
      <c r="A25" s="92" t="n"/>
      <c r="B25" s="112" t="inlineStr">
        <is>
          <t>Fp</t>
        </is>
      </c>
      <c r="C25" s="22">
        <f>(C26*C27*C28*C31*C32)/(C30/(2*C33)*(1-(C29/2)))</f>
        <v/>
      </c>
      <c r="D25" t="inlineStr">
        <is>
          <t>kn</t>
        </is>
      </c>
      <c r="E25" t="inlineStr">
        <is>
          <t>Ejection resistance force (N)</t>
        </is>
      </c>
      <c r="K25" s="512" t="n"/>
    </row>
    <row r="26">
      <c r="A26" s="92" t="n"/>
      <c r="B26" s="112" t="inlineStr">
        <is>
          <t>E</t>
        </is>
      </c>
      <c r="C26">
        <f>VLOOKUP('Input-Output'!B9,Table11[],5,0)*10^5</f>
        <v/>
      </c>
      <c r="D26" t="inlineStr">
        <is>
          <t>(N/cm2)</t>
        </is>
      </c>
      <c r="E26" t="inlineStr">
        <is>
          <t>Young’s modulus of the polymer</t>
        </is>
      </c>
      <c r="K26" s="512" t="n"/>
    </row>
    <row r="27">
      <c r="A27" s="92" t="n"/>
      <c r="B27" s="112" t="inlineStr">
        <is>
          <t>A</t>
        </is>
      </c>
      <c r="C27">
        <f>2*'Input-Output'!B4/10*'Input-Output'!B3/10+2*'Input-Output'!B4/10*'Input-Output'!B2/10</f>
        <v/>
      </c>
      <c r="D27" t="inlineStr">
        <is>
          <t>(cm2)</t>
        </is>
      </c>
      <c r="E27" t="inlineStr">
        <is>
          <t>total surface area of moulding in contact with cavity or core, in line of draw</t>
        </is>
      </c>
      <c r="K27" s="512" t="n"/>
    </row>
    <row r="28">
      <c r="A28" s="92" t="n"/>
      <c r="B28" s="112" t="inlineStr">
        <is>
          <t>μ</t>
        </is>
      </c>
      <c r="C28" s="113">
        <f>VLOOKUP('Input-Output'!$B$9,'Core &amp; Ejector Plate'!$F$4:$J$11,2,FALSE)</f>
        <v/>
      </c>
      <c r="E28" t="inlineStr">
        <is>
          <t>coefficient of friction, polymer on steel</t>
        </is>
      </c>
      <c r="K28" s="512" t="n"/>
    </row>
    <row r="29">
      <c r="A29" s="92" t="n"/>
      <c r="B29" s="112" t="inlineStr">
        <is>
          <t>m</t>
        </is>
      </c>
      <c r="C29" s="113">
        <f>VLOOKUP('Input-Output'!$B$9,'Core &amp; Ejector Plate'!$F$4:$J$11,3,FALSE)</f>
        <v/>
      </c>
      <c r="E29" t="inlineStr">
        <is>
          <t>Poisson’s ratio</t>
        </is>
      </c>
      <c r="K29" s="512" t="n"/>
    </row>
    <row r="30">
      <c r="A30" s="92" t="n"/>
      <c r="B30" s="112" t="inlineStr">
        <is>
          <t>d</t>
        </is>
      </c>
      <c r="C30" s="114">
        <f>((2*'Input-Output'!B2/10+(2*'Input-Output'!B3/10))/3.14)</f>
        <v/>
      </c>
      <c r="D30" t="inlineStr">
        <is>
          <t>(cm)</t>
        </is>
      </c>
      <c r="E30" t="inlineStr">
        <is>
          <t>the diameter of a circle whose circumference is equal to the total projected perimeter of the moulding</t>
        </is>
      </c>
      <c r="K30" s="512" t="n"/>
    </row>
    <row r="31">
      <c r="A31" s="92" t="n"/>
      <c r="B31" s="112" t="inlineStr">
        <is>
          <t>∝</t>
        </is>
      </c>
      <c r="C31" s="113">
        <f>VLOOKUP('Input-Output'!$B$9,'Core &amp; Ejector Plate'!$F$4:$J$11,4,FALSE)</f>
        <v/>
      </c>
      <c r="D31" t="inlineStr">
        <is>
          <t>(cm/°C)</t>
        </is>
      </c>
      <c r="E31" t="inlineStr">
        <is>
          <t>the coefficient of linear expansion of the polymer</t>
        </is>
      </c>
      <c r="K31" s="512" t="n"/>
    </row>
    <row r="32">
      <c r="A32" s="92" t="n"/>
      <c r="B32" s="112" t="inlineStr">
        <is>
          <t>Δt</t>
        </is>
      </c>
      <c r="C32" s="113">
        <f>VLOOKUP('Input-Output'!$B$9,'Core &amp; Ejector Plate'!$F$4:$J$11,5,FALSE)-20</f>
        <v/>
      </c>
      <c r="D32" t="inlineStr">
        <is>
          <t xml:space="preserve"> (°C)</t>
        </is>
      </c>
      <c r="E32" t="inlineStr">
        <is>
          <t>(polymer softening temperature) - (mould tool temperature)</t>
        </is>
      </c>
      <c r="K32" s="512" t="n"/>
    </row>
    <row r="33">
      <c r="A33" s="92" t="n"/>
      <c r="B33" s="112" t="inlineStr">
        <is>
          <t>t</t>
        </is>
      </c>
      <c r="C33">
        <f>'Input-Output'!B14/10</f>
        <v/>
      </c>
      <c r="D33" t="inlineStr">
        <is>
          <t>(cm)</t>
        </is>
      </c>
      <c r="E33" t="inlineStr">
        <is>
          <t>average wall thickness of part</t>
        </is>
      </c>
      <c r="K33" s="512" t="n"/>
    </row>
    <row r="34">
      <c r="A34" s="483" t="n"/>
      <c r="B34" s="444" t="n"/>
      <c r="C34" s="444" t="n"/>
      <c r="D34" s="444" t="n"/>
      <c r="E34" s="444" t="n"/>
      <c r="F34" s="444" t="n"/>
      <c r="G34" s="444" t="n"/>
      <c r="H34" s="444" t="n"/>
      <c r="I34" s="444" t="n"/>
      <c r="J34" s="444" t="n"/>
      <c r="K34" s="462" t="n"/>
    </row>
  </sheetData>
  <mergeCells count="9">
    <mergeCell ref="B3:D3"/>
    <mergeCell ref="F16:G16"/>
    <mergeCell ref="B16:D16"/>
    <mergeCell ref="F13:G13"/>
    <mergeCell ref="B15:D15"/>
    <mergeCell ref="H13:I13"/>
    <mergeCell ref="F17:G17"/>
    <mergeCell ref="B2:D2"/>
    <mergeCell ref="F2:J2"/>
  </mergeCells>
  <pageMargins left="0.7" right="0.7" top="0.75" bottom="0.75" header="0.3" footer="0.3"/>
  <pageSetup orientation="landscape" scale="54" fitToHeight="0"/>
</worksheet>
</file>

<file path=xl/worksheets/sheet15.xml><?xml version="1.0" encoding="utf-8"?>
<worksheet xmlns:r="http://schemas.openxmlformats.org/officeDocument/2006/relationships" xmlns="http://schemas.openxmlformats.org/spreadsheetml/2006/main">
  <sheetPr codeName="Sheet15">
    <tabColor rgb="FFFFFF00"/>
    <outlinePr summaryBelow="1" summaryRight="1"/>
    <pageSetUpPr/>
  </sheetPr>
  <dimension ref="A1:O174"/>
  <sheetViews>
    <sheetView topLeftCell="A29" zoomScale="54" zoomScaleNormal="54" workbookViewId="0">
      <selection activeCell="E101" sqref="E101"/>
    </sheetView>
  </sheetViews>
  <sheetFormatPr baseColWidth="8" defaultColWidth="9" defaultRowHeight="14.5"/>
  <cols>
    <col width="9.36328125" customWidth="1" style="450" min="1" max="1"/>
    <col width="24.26953125" customWidth="1" style="450" min="2" max="2"/>
    <col width="31.81640625" customWidth="1" style="450" min="3" max="3"/>
    <col width="21.1796875" customWidth="1" style="450" min="4" max="4"/>
    <col width="20.36328125" customWidth="1" style="450" min="5" max="5"/>
    <col width="29.26953125" customWidth="1" style="450" min="6" max="6"/>
    <col width="27.7265625" customWidth="1" style="450" min="7" max="7"/>
    <col width="18.36328125" customWidth="1" style="450" min="8" max="8"/>
    <col width="14.26953125" customWidth="1" style="450" min="9" max="9"/>
    <col width="17.90625" customWidth="1" style="450" min="10" max="10"/>
    <col width="25.36328125" customWidth="1" style="450" min="11" max="11"/>
    <col width="16.1796875" customWidth="1" style="450" min="12" max="12"/>
  </cols>
  <sheetData>
    <row r="1">
      <c r="M1" s="563" t="n"/>
      <c r="N1" s="563" t="n"/>
    </row>
    <row r="2">
      <c r="A2" s="571" t="inlineStr">
        <is>
          <t>Top Clamp Plate</t>
        </is>
      </c>
      <c r="C2" s="74">
        <f>SUM(L4:L19)</f>
        <v/>
      </c>
      <c r="D2" s="74" t="n"/>
      <c r="E2" s="74" t="n"/>
      <c r="M2" s="563" t="n"/>
      <c r="N2" s="637" t="n"/>
    </row>
    <row r="3" ht="16.5" customHeight="1" s="450">
      <c r="A3" s="75" t="inlineStr">
        <is>
          <t>Opn No</t>
        </is>
      </c>
      <c r="B3" s="76" t="inlineStr">
        <is>
          <t>Operation Name</t>
        </is>
      </c>
      <c r="C3" s="76" t="inlineStr">
        <is>
          <t>M/c Selected</t>
        </is>
      </c>
      <c r="D3" s="77" t="inlineStr">
        <is>
          <t>Initial Volume in cm3</t>
        </is>
      </c>
      <c r="E3" s="77" t="inlineStr">
        <is>
          <t>Final Volume in cm3</t>
        </is>
      </c>
      <c r="F3" s="77" t="inlineStr">
        <is>
          <t>Material to be removed in cm3</t>
        </is>
      </c>
      <c r="G3" s="77" t="inlineStr">
        <is>
          <t>Standard MRR in cm3 per min</t>
        </is>
      </c>
      <c r="H3" s="77" t="inlineStr">
        <is>
          <t>Cycle Time in Mins</t>
        </is>
      </c>
      <c r="I3" s="77" t="inlineStr">
        <is>
          <t>Programming</t>
        </is>
      </c>
      <c r="J3" s="77" t="inlineStr">
        <is>
          <t>Tool Change Time</t>
        </is>
      </c>
      <c r="K3" s="77" t="inlineStr">
        <is>
          <t>Fixture Set-up time in mins</t>
        </is>
      </c>
      <c r="L3" s="82" t="inlineStr">
        <is>
          <t>M/c Time in Hrs</t>
        </is>
      </c>
      <c r="M3" s="336" t="n"/>
      <c r="N3" s="336" t="n"/>
      <c r="O3" s="336" t="n"/>
    </row>
    <row r="4">
      <c r="A4" s="342" t="n">
        <v>1</v>
      </c>
      <c r="B4" s="70" t="inlineStr">
        <is>
          <t>Rough Milling - Sizing</t>
        </is>
      </c>
      <c r="C4" s="70" t="inlineStr">
        <is>
          <t>Conv Milling - Facing</t>
        </is>
      </c>
      <c r="D4" s="78">
        <f>(('Mould Costing'!$D$9+10)/10)*(('Mould Costing'!$E$9+10)/10)*(('Mould Costing'!$F$9+10)/10)</f>
        <v/>
      </c>
      <c r="E4" s="78">
        <f>(('Mould Costing'!$D$9)/10)*(('Mould Costing'!$E$9)/10)*(('Mould Costing'!$F$9)/10)</f>
        <v/>
      </c>
      <c r="F4" s="78">
        <f>D4-E4</f>
        <v/>
      </c>
      <c r="G4" s="78">
        <f>VLOOKUP(C4,Table15[],2,FALSE)</f>
        <v/>
      </c>
      <c r="H4" s="78">
        <f>F4/G4</f>
        <v/>
      </c>
      <c r="I4" s="78" t="n"/>
      <c r="J4" s="83" t="n">
        <v>30</v>
      </c>
      <c r="K4" s="83" t="n">
        <v>45</v>
      </c>
      <c r="L4" s="42">
        <f>ROUNDUP((K4+J4+H4+I4)/60,0)</f>
        <v/>
      </c>
      <c r="M4" s="336" t="n"/>
      <c r="N4" s="336" t="n"/>
    </row>
    <row r="5">
      <c r="A5" s="342" t="n">
        <v>2</v>
      </c>
      <c r="B5" s="265" t="inlineStr">
        <is>
          <t>Finishing</t>
        </is>
      </c>
      <c r="C5" s="70" t="inlineStr">
        <is>
          <t>Surface Grinding</t>
        </is>
      </c>
      <c r="D5" s="78">
        <f>(('Mould Costing'!$D$9+1)/10)*(('Mould Costing'!$E$9+1)/10)*(('Mould Costing'!$F$9+1)/10)</f>
        <v/>
      </c>
      <c r="E5" s="78">
        <f>(('Mould Costing'!$D$9)/10)*(('Mould Costing'!$E$9)/10)*(('Mould Costing'!$F$9)/10)</f>
        <v/>
      </c>
      <c r="F5" s="78">
        <f>D5-E5</f>
        <v/>
      </c>
      <c r="G5" s="78">
        <f>VLOOKUP(C5,Table15[],2,FALSE)</f>
        <v/>
      </c>
      <c r="H5" s="78">
        <f>F5/G5</f>
        <v/>
      </c>
      <c r="I5" s="265" t="n"/>
      <c r="J5" s="83" t="n">
        <v>30</v>
      </c>
      <c r="K5" s="83" t="n">
        <v>45</v>
      </c>
      <c r="L5" s="42">
        <f>ROUNDUP((K5+H5+I5+J5)/60,0)</f>
        <v/>
      </c>
      <c r="M5" s="336" t="n"/>
      <c r="N5" s="336" t="n"/>
    </row>
    <row r="6">
      <c r="A6" s="342" t="n">
        <v>3</v>
      </c>
      <c r="B6" s="265" t="inlineStr">
        <is>
          <t>Drilling - Locating Ring &amp; Sprue Bush</t>
        </is>
      </c>
      <c r="C6" s="70" t="inlineStr">
        <is>
          <t>Radial Drilling - Hole drilling</t>
        </is>
      </c>
      <c r="D6" s="78">
        <f>3.14/4*('Mould Costing'!$E$21/10*('Mould Costing'!$E$21+10)/10*('Mould Costing'!F9/10))</f>
        <v/>
      </c>
      <c r="E6" s="78" t="n">
        <v>0</v>
      </c>
      <c r="F6" s="78">
        <f>D6-E6</f>
        <v/>
      </c>
      <c r="G6" s="78">
        <f>VLOOKUP(C6,Table15[],2,FALSE)</f>
        <v/>
      </c>
      <c r="H6" s="78">
        <f>F6/G6</f>
        <v/>
      </c>
      <c r="I6" s="265" t="n"/>
      <c r="J6" s="83" t="n">
        <v>30</v>
      </c>
      <c r="K6" s="83" t="n">
        <v>45</v>
      </c>
      <c r="L6" s="42">
        <f>ROUNDUP((K6+H6+I6+J6)/60,0)</f>
        <v/>
      </c>
      <c r="M6" s="336" t="n"/>
      <c r="N6" s="336" t="n"/>
    </row>
    <row r="7">
      <c r="A7" s="342" t="n">
        <v>4</v>
      </c>
      <c r="B7" s="265" t="inlineStr">
        <is>
          <t>Boring - Sprue Bush</t>
        </is>
      </c>
      <c r="C7" s="70" t="inlineStr">
        <is>
          <t>Radial Drilling - Hole drilling</t>
        </is>
      </c>
      <c r="D7" s="78">
        <f>0.785*3*3*'Mould Costing'!F9/10</f>
        <v/>
      </c>
      <c r="E7" s="78" t="n">
        <v>0</v>
      </c>
      <c r="F7" s="78">
        <f>D7-E7</f>
        <v/>
      </c>
      <c r="G7" s="78">
        <f>VLOOKUP(C7,Table15[],2,FALSE)</f>
        <v/>
      </c>
      <c r="H7" s="78">
        <f>F7/G7</f>
        <v/>
      </c>
      <c r="I7" s="265" t="n"/>
      <c r="J7" s="83" t="n">
        <v>30</v>
      </c>
      <c r="K7" s="83" t="n">
        <v>45</v>
      </c>
      <c r="L7" s="42">
        <f>ROUNDUP((K7+H7+I7+J7)/60,0)</f>
        <v/>
      </c>
    </row>
    <row r="8">
      <c r="A8" s="342" t="n">
        <v>5</v>
      </c>
      <c r="B8" s="265" t="inlineStr">
        <is>
          <t>Tapping</t>
        </is>
      </c>
      <c r="C8" s="70" t="inlineStr">
        <is>
          <t>Radial Drilling - Reaming / Tapping</t>
        </is>
      </c>
      <c r="D8" s="78">
        <f>0.785*2*('Mould Costing'!F9/10)*4</f>
        <v/>
      </c>
      <c r="E8" s="78" t="n">
        <v>0</v>
      </c>
      <c r="F8" s="78">
        <f>D8-E8</f>
        <v/>
      </c>
      <c r="G8" s="78">
        <f>VLOOKUP(C8,Table15[],2,FALSE)</f>
        <v/>
      </c>
      <c r="H8" s="78">
        <f>F8/G8</f>
        <v/>
      </c>
      <c r="I8" s="265" t="n"/>
      <c r="J8" s="83" t="n">
        <v>30</v>
      </c>
      <c r="K8" s="83" t="n">
        <v>45</v>
      </c>
      <c r="L8" s="42">
        <f>ROUNDUP((K8+H8+I8+J8)/60,0)</f>
        <v/>
      </c>
    </row>
    <row r="9">
      <c r="A9" s="342" t="n">
        <v>6</v>
      </c>
      <c r="B9" s="265" t="inlineStr">
        <is>
          <t>Bench Work</t>
        </is>
      </c>
      <c r="C9" s="70" t="inlineStr">
        <is>
          <t>Conv Milling - Facing</t>
        </is>
      </c>
      <c r="D9" s="265" t="n"/>
      <c r="E9" s="265" t="n"/>
      <c r="F9" s="265" t="n"/>
      <c r="G9" s="78">
        <f>VLOOKUP(C9,Table15[],2,FALSE)</f>
        <v/>
      </c>
      <c r="H9" s="265" t="n"/>
      <c r="I9" s="265" t="n"/>
      <c r="J9" s="83" t="n"/>
      <c r="K9" s="83" t="n"/>
      <c r="L9" s="42">
        <f>ROUNDUP((K9+H9+I9+J9)/60,0)</f>
        <v/>
      </c>
    </row>
    <row r="10">
      <c r="A10" s="342" t="n"/>
      <c r="B10" s="265" t="n"/>
      <c r="C10" s="70" t="inlineStr">
        <is>
          <t>Conv Milling - Facing</t>
        </is>
      </c>
      <c r="D10" s="265" t="n"/>
      <c r="E10" s="265" t="n"/>
      <c r="F10" s="265" t="n"/>
      <c r="G10" s="78">
        <f>VLOOKUP(C10,Table15[],2,FALSE)</f>
        <v/>
      </c>
      <c r="H10" s="265" t="n"/>
      <c r="I10" s="265" t="n"/>
      <c r="J10" s="265" t="n"/>
      <c r="K10" s="265" t="n"/>
      <c r="L10" s="42">
        <f>ROUNDUP((K10+H10+I10+J10)/60,0)</f>
        <v/>
      </c>
    </row>
    <row r="11">
      <c r="A11" s="342" t="n"/>
      <c r="B11" s="265" t="n"/>
      <c r="C11" s="70" t="inlineStr">
        <is>
          <t>Conv Milling - Facing</t>
        </is>
      </c>
      <c r="D11" s="265" t="n"/>
      <c r="E11" s="265" t="n"/>
      <c r="F11" s="265" t="n"/>
      <c r="G11" s="78">
        <f>VLOOKUP(C11,Table15[],2,FALSE)</f>
        <v/>
      </c>
      <c r="H11" s="265" t="n"/>
      <c r="I11" s="265" t="n"/>
      <c r="J11" s="265" t="n"/>
      <c r="K11" s="265" t="n"/>
      <c r="L11" s="42">
        <f>ROUNDUP((K11+H11+I11+J11)/60,0)</f>
        <v/>
      </c>
    </row>
    <row r="12">
      <c r="A12" s="342" t="n"/>
      <c r="B12" s="265" t="n"/>
      <c r="C12" s="70" t="inlineStr">
        <is>
          <t>Conv Milling - Facing</t>
        </is>
      </c>
      <c r="D12" s="265" t="n"/>
      <c r="E12" s="265" t="n"/>
      <c r="F12" s="265" t="n"/>
      <c r="G12" s="78">
        <f>VLOOKUP(C12,Table15[],2,FALSE)</f>
        <v/>
      </c>
      <c r="H12" s="265" t="n"/>
      <c r="I12" s="265" t="n"/>
      <c r="J12" s="265" t="n"/>
      <c r="K12" s="265" t="n"/>
      <c r="L12" s="42">
        <f>ROUNDUP((K12+H12+I12+J12)/60,0)</f>
        <v/>
      </c>
    </row>
    <row r="13">
      <c r="A13" s="342" t="n"/>
      <c r="B13" s="265" t="n"/>
      <c r="C13" s="70" t="inlineStr">
        <is>
          <t>Conv Milling - Facing</t>
        </is>
      </c>
      <c r="D13" s="265" t="n"/>
      <c r="E13" s="265" t="n"/>
      <c r="F13" s="265" t="n"/>
      <c r="G13" s="78">
        <f>VLOOKUP(C13,Table15[],2,FALSE)</f>
        <v/>
      </c>
      <c r="H13" s="265" t="n"/>
      <c r="I13" s="265" t="n"/>
      <c r="J13" s="265" t="n"/>
      <c r="K13" s="265" t="n"/>
      <c r="L13" s="42">
        <f>ROUNDUP((K13+H13+I13+J13)/60,0)</f>
        <v/>
      </c>
    </row>
    <row r="14">
      <c r="A14" s="342" t="n"/>
      <c r="B14" s="265" t="n"/>
      <c r="C14" s="70" t="inlineStr">
        <is>
          <t>Conv Milling - Facing</t>
        </is>
      </c>
      <c r="D14" s="265" t="n"/>
      <c r="E14" s="265" t="n"/>
      <c r="F14" s="265" t="n"/>
      <c r="G14" s="78">
        <f>VLOOKUP(C14,Table15[],2,FALSE)</f>
        <v/>
      </c>
      <c r="H14" s="265" t="n"/>
      <c r="I14" s="265" t="n"/>
      <c r="J14" s="265" t="n"/>
      <c r="K14" s="265" t="n"/>
      <c r="L14" s="42">
        <f>ROUNDUP((K14+H14+I14+J14)/60,0)</f>
        <v/>
      </c>
    </row>
    <row r="15">
      <c r="A15" s="342" t="n"/>
      <c r="B15" s="265" t="n"/>
      <c r="C15" s="70" t="inlineStr">
        <is>
          <t>Conv Milling - Facing</t>
        </is>
      </c>
      <c r="D15" s="265" t="n"/>
      <c r="E15" s="265" t="n"/>
      <c r="F15" s="265" t="n"/>
      <c r="G15" s="78">
        <f>VLOOKUP(C15,Table15[],2,FALSE)</f>
        <v/>
      </c>
      <c r="H15" s="265" t="n"/>
      <c r="I15" s="265" t="n"/>
      <c r="J15" s="265" t="n"/>
      <c r="K15" s="265" t="n"/>
      <c r="L15" s="42">
        <f>ROUNDUP((K15+H15+I15+J15)/60,0)</f>
        <v/>
      </c>
    </row>
    <row r="16">
      <c r="A16" s="342" t="n"/>
      <c r="B16" s="265" t="n"/>
      <c r="C16" s="70" t="inlineStr">
        <is>
          <t>Conv Milling - Facing</t>
        </is>
      </c>
      <c r="D16" s="265" t="n"/>
      <c r="E16" s="265" t="n"/>
      <c r="F16" s="265" t="n"/>
      <c r="G16" s="78">
        <f>VLOOKUP(C16,Table15[],2,FALSE)</f>
        <v/>
      </c>
      <c r="H16" s="265" t="n"/>
      <c r="I16" s="265" t="n"/>
      <c r="J16" s="265" t="n"/>
      <c r="K16" s="265" t="n"/>
      <c r="L16" s="42">
        <f>ROUNDUP((K16+H16+I16+J16)/60,0)</f>
        <v/>
      </c>
    </row>
    <row r="17">
      <c r="A17" s="342" t="n"/>
      <c r="B17" s="265" t="n"/>
      <c r="C17" s="70" t="inlineStr">
        <is>
          <t>Conv Milling - Facing</t>
        </is>
      </c>
      <c r="D17" s="265" t="n"/>
      <c r="E17" s="265" t="n"/>
      <c r="F17" s="265" t="n"/>
      <c r="G17" s="78">
        <f>VLOOKUP(C17,Table15[],2,FALSE)</f>
        <v/>
      </c>
      <c r="H17" s="265" t="n"/>
      <c r="I17" s="265" t="n"/>
      <c r="J17" s="265" t="n"/>
      <c r="K17" s="265" t="n"/>
      <c r="L17" s="42">
        <f>ROUNDUP((K17+H17+I17+J17)/60,0)</f>
        <v/>
      </c>
    </row>
    <row r="18">
      <c r="A18" s="342" t="n"/>
      <c r="B18" s="265" t="n"/>
      <c r="C18" s="70" t="inlineStr">
        <is>
          <t>Conv Milling - Facing</t>
        </is>
      </c>
      <c r="D18" s="265" t="n"/>
      <c r="E18" s="265" t="n"/>
      <c r="F18" s="265" t="n"/>
      <c r="G18" s="78">
        <f>VLOOKUP(C18,Table15[],2,FALSE)</f>
        <v/>
      </c>
      <c r="H18" s="265" t="n"/>
      <c r="I18" s="265" t="n"/>
      <c r="J18" s="265" t="n"/>
      <c r="K18" s="265" t="n"/>
      <c r="L18" s="42">
        <f>ROUNDUP((K18+H18+I18+J18)/60,0)</f>
        <v/>
      </c>
    </row>
    <row r="19">
      <c r="A19" s="457" t="n"/>
      <c r="B19" s="79" t="n"/>
      <c r="C19" s="79" t="n"/>
      <c r="D19" s="79" t="n"/>
      <c r="E19" s="79" t="n"/>
      <c r="F19" s="79" t="n"/>
      <c r="G19" s="79" t="n"/>
      <c r="H19" s="79" t="n"/>
      <c r="I19" s="79" t="n"/>
      <c r="J19" s="79" t="n"/>
      <c r="K19" s="79" t="n"/>
      <c r="L19" s="44">
        <f>ROUNDUP((K19+H19+I19+J19)/60,0)</f>
        <v/>
      </c>
    </row>
    <row r="21">
      <c r="A21" s="571" t="inlineStr">
        <is>
          <t>Bottom Clamp Plate</t>
        </is>
      </c>
      <c r="C21" s="74">
        <f>SUM(L23:L38)</f>
        <v/>
      </c>
      <c r="D21" s="74" t="n"/>
      <c r="E21" s="74" t="n"/>
      <c r="M21" s="563" t="n"/>
      <c r="N21" s="637" t="n"/>
    </row>
    <row r="22" ht="16.5" customHeight="1" s="450">
      <c r="A22" s="75" t="inlineStr">
        <is>
          <t>Opn No</t>
        </is>
      </c>
      <c r="B22" s="76" t="inlineStr">
        <is>
          <t>Operation Name</t>
        </is>
      </c>
      <c r="C22" s="76" t="inlineStr">
        <is>
          <t>M/c Selected</t>
        </is>
      </c>
      <c r="D22" s="77" t="inlineStr">
        <is>
          <t>Initial Volume in cm3</t>
        </is>
      </c>
      <c r="E22" s="77" t="inlineStr">
        <is>
          <t>Final Volume in cm3</t>
        </is>
      </c>
      <c r="F22" s="77" t="inlineStr">
        <is>
          <t>Material to be removed in cm3</t>
        </is>
      </c>
      <c r="G22" s="77" t="inlineStr">
        <is>
          <t>Standard MRR in cm3 per min</t>
        </is>
      </c>
      <c r="H22" s="77" t="inlineStr">
        <is>
          <t>Cycle Time in Mins</t>
        </is>
      </c>
      <c r="I22" s="77" t="inlineStr">
        <is>
          <t>Programming</t>
        </is>
      </c>
      <c r="J22" s="77" t="inlineStr">
        <is>
          <t>Tool Change Time</t>
        </is>
      </c>
      <c r="K22" s="77" t="inlineStr">
        <is>
          <t>Fixture Set-up time in mins</t>
        </is>
      </c>
      <c r="L22" s="82" t="inlineStr">
        <is>
          <t>M/c Time in Hrs</t>
        </is>
      </c>
      <c r="M22" s="336" t="n"/>
      <c r="N22" s="336" t="n"/>
      <c r="O22" s="336" t="n"/>
    </row>
    <row r="23">
      <c r="A23" s="342" t="n">
        <v>1</v>
      </c>
      <c r="B23" s="70" t="inlineStr">
        <is>
          <t>Rough Milling - Sizing</t>
        </is>
      </c>
      <c r="C23" s="70" t="inlineStr">
        <is>
          <t>Conv Milling - Facing</t>
        </is>
      </c>
      <c r="D23" s="78">
        <f>(('Mould Costing'!$D$10+10)/10)*(('Mould Costing'!$E$10+10)/10)*(('Mould Costing'!$F$10+10)/10)</f>
        <v/>
      </c>
      <c r="E23" s="78">
        <f>(('Mould Costing'!$D$10)/10)*(('Mould Costing'!$E$10)/10)*(('Mould Costing'!$F$10)/10)</f>
        <v/>
      </c>
      <c r="F23" s="78">
        <f>D23-E23</f>
        <v/>
      </c>
      <c r="G23" s="78">
        <f>VLOOKUP(C23,Table15[],2,FALSE)</f>
        <v/>
      </c>
      <c r="H23" s="78">
        <f>F23/G23</f>
        <v/>
      </c>
      <c r="I23" s="78" t="n"/>
      <c r="J23" s="265" t="n">
        <v>30</v>
      </c>
      <c r="K23" s="265" t="n">
        <v>45</v>
      </c>
      <c r="L23" s="42">
        <f>ROUNDUP((K23+J23+H23+I23)/60,0)</f>
        <v/>
      </c>
      <c r="M23" s="84" t="n"/>
    </row>
    <row r="24">
      <c r="A24" s="342" t="n">
        <v>2</v>
      </c>
      <c r="B24" s="265" t="inlineStr">
        <is>
          <t>Finishing</t>
        </is>
      </c>
      <c r="C24" s="70" t="inlineStr">
        <is>
          <t>Surface Grinding</t>
        </is>
      </c>
      <c r="D24" s="78">
        <f>(('Mould Costing'!$D$10+1)/10)*(('Mould Costing'!$E$10+1)/10)*(('Mould Costing'!$F$10+1)/10)</f>
        <v/>
      </c>
      <c r="E24" s="78">
        <f>(('Mould Costing'!$D$10)/10)*(('Mould Costing'!$E$10)/10)*(('Mould Costing'!$F$10)/10)</f>
        <v/>
      </c>
      <c r="F24" s="78">
        <f>D24-E24</f>
        <v/>
      </c>
      <c r="G24" s="78">
        <f>VLOOKUP(C24,Table15[],2,FALSE)</f>
        <v/>
      </c>
      <c r="H24" s="78">
        <f>F24/G24</f>
        <v/>
      </c>
      <c r="I24" s="265" t="n"/>
      <c r="J24" s="265" t="n">
        <v>30</v>
      </c>
      <c r="K24" s="265" t="n">
        <v>45</v>
      </c>
      <c r="L24" s="42">
        <f>ROUNDUP((K24+H24+I24+J24)/60,0)</f>
        <v/>
      </c>
    </row>
    <row r="25">
      <c r="A25" s="342" t="n">
        <v>3</v>
      </c>
      <c r="B25" s="265" t="inlineStr">
        <is>
          <t>Drilling - For Knock-out rod</t>
        </is>
      </c>
      <c r="C25" s="70" t="inlineStr">
        <is>
          <t>Radial Drilling - Hole drilling</t>
        </is>
      </c>
      <c r="D25" s="78">
        <f>3.14/4*4*4*('Mould Costing'!$F$10/10)</f>
        <v/>
      </c>
      <c r="E25" s="78" t="n">
        <v>0</v>
      </c>
      <c r="F25" s="78">
        <f>D25-E25</f>
        <v/>
      </c>
      <c r="G25" s="78">
        <f>VLOOKUP(C25,Table15[],2,FALSE)</f>
        <v/>
      </c>
      <c r="H25" s="78">
        <f>F25/G25</f>
        <v/>
      </c>
      <c r="I25" s="265" t="n"/>
      <c r="J25" s="265" t="n">
        <v>30</v>
      </c>
      <c r="K25" s="265" t="n">
        <v>45</v>
      </c>
      <c r="L25" s="42">
        <f>ROUNDUP((K25+H25+I25+J25)/60,0)</f>
        <v/>
      </c>
    </row>
    <row r="26">
      <c r="A26" s="342" t="n">
        <v>4</v>
      </c>
      <c r="B26" s="265" t="inlineStr">
        <is>
          <t>Tapping</t>
        </is>
      </c>
      <c r="C26" s="70" t="inlineStr">
        <is>
          <t>Radial Drilling - Reaming / Tapping</t>
        </is>
      </c>
      <c r="D26" s="78">
        <f>0.785*2*('Mould Costing'!F10/10)*4</f>
        <v/>
      </c>
      <c r="E26" s="78" t="n">
        <v>0</v>
      </c>
      <c r="F26" s="78">
        <f>D26-E26</f>
        <v/>
      </c>
      <c r="G26" s="78">
        <f>VLOOKUP(C26,Table15[],2,FALSE)</f>
        <v/>
      </c>
      <c r="H26" s="78">
        <f>F26/G26</f>
        <v/>
      </c>
      <c r="I26" s="265" t="n"/>
      <c r="J26" s="265" t="n">
        <v>30</v>
      </c>
      <c r="K26" s="265" t="n">
        <v>45</v>
      </c>
      <c r="L26" s="42">
        <f>ROUNDUP((K26+H26+I26+J26)/60,0)</f>
        <v/>
      </c>
    </row>
    <row r="27">
      <c r="A27" s="342" t="n">
        <v>5</v>
      </c>
      <c r="B27" s="265" t="inlineStr">
        <is>
          <t>Bench Work</t>
        </is>
      </c>
      <c r="C27" s="70" t="inlineStr">
        <is>
          <t>Radial Drilling - Reaming / Tapping</t>
        </is>
      </c>
      <c r="D27" s="78" t="n"/>
      <c r="E27" s="78" t="n"/>
      <c r="F27" s="78">
        <f>D27-E27</f>
        <v/>
      </c>
      <c r="G27" s="78">
        <f>VLOOKUP(C27,Table15[],2,FALSE)</f>
        <v/>
      </c>
      <c r="H27" s="78">
        <f>F27/G27</f>
        <v/>
      </c>
      <c r="I27" s="265" t="n"/>
      <c r="J27" s="265" t="n"/>
      <c r="K27" s="265" t="n"/>
      <c r="L27" s="42">
        <f>ROUNDUP((K27+H27+I27+J27)/60,0)</f>
        <v/>
      </c>
    </row>
    <row r="28">
      <c r="A28" s="342" t="n"/>
      <c r="B28" s="265" t="n"/>
      <c r="C28" s="70" t="inlineStr">
        <is>
          <t>Conv Milling - Facing</t>
        </is>
      </c>
      <c r="D28" s="265" t="n"/>
      <c r="E28" s="265" t="n"/>
      <c r="F28" s="265" t="n"/>
      <c r="G28" s="78">
        <f>VLOOKUP(C28,Table15[],2,FALSE)</f>
        <v/>
      </c>
      <c r="H28" s="265" t="n"/>
      <c r="I28" s="265" t="n"/>
      <c r="J28" s="265" t="n"/>
      <c r="K28" s="265" t="n"/>
      <c r="L28" s="42">
        <f>ROUNDUP((K28+H28+I28+J28)/60,0)</f>
        <v/>
      </c>
    </row>
    <row r="29">
      <c r="A29" s="342" t="n"/>
      <c r="B29" s="265" t="n"/>
      <c r="C29" s="70" t="inlineStr">
        <is>
          <t>Conv Milling - Facing</t>
        </is>
      </c>
      <c r="D29" s="265" t="n"/>
      <c r="E29" s="265" t="n"/>
      <c r="F29" s="265" t="n"/>
      <c r="G29" s="78">
        <f>VLOOKUP(C29,Table15[],2,FALSE)</f>
        <v/>
      </c>
      <c r="H29" s="265" t="n"/>
      <c r="I29" s="265" t="n"/>
      <c r="J29" s="265" t="n"/>
      <c r="K29" s="265" t="n"/>
      <c r="L29" s="42">
        <f>ROUNDUP((K29+H29+I29+J29)/60,0)</f>
        <v/>
      </c>
    </row>
    <row r="30">
      <c r="A30" s="342" t="n"/>
      <c r="B30" s="265" t="n"/>
      <c r="C30" s="70" t="inlineStr">
        <is>
          <t>Conv Milling - Facing</t>
        </is>
      </c>
      <c r="D30" s="265" t="n"/>
      <c r="E30" s="265" t="n"/>
      <c r="F30" s="265" t="n"/>
      <c r="G30" s="78">
        <f>VLOOKUP(C30,Table15[],2,FALSE)</f>
        <v/>
      </c>
      <c r="H30" s="265" t="n"/>
      <c r="I30" s="265" t="n"/>
      <c r="J30" s="265" t="n"/>
      <c r="K30" s="265" t="n"/>
      <c r="L30" s="42">
        <f>ROUNDUP((K30+H30+I30+J30)/60,0)</f>
        <v/>
      </c>
    </row>
    <row r="31">
      <c r="A31" s="342" t="n"/>
      <c r="B31" s="265" t="n"/>
      <c r="C31" s="70" t="inlineStr">
        <is>
          <t>Conv Milling - Facing</t>
        </is>
      </c>
      <c r="D31" s="265" t="n"/>
      <c r="E31" s="265" t="n"/>
      <c r="F31" s="265" t="n"/>
      <c r="G31" s="78">
        <f>VLOOKUP(C31,Table15[],2,FALSE)</f>
        <v/>
      </c>
      <c r="H31" s="265" t="n"/>
      <c r="I31" s="265" t="n"/>
      <c r="J31" s="265" t="n"/>
      <c r="K31" s="265" t="n"/>
      <c r="L31" s="42">
        <f>ROUNDUP((K31+H31+I31+J31)/60,0)</f>
        <v/>
      </c>
    </row>
    <row r="32">
      <c r="A32" s="342" t="n"/>
      <c r="B32" s="265" t="n"/>
      <c r="C32" s="70" t="inlineStr">
        <is>
          <t>Conv Milling - Facing</t>
        </is>
      </c>
      <c r="D32" s="265" t="n"/>
      <c r="E32" s="265" t="n"/>
      <c r="F32" s="265" t="n"/>
      <c r="G32" s="78">
        <f>VLOOKUP(C32,Table15[],2,FALSE)</f>
        <v/>
      </c>
      <c r="H32" s="265" t="n"/>
      <c r="I32" s="265" t="n"/>
      <c r="J32" s="265" t="n"/>
      <c r="K32" s="265" t="n"/>
      <c r="L32" s="42">
        <f>ROUNDUP((K32+H32+I32+J32)/60,0)</f>
        <v/>
      </c>
    </row>
    <row r="33">
      <c r="A33" s="342" t="n"/>
      <c r="B33" s="265" t="n"/>
      <c r="C33" s="70" t="inlineStr">
        <is>
          <t>Conv Milling - Facing</t>
        </is>
      </c>
      <c r="D33" s="265" t="n"/>
      <c r="E33" s="265" t="n"/>
      <c r="F33" s="265" t="n"/>
      <c r="G33" s="78">
        <f>VLOOKUP(C33,Table15[],2,FALSE)</f>
        <v/>
      </c>
      <c r="H33" s="265" t="n"/>
      <c r="I33" s="265" t="n"/>
      <c r="J33" s="265" t="n"/>
      <c r="K33" s="265" t="n"/>
      <c r="L33" s="42">
        <f>ROUNDUP((K33+H33+I33+J33)/60,0)</f>
        <v/>
      </c>
    </row>
    <row r="34">
      <c r="A34" s="342" t="n"/>
      <c r="B34" s="265" t="n"/>
      <c r="C34" s="70" t="inlineStr">
        <is>
          <t>Conv Milling - Facing</t>
        </is>
      </c>
      <c r="D34" s="265" t="n"/>
      <c r="E34" s="265" t="n"/>
      <c r="F34" s="265" t="n"/>
      <c r="G34" s="78">
        <f>VLOOKUP(C34,Table15[],2,FALSE)</f>
        <v/>
      </c>
      <c r="H34" s="265" t="n"/>
      <c r="I34" s="265" t="n"/>
      <c r="J34" s="265" t="n"/>
      <c r="K34" s="265" t="n"/>
      <c r="L34" s="42">
        <f>ROUNDUP((K34+H34+I34+J34)/60,0)</f>
        <v/>
      </c>
    </row>
    <row r="35">
      <c r="A35" s="342" t="n"/>
      <c r="B35" s="265" t="n"/>
      <c r="C35" s="70" t="inlineStr">
        <is>
          <t>Conv Milling - Facing</t>
        </is>
      </c>
      <c r="D35" s="265" t="n"/>
      <c r="E35" s="265" t="n"/>
      <c r="F35" s="265" t="n"/>
      <c r="G35" s="78">
        <f>VLOOKUP(C35,Table15[],2,FALSE)</f>
        <v/>
      </c>
      <c r="H35" s="265" t="n"/>
      <c r="I35" s="265" t="n"/>
      <c r="J35" s="265" t="n"/>
      <c r="K35" s="265" t="n"/>
      <c r="L35" s="42">
        <f>ROUNDUP((K35+H35+I35+J35)/60,0)</f>
        <v/>
      </c>
    </row>
    <row r="36">
      <c r="A36" s="342" t="n"/>
      <c r="B36" s="265" t="n"/>
      <c r="C36" s="70" t="inlineStr">
        <is>
          <t>Conv Milling - Facing</t>
        </is>
      </c>
      <c r="D36" s="265" t="n"/>
      <c r="E36" s="265" t="n"/>
      <c r="F36" s="265" t="n"/>
      <c r="G36" s="78">
        <f>VLOOKUP(C36,Table15[],2,FALSE)</f>
        <v/>
      </c>
      <c r="H36" s="265" t="n"/>
      <c r="I36" s="265" t="n"/>
      <c r="J36" s="265" t="n"/>
      <c r="K36" s="265" t="n"/>
      <c r="L36" s="42">
        <f>ROUNDUP((K36+H36+I36+J36)/60,0)</f>
        <v/>
      </c>
    </row>
    <row r="37">
      <c r="A37" s="342" t="n"/>
      <c r="B37" s="265" t="n"/>
      <c r="C37" s="70" t="inlineStr">
        <is>
          <t>Conv Milling - Facing</t>
        </is>
      </c>
      <c r="D37" s="265" t="n"/>
      <c r="E37" s="265" t="n"/>
      <c r="F37" s="265" t="n"/>
      <c r="G37" s="78">
        <f>VLOOKUP(C37,Table15[],2,FALSE)</f>
        <v/>
      </c>
      <c r="H37" s="265" t="n"/>
      <c r="I37" s="265" t="n"/>
      <c r="J37" s="265" t="n"/>
      <c r="K37" s="265" t="n"/>
      <c r="L37" s="42">
        <f>ROUNDUP((K37+H37+I37+J37)/60,0)</f>
        <v/>
      </c>
    </row>
    <row r="38">
      <c r="A38" s="457" t="n"/>
      <c r="B38" s="79" t="n"/>
      <c r="C38" s="79" t="n"/>
      <c r="D38" s="79" t="n"/>
      <c r="E38" s="79" t="n"/>
      <c r="F38" s="79" t="n"/>
      <c r="G38" s="80" t="n"/>
      <c r="H38" s="79" t="n"/>
      <c r="I38" s="79" t="n"/>
      <c r="J38" s="79" t="n"/>
      <c r="K38" s="79" t="n"/>
      <c r="L38" s="44">
        <f>ROUNDUP((K38+H38+I38+J38)/60,0)</f>
        <v/>
      </c>
    </row>
    <row r="40">
      <c r="A40" s="571" t="inlineStr">
        <is>
          <t>Spacer Block</t>
        </is>
      </c>
      <c r="C40" s="74">
        <f>SUM(L42:L57)</f>
        <v/>
      </c>
      <c r="D40" s="74" t="n"/>
      <c r="E40" s="74" t="n"/>
    </row>
    <row r="41" ht="16.5" customHeight="1" s="450">
      <c r="A41" s="75" t="inlineStr">
        <is>
          <t>Opn No</t>
        </is>
      </c>
      <c r="B41" s="76" t="inlineStr">
        <is>
          <t>Operation Name</t>
        </is>
      </c>
      <c r="C41" s="76" t="inlineStr">
        <is>
          <t>M/c Selected</t>
        </is>
      </c>
      <c r="D41" s="77" t="inlineStr">
        <is>
          <t>Initial Volume in cm3</t>
        </is>
      </c>
      <c r="E41" s="77" t="inlineStr">
        <is>
          <t>Final Volume in cm3</t>
        </is>
      </c>
      <c r="F41" s="77" t="inlineStr">
        <is>
          <t>Material to be removed in cm3</t>
        </is>
      </c>
      <c r="G41" s="77" t="inlineStr">
        <is>
          <t>Standard MRR in cm3 per min</t>
        </is>
      </c>
      <c r="H41" s="77" t="inlineStr">
        <is>
          <t>Cycle Time in Mins</t>
        </is>
      </c>
      <c r="I41" s="77" t="inlineStr">
        <is>
          <t>Programming</t>
        </is>
      </c>
      <c r="J41" s="77" t="inlineStr">
        <is>
          <t>Tool Change Time</t>
        </is>
      </c>
      <c r="K41" s="77" t="inlineStr">
        <is>
          <t>Fixture Set-up time in mins</t>
        </is>
      </c>
      <c r="L41" s="85" t="inlineStr">
        <is>
          <t>M/c Time</t>
        </is>
      </c>
    </row>
    <row r="42">
      <c r="A42" s="342" t="n">
        <v>1</v>
      </c>
      <c r="B42" s="70" t="inlineStr">
        <is>
          <t>Rough Milling - Sizing</t>
        </is>
      </c>
      <c r="C42" s="70" t="inlineStr">
        <is>
          <t>Conv Milling - Facing</t>
        </is>
      </c>
      <c r="D42" s="78">
        <f>('Mould Costing'!$D$11+30)*('Mould Costing'!$E$11+30)*('Mould Costing'!$F$11+10)/1000</f>
        <v/>
      </c>
      <c r="E42" s="78">
        <f>('Mould Costing'!$D$11)*('Mould Costing'!$E$11)*('Mould Costing'!$F$11)/1000</f>
        <v/>
      </c>
      <c r="F42" s="78">
        <f>D42-E42</f>
        <v/>
      </c>
      <c r="G42" s="78">
        <f>VLOOKUP(C42,Table15[],2,FALSE)</f>
        <v/>
      </c>
      <c r="H42" s="81">
        <f>F42/G42</f>
        <v/>
      </c>
      <c r="I42" s="265" t="n"/>
      <c r="J42" s="265" t="n">
        <v>30</v>
      </c>
      <c r="K42" s="265" t="n">
        <v>45</v>
      </c>
      <c r="L42" s="42">
        <f>ROUNDUP((K42+H42+I42+J42)/60,0)</f>
        <v/>
      </c>
    </row>
    <row r="43">
      <c r="A43" s="342" t="n">
        <v>2</v>
      </c>
      <c r="B43" s="265" t="inlineStr">
        <is>
          <t>Finishing</t>
        </is>
      </c>
      <c r="C43" s="70" t="inlineStr">
        <is>
          <t>Surface Grinding</t>
        </is>
      </c>
      <c r="D43" s="78">
        <f>('Mould Costing'!$D$11+1)*('Mould Costing'!$E$11+1)*('Mould Costing'!$F$11+1)/1000</f>
        <v/>
      </c>
      <c r="E43" s="78">
        <f>('Mould Costing'!$D$11)*('Mould Costing'!$E$11)*('Mould Costing'!$F$11)/1000</f>
        <v/>
      </c>
      <c r="F43" s="78">
        <f>D43-E43</f>
        <v/>
      </c>
      <c r="G43" s="78">
        <f>VLOOKUP(C43,Table15[],2,FALSE)</f>
        <v/>
      </c>
      <c r="H43" s="78">
        <f>F43/G43</f>
        <v/>
      </c>
      <c r="I43" s="265" t="n"/>
      <c r="J43" s="265" t="n">
        <v>30</v>
      </c>
      <c r="K43" s="265" t="n">
        <v>45</v>
      </c>
      <c r="L43" s="42">
        <f>ROUNDUP((K43+H43+I43+J43)/60,0)</f>
        <v/>
      </c>
    </row>
    <row r="44">
      <c r="A44" s="342" t="n">
        <v>3</v>
      </c>
      <c r="B44" s="265" t="inlineStr">
        <is>
          <t>Drilling - As a air vent</t>
        </is>
      </c>
      <c r="C44" s="70" t="inlineStr">
        <is>
          <t>Radial Drilling - Hole drilling</t>
        </is>
      </c>
      <c r="D44" s="78">
        <f>3.14/4*4*4*('Mould Costing'!F11/10)</f>
        <v/>
      </c>
      <c r="E44" s="265" t="n">
        <v>0</v>
      </c>
      <c r="F44" s="78">
        <f>D44-E44</f>
        <v/>
      </c>
      <c r="G44" s="78">
        <f>VLOOKUP(C44,Table15[],2,FALSE)</f>
        <v/>
      </c>
      <c r="H44" s="78">
        <f>F44/G44</f>
        <v/>
      </c>
      <c r="I44" s="265" t="n"/>
      <c r="J44" s="265" t="n">
        <v>30</v>
      </c>
      <c r="K44" s="265" t="n">
        <v>45</v>
      </c>
      <c r="L44" s="42">
        <f>ROUNDUP((K44+H44+I44+J44)/60,0)</f>
        <v/>
      </c>
    </row>
    <row r="45">
      <c r="A45" s="342" t="n">
        <v>4</v>
      </c>
      <c r="B45" s="265" t="inlineStr">
        <is>
          <t>Drilling - For Clamping</t>
        </is>
      </c>
      <c r="C45" s="70" t="inlineStr">
        <is>
          <t>Radial Drilling - Hole drilling</t>
        </is>
      </c>
      <c r="D45" s="78">
        <f>3.14/4*2*2*('Mould Costing'!F12/10)</f>
        <v/>
      </c>
      <c r="E45" s="265" t="n">
        <v>0</v>
      </c>
      <c r="F45" s="78">
        <f>D45-E45</f>
        <v/>
      </c>
      <c r="G45" s="78">
        <f>VLOOKUP(C45,Table15[],2,FALSE)</f>
        <v/>
      </c>
      <c r="H45" s="78">
        <f>F45/G45</f>
        <v/>
      </c>
      <c r="I45" s="265" t="n"/>
      <c r="J45" s="265" t="n">
        <v>30</v>
      </c>
      <c r="K45" s="265" t="n">
        <v>45</v>
      </c>
      <c r="L45" s="42">
        <f>ROUNDUP((K45+H45+I45+J45)/60,0)</f>
        <v/>
      </c>
    </row>
    <row r="46">
      <c r="A46" s="437" t="n"/>
      <c r="B46" s="265" t="n"/>
      <c r="C46" s="70" t="n"/>
      <c r="D46" s="265" t="n"/>
      <c r="E46" s="265" t="n"/>
      <c r="F46" s="265" t="n"/>
      <c r="G46" s="265" t="n"/>
      <c r="H46" s="265" t="n"/>
      <c r="I46" s="265" t="n"/>
      <c r="J46" s="265" t="n"/>
      <c r="K46" s="265" t="n"/>
      <c r="L46" s="86" t="n"/>
    </row>
    <row r="47">
      <c r="A47" s="437" t="n"/>
      <c r="B47" s="265" t="n"/>
      <c r="C47" s="70" t="n"/>
      <c r="D47" s="265" t="n"/>
      <c r="E47" s="265" t="n"/>
      <c r="F47" s="265" t="n"/>
      <c r="G47" s="265" t="n"/>
      <c r="H47" s="265" t="n"/>
      <c r="I47" s="265" t="n"/>
      <c r="J47" s="265" t="n"/>
      <c r="K47" s="265" t="n"/>
      <c r="L47" s="86" t="n"/>
    </row>
    <row r="48">
      <c r="A48" s="437" t="n"/>
      <c r="B48" s="265" t="n"/>
      <c r="C48" s="70" t="n"/>
      <c r="D48" s="265" t="n"/>
      <c r="E48" s="265" t="n"/>
      <c r="F48" s="265" t="n"/>
      <c r="G48" s="265" t="n"/>
      <c r="H48" s="265" t="n"/>
      <c r="I48" s="265" t="n"/>
      <c r="J48" s="265" t="n"/>
      <c r="K48" s="265" t="n"/>
      <c r="L48" s="86" t="n"/>
    </row>
    <row r="49">
      <c r="A49" s="437" t="n"/>
      <c r="B49" s="265" t="n"/>
      <c r="C49" s="70" t="n"/>
      <c r="D49" s="265" t="n"/>
      <c r="E49" s="265" t="n"/>
      <c r="F49" s="265" t="n"/>
      <c r="G49" s="265" t="n"/>
      <c r="H49" s="265" t="n"/>
      <c r="I49" s="265" t="n"/>
      <c r="J49" s="265" t="n"/>
      <c r="K49" s="265" t="n"/>
      <c r="L49" s="86" t="n"/>
    </row>
    <row r="50">
      <c r="A50" s="437" t="n"/>
      <c r="B50" s="265" t="n"/>
      <c r="C50" s="70" t="n"/>
      <c r="D50" s="265" t="n"/>
      <c r="E50" s="265" t="n"/>
      <c r="F50" s="265" t="n"/>
      <c r="G50" s="265" t="n"/>
      <c r="H50" s="265" t="n"/>
      <c r="I50" s="265" t="n"/>
      <c r="J50" s="265" t="n"/>
      <c r="K50" s="265" t="n"/>
      <c r="L50" s="86" t="n"/>
    </row>
    <row r="51">
      <c r="A51" s="437" t="n"/>
      <c r="B51" s="265" t="n"/>
      <c r="C51" s="70" t="n"/>
      <c r="D51" s="265" t="n"/>
      <c r="E51" s="265" t="n"/>
      <c r="F51" s="265" t="n"/>
      <c r="G51" s="265" t="n"/>
      <c r="H51" s="265" t="n"/>
      <c r="I51" s="265" t="n"/>
      <c r="J51" s="265" t="n"/>
      <c r="K51" s="265" t="n"/>
      <c r="L51" s="86" t="n"/>
    </row>
    <row r="52">
      <c r="A52" s="437" t="n"/>
      <c r="B52" s="265" t="n"/>
      <c r="C52" s="70" t="n"/>
      <c r="D52" s="265" t="n"/>
      <c r="E52" s="265" t="n"/>
      <c r="F52" s="265" t="n"/>
      <c r="G52" s="265" t="n"/>
      <c r="H52" s="265" t="n"/>
      <c r="I52" s="265" t="n"/>
      <c r="J52" s="265" t="n"/>
      <c r="K52" s="265" t="n"/>
      <c r="L52" s="86" t="n"/>
    </row>
    <row r="53">
      <c r="A53" s="437" t="n"/>
      <c r="B53" s="265" t="n"/>
      <c r="C53" s="70" t="n"/>
      <c r="D53" s="265" t="n"/>
      <c r="E53" s="265" t="n"/>
      <c r="F53" s="265" t="n"/>
      <c r="G53" s="265" t="n"/>
      <c r="H53" s="265" t="n"/>
      <c r="I53" s="265" t="n"/>
      <c r="J53" s="265" t="n"/>
      <c r="K53" s="265" t="n"/>
      <c r="L53" s="86" t="n"/>
    </row>
    <row r="54">
      <c r="A54" s="437" t="n"/>
      <c r="B54" s="265" t="n"/>
      <c r="C54" s="70" t="n"/>
      <c r="D54" s="265" t="n"/>
      <c r="E54" s="265" t="n"/>
      <c r="F54" s="265" t="n"/>
      <c r="G54" s="265" t="n"/>
      <c r="H54" s="265" t="n"/>
      <c r="I54" s="265" t="n"/>
      <c r="J54" s="265" t="n"/>
      <c r="K54" s="265" t="n"/>
      <c r="L54" s="86" t="n"/>
    </row>
    <row r="55">
      <c r="A55" s="437" t="n"/>
      <c r="B55" s="265" t="n"/>
      <c r="C55" s="70" t="n"/>
      <c r="D55" s="265" t="n"/>
      <c r="E55" s="265" t="n"/>
      <c r="F55" s="265" t="n"/>
      <c r="G55" s="265" t="n"/>
      <c r="H55" s="265" t="n"/>
      <c r="I55" s="265" t="n"/>
      <c r="J55" s="265" t="n"/>
      <c r="K55" s="265" t="n"/>
      <c r="L55" s="86" t="n"/>
    </row>
    <row r="56">
      <c r="A56" s="437" t="n"/>
      <c r="B56" s="265" t="n"/>
      <c r="C56" s="70" t="n"/>
      <c r="D56" s="265" t="n"/>
      <c r="E56" s="265" t="n"/>
      <c r="F56" s="265" t="n"/>
      <c r="G56" s="265" t="n"/>
      <c r="H56" s="265" t="n"/>
      <c r="I56" s="265" t="n"/>
      <c r="J56" s="265" t="n"/>
      <c r="K56" s="265" t="n"/>
      <c r="L56" s="86" t="n"/>
    </row>
    <row r="57">
      <c r="A57" s="457" t="n"/>
      <c r="B57" s="79" t="n"/>
      <c r="C57" s="79" t="n"/>
      <c r="D57" s="79" t="n"/>
      <c r="E57" s="79" t="n"/>
      <c r="F57" s="79" t="n"/>
      <c r="G57" s="79" t="n"/>
      <c r="H57" s="79" t="n"/>
      <c r="I57" s="79" t="n"/>
      <c r="J57" s="79" t="n"/>
      <c r="K57" s="79" t="n"/>
      <c r="L57" s="87" t="n"/>
    </row>
    <row r="59">
      <c r="A59" s="571" t="inlineStr">
        <is>
          <t>Ejector Retainer Plate</t>
        </is>
      </c>
      <c r="C59" s="74">
        <f>SUM(L61:L76)</f>
        <v/>
      </c>
      <c r="D59" s="74" t="n"/>
      <c r="E59" s="74" t="n"/>
    </row>
    <row r="60" ht="16.5" customHeight="1" s="450">
      <c r="A60" s="75" t="inlineStr">
        <is>
          <t>Opn No</t>
        </is>
      </c>
      <c r="B60" s="76" t="inlineStr">
        <is>
          <t>Operation Name</t>
        </is>
      </c>
      <c r="C60" s="76" t="inlineStr">
        <is>
          <t>M/c Selected</t>
        </is>
      </c>
      <c r="D60" s="77" t="inlineStr">
        <is>
          <t>Initial Volume in cm3</t>
        </is>
      </c>
      <c r="E60" s="77" t="inlineStr">
        <is>
          <t>Final Volume in cm3</t>
        </is>
      </c>
      <c r="F60" s="77" t="inlineStr">
        <is>
          <t>Material to be removed in cm3</t>
        </is>
      </c>
      <c r="G60" s="77" t="inlineStr">
        <is>
          <t>Standard MRR in cm3 per min</t>
        </is>
      </c>
      <c r="H60" s="77" t="inlineStr">
        <is>
          <t>Cycle Time in Mins</t>
        </is>
      </c>
      <c r="I60" s="77" t="inlineStr">
        <is>
          <t>Programming</t>
        </is>
      </c>
      <c r="J60" s="77" t="inlineStr">
        <is>
          <t>Tool Change Time</t>
        </is>
      </c>
      <c r="K60" s="77" t="inlineStr">
        <is>
          <t>Fixture Set-up time in mins</t>
        </is>
      </c>
      <c r="L60" s="85" t="inlineStr">
        <is>
          <t>M/c Time</t>
        </is>
      </c>
    </row>
    <row r="61">
      <c r="A61" s="342" t="n">
        <v>1</v>
      </c>
      <c r="B61" s="70" t="inlineStr">
        <is>
          <t>Rough Milling - Sizing</t>
        </is>
      </c>
      <c r="C61" s="70" t="inlineStr">
        <is>
          <t>Conv Milling - Facing</t>
        </is>
      </c>
      <c r="D61" s="78">
        <f>('Mould Costing'!$D$12+10)*('Mould Costing'!$E$12+10)*('Mould Costing'!$F$12+10)/1000</f>
        <v/>
      </c>
      <c r="E61" s="78">
        <f>('Mould Costing'!$D$12)*('Mould Costing'!$E$12)*('Mould Costing'!$F$12)/1000</f>
        <v/>
      </c>
      <c r="F61" s="78">
        <f>D61-E61</f>
        <v/>
      </c>
      <c r="G61" s="78">
        <f>VLOOKUP(C61,Table15[],2,FALSE)</f>
        <v/>
      </c>
      <c r="H61" s="81">
        <f>F61/G61</f>
        <v/>
      </c>
      <c r="I61" s="265" t="n"/>
      <c r="J61" s="265" t="n">
        <v>30</v>
      </c>
      <c r="K61" s="265" t="n">
        <v>45</v>
      </c>
      <c r="L61" s="42">
        <f>ROUNDUP((K61+H61+I61+J61)/60,0)</f>
        <v/>
      </c>
    </row>
    <row r="62">
      <c r="A62" s="342" t="n">
        <v>2</v>
      </c>
      <c r="B62" s="265" t="inlineStr">
        <is>
          <t>Finishing</t>
        </is>
      </c>
      <c r="C62" s="70" t="inlineStr">
        <is>
          <t>Surface Grinding</t>
        </is>
      </c>
      <c r="D62" s="78">
        <f>('Mould Costing'!$D$12+1)*('Mould Costing'!$E$12+1)*('Mould Costing'!$F$12+1)/1000</f>
        <v/>
      </c>
      <c r="E62" s="78">
        <f>('Mould Costing'!$D$12)*('Mould Costing'!$E$12)*('Mould Costing'!$F$12)/1000</f>
        <v/>
      </c>
      <c r="F62" s="78">
        <f>D62-E62</f>
        <v/>
      </c>
      <c r="G62" s="78">
        <f>VLOOKUP(C62,Table15[],2,FALSE)</f>
        <v/>
      </c>
      <c r="H62" s="78">
        <f>F62/G62</f>
        <v/>
      </c>
      <c r="I62" s="265" t="n"/>
      <c r="J62" s="265" t="n">
        <v>30</v>
      </c>
      <c r="K62" s="265" t="n">
        <v>45</v>
      </c>
      <c r="L62" s="42">
        <f>ROUNDUP((K62+H62+I62+J62)/60,0)</f>
        <v/>
      </c>
    </row>
    <row r="63">
      <c r="A63" s="342" t="n">
        <v>3</v>
      </c>
      <c r="B63" s="265" t="inlineStr">
        <is>
          <t>Drilling - For Ejector Pins</t>
        </is>
      </c>
      <c r="C63" s="70" t="inlineStr">
        <is>
          <t>Radial Drilling - Hole drilling</t>
        </is>
      </c>
      <c r="D63" s="78">
        <f>3.14*1.5*1.5*('Mould Costing'!F12/10)*4</f>
        <v/>
      </c>
      <c r="E63" s="265" t="n">
        <v>0</v>
      </c>
      <c r="F63" s="78">
        <f>D63-E63</f>
        <v/>
      </c>
      <c r="G63" s="78">
        <f>VLOOKUP(C63,Table15[],2,FALSE)</f>
        <v/>
      </c>
      <c r="H63" s="78">
        <f>F63/G63</f>
        <v/>
      </c>
      <c r="I63" s="265" t="n"/>
      <c r="J63" s="265" t="n">
        <v>30</v>
      </c>
      <c r="K63" s="265" t="n">
        <v>45</v>
      </c>
      <c r="L63" s="42">
        <f>ROUNDUP((K63+H63+I63+J63)/60,0)</f>
        <v/>
      </c>
    </row>
    <row r="64">
      <c r="A64" s="342" t="n">
        <v>4</v>
      </c>
      <c r="B64" s="265" t="inlineStr">
        <is>
          <t>Boring - For Ejector Pins Collar</t>
        </is>
      </c>
      <c r="C64" s="70" t="inlineStr">
        <is>
          <t>Conv Milling - End Milling</t>
        </is>
      </c>
      <c r="D64" s="78">
        <f>3.14/4*2*2*1*4</f>
        <v/>
      </c>
      <c r="E64" s="265" t="n">
        <v>0</v>
      </c>
      <c r="F64" s="78">
        <f>D64-E64</f>
        <v/>
      </c>
      <c r="G64" s="78">
        <f>VLOOKUP(C64,Table15[],2,FALSE)</f>
        <v/>
      </c>
      <c r="H64" s="78">
        <f>F64/G64</f>
        <v/>
      </c>
      <c r="I64" s="265" t="n"/>
      <c r="J64" s="265" t="n">
        <v>30</v>
      </c>
      <c r="K64" s="265" t="n">
        <v>45</v>
      </c>
      <c r="L64" s="42">
        <f>ROUNDUP((K64+H64+I64+J64)/60,0)</f>
        <v/>
      </c>
    </row>
    <row r="65">
      <c r="A65" s="342" t="n">
        <v>5</v>
      </c>
      <c r="B65" s="265" t="inlineStr">
        <is>
          <t>Tapping</t>
        </is>
      </c>
      <c r="C65" s="70" t="inlineStr">
        <is>
          <t>Radial Drilling - Reaming / Tapping</t>
        </is>
      </c>
      <c r="D65" s="78">
        <f>0.785*0.6*0.6*'Mould Costing'!F12</f>
        <v/>
      </c>
      <c r="E65" s="265" t="n">
        <v>0</v>
      </c>
      <c r="F65" s="78">
        <f>D65-E65</f>
        <v/>
      </c>
      <c r="G65" s="78">
        <f>VLOOKUP(C65,Table15[],2,FALSE)</f>
        <v/>
      </c>
      <c r="H65" s="78">
        <f>F65/G65</f>
        <v/>
      </c>
      <c r="I65" s="265" t="n"/>
      <c r="J65" s="265" t="n">
        <v>30</v>
      </c>
      <c r="K65" s="265" t="n">
        <v>45</v>
      </c>
      <c r="L65" s="42">
        <f>ROUNDUP((K65+H65+I65+J65)/60,0)</f>
        <v/>
      </c>
    </row>
    <row r="66">
      <c r="A66" s="437" t="n">
        <v>6</v>
      </c>
      <c r="B66" s="265" t="inlineStr">
        <is>
          <t>EJector pin Hole</t>
        </is>
      </c>
      <c r="C66" s="70" t="inlineStr">
        <is>
          <t>CNC EDM</t>
        </is>
      </c>
      <c r="D66" s="78">
        <f>50%*D63</f>
        <v/>
      </c>
      <c r="E66" s="265" t="n">
        <v>0</v>
      </c>
      <c r="F66" s="78">
        <f>D66-E66</f>
        <v/>
      </c>
      <c r="G66" s="78">
        <f>VLOOKUP(C66,Table15[],2,FALSE)</f>
        <v/>
      </c>
      <c r="H66" s="78">
        <f>F66/G66</f>
        <v/>
      </c>
      <c r="I66" s="265" t="n">
        <v>30</v>
      </c>
      <c r="J66" s="265" t="n"/>
      <c r="K66" s="265" t="n"/>
      <c r="L66" s="42">
        <f>ROUNDUP((K66+H66+I66+J66)/60,0)</f>
        <v/>
      </c>
    </row>
    <row r="67">
      <c r="A67" s="437" t="n"/>
      <c r="B67" s="265" t="n"/>
      <c r="C67" s="70" t="n"/>
      <c r="D67" s="265" t="n"/>
      <c r="E67" s="265" t="n"/>
      <c r="F67" s="78">
        <f>D67-E67</f>
        <v/>
      </c>
      <c r="G67" s="78">
        <f>VLOOKUP(C67,Table15[],2,FALSE)</f>
        <v/>
      </c>
      <c r="H67" s="78">
        <f>F67/G67</f>
        <v/>
      </c>
      <c r="I67" s="265" t="n"/>
      <c r="J67" s="265" t="n"/>
      <c r="K67" s="265" t="n"/>
      <c r="L67" s="42">
        <f>ROUNDUP((K67+H67+I67+J67)/60,0)</f>
        <v/>
      </c>
    </row>
    <row r="68">
      <c r="A68" s="437" t="n"/>
      <c r="B68" s="265" t="n"/>
      <c r="C68" s="70" t="n"/>
      <c r="D68" s="265" t="n"/>
      <c r="E68" s="265" t="n"/>
      <c r="F68" s="78">
        <f>D68-E68</f>
        <v/>
      </c>
      <c r="G68" s="78">
        <f>VLOOKUP(C68,Table15[],2,FALSE)</f>
        <v/>
      </c>
      <c r="H68" s="78">
        <f>F68/G68</f>
        <v/>
      </c>
      <c r="I68" s="265" t="n"/>
      <c r="J68" s="265" t="n"/>
      <c r="K68" s="265" t="n"/>
      <c r="L68" s="42">
        <f>ROUNDUP((K68+H68+I68+J68)/60,0)</f>
        <v/>
      </c>
    </row>
    <row r="69">
      <c r="A69" s="437" t="n"/>
      <c r="B69" s="265" t="n"/>
      <c r="C69" s="70" t="n"/>
      <c r="D69" s="265" t="n"/>
      <c r="E69" s="265" t="n"/>
      <c r="F69" s="78">
        <f>D69-E69</f>
        <v/>
      </c>
      <c r="G69" s="78">
        <f>VLOOKUP(C69,Table15[],2,FALSE)</f>
        <v/>
      </c>
      <c r="H69" s="78">
        <f>F69/G69</f>
        <v/>
      </c>
      <c r="I69" s="265" t="n"/>
      <c r="J69" s="265" t="n"/>
      <c r="K69" s="265" t="n"/>
      <c r="L69" s="42">
        <f>ROUNDUP((K69+H69+I69+J69)/60,0)</f>
        <v/>
      </c>
    </row>
    <row r="70">
      <c r="A70" s="437" t="n"/>
      <c r="B70" s="265" t="n"/>
      <c r="C70" s="70" t="n"/>
      <c r="D70" s="265" t="n"/>
      <c r="E70" s="265" t="n"/>
      <c r="F70" s="78">
        <f>D70-E70</f>
        <v/>
      </c>
      <c r="G70" s="78">
        <f>VLOOKUP(C70,Table15[],2,FALSE)</f>
        <v/>
      </c>
      <c r="H70" s="78">
        <f>F70/G70</f>
        <v/>
      </c>
      <c r="I70" s="265" t="n"/>
      <c r="J70" s="265" t="n"/>
      <c r="K70" s="265" t="n"/>
      <c r="L70" s="42">
        <f>ROUNDUP((K70+H70+I70+J70)/60,0)</f>
        <v/>
      </c>
    </row>
    <row r="71">
      <c r="A71" s="437" t="n"/>
      <c r="B71" s="265" t="n"/>
      <c r="C71" s="70" t="n"/>
      <c r="D71" s="265" t="n"/>
      <c r="E71" s="265" t="n"/>
      <c r="F71" s="78">
        <f>D71-E71</f>
        <v/>
      </c>
      <c r="G71" s="78">
        <f>VLOOKUP(C71,Table15[],2,FALSE)</f>
        <v/>
      </c>
      <c r="H71" s="78">
        <f>F71/G71</f>
        <v/>
      </c>
      <c r="I71" s="265" t="n"/>
      <c r="J71" s="265" t="n"/>
      <c r="K71" s="265" t="n"/>
      <c r="L71" s="42">
        <f>ROUNDUP((K71+H71+I71+J71)/60,0)</f>
        <v/>
      </c>
    </row>
    <row r="72">
      <c r="A72" s="437" t="n"/>
      <c r="B72" s="265" t="n"/>
      <c r="C72" s="70" t="n"/>
      <c r="D72" s="265" t="n"/>
      <c r="E72" s="265" t="n"/>
      <c r="F72" s="78">
        <f>D72-E72</f>
        <v/>
      </c>
      <c r="G72" s="78">
        <f>VLOOKUP(C72,Table15[],2,FALSE)</f>
        <v/>
      </c>
      <c r="H72" s="78">
        <f>F72/G72</f>
        <v/>
      </c>
      <c r="I72" s="265" t="n"/>
      <c r="J72" s="265" t="n"/>
      <c r="K72" s="265" t="n"/>
      <c r="L72" s="42">
        <f>ROUNDUP((K72+H72+I72+J72)/60,0)</f>
        <v/>
      </c>
    </row>
    <row r="73">
      <c r="A73" s="437" t="n"/>
      <c r="B73" s="265" t="n"/>
      <c r="C73" s="70" t="n"/>
      <c r="D73" s="265" t="n"/>
      <c r="E73" s="265" t="n"/>
      <c r="F73" s="78">
        <f>D73-E73</f>
        <v/>
      </c>
      <c r="G73" s="78">
        <f>VLOOKUP(C73,Table15[],2,FALSE)</f>
        <v/>
      </c>
      <c r="H73" s="78">
        <f>F73/G73</f>
        <v/>
      </c>
      <c r="I73" s="265" t="n"/>
      <c r="J73" s="265" t="n"/>
      <c r="K73" s="265" t="n"/>
      <c r="L73" s="42">
        <f>ROUNDUP((K73+H73+I73+J73)/60,0)</f>
        <v/>
      </c>
    </row>
    <row r="74">
      <c r="A74" s="437" t="n"/>
      <c r="B74" s="265" t="n"/>
      <c r="C74" s="70" t="n"/>
      <c r="D74" s="265" t="n"/>
      <c r="E74" s="265" t="n"/>
      <c r="F74" s="78">
        <f>D74-E74</f>
        <v/>
      </c>
      <c r="G74" s="78">
        <f>VLOOKUP(C74,Table15[],2,FALSE)</f>
        <v/>
      </c>
      <c r="H74" s="78">
        <f>F74/G74</f>
        <v/>
      </c>
      <c r="I74" s="265" t="n"/>
      <c r="J74" s="265" t="n"/>
      <c r="K74" s="265" t="n"/>
      <c r="L74" s="42">
        <f>ROUNDUP((K74+H74+I74+J74)/60,0)</f>
        <v/>
      </c>
    </row>
    <row r="75">
      <c r="A75" s="437" t="n"/>
      <c r="B75" s="265" t="n"/>
      <c r="C75" s="70" t="n"/>
      <c r="D75" s="265" t="n"/>
      <c r="E75" s="265" t="n"/>
      <c r="F75" s="78">
        <f>D75-E75</f>
        <v/>
      </c>
      <c r="G75" s="78">
        <f>VLOOKUP(C75,Table15[],2,FALSE)</f>
        <v/>
      </c>
      <c r="H75" s="78">
        <f>F75/G75</f>
        <v/>
      </c>
      <c r="I75" s="265" t="n"/>
      <c r="J75" s="265" t="n"/>
      <c r="K75" s="265" t="n"/>
      <c r="L75" s="42">
        <f>ROUNDUP((K75+H75+I75+J75)/60,0)</f>
        <v/>
      </c>
    </row>
    <row r="76">
      <c r="A76" s="457" t="n"/>
      <c r="B76" s="79" t="n"/>
      <c r="C76" s="79" t="n"/>
      <c r="D76" s="79" t="n"/>
      <c r="E76" s="79" t="n"/>
      <c r="F76" s="78">
        <f>D76-E76</f>
        <v/>
      </c>
      <c r="G76" s="78">
        <f>VLOOKUP(C76,Table15[],2,FALSE)</f>
        <v/>
      </c>
      <c r="H76" s="78">
        <f>F76/G76</f>
        <v/>
      </c>
      <c r="I76" s="79" t="n"/>
      <c r="J76" s="79" t="n"/>
      <c r="K76" s="79" t="n"/>
      <c r="L76" s="42">
        <f>ROUNDUP((K76+H76+I76+J76)/60,0)</f>
        <v/>
      </c>
    </row>
    <row r="78">
      <c r="A78" s="571" t="inlineStr">
        <is>
          <t>Ejector Back Plate</t>
        </is>
      </c>
      <c r="C78" s="74">
        <f>SUM(L80:L95)</f>
        <v/>
      </c>
      <c r="D78" s="74" t="n"/>
      <c r="E78" s="74" t="n"/>
    </row>
    <row r="79" ht="16.5" customHeight="1" s="450">
      <c r="A79" s="75" t="inlineStr">
        <is>
          <t>Opn No</t>
        </is>
      </c>
      <c r="B79" s="76" t="inlineStr">
        <is>
          <t>Operation Name</t>
        </is>
      </c>
      <c r="C79" s="76" t="inlineStr">
        <is>
          <t>M/c Selected</t>
        </is>
      </c>
      <c r="D79" s="77" t="inlineStr">
        <is>
          <t>Initial Volume in cm3</t>
        </is>
      </c>
      <c r="E79" s="77" t="inlineStr">
        <is>
          <t>Final Volume in cm3</t>
        </is>
      </c>
      <c r="F79" s="77" t="inlineStr">
        <is>
          <t>Material to be removed in m3</t>
        </is>
      </c>
      <c r="G79" s="77" t="inlineStr">
        <is>
          <t>Standard MRR in cm3 per min</t>
        </is>
      </c>
      <c r="H79" s="77" t="inlineStr">
        <is>
          <t>Cycle Time in Mins</t>
        </is>
      </c>
      <c r="I79" s="77" t="inlineStr">
        <is>
          <t>Programming</t>
        </is>
      </c>
      <c r="J79" s="77" t="inlineStr">
        <is>
          <t>Tool Change Time</t>
        </is>
      </c>
      <c r="K79" s="77" t="inlineStr">
        <is>
          <t>Fixture Set-up time in mins</t>
        </is>
      </c>
      <c r="L79" s="85" t="inlineStr">
        <is>
          <t>M/c Time</t>
        </is>
      </c>
    </row>
    <row r="80">
      <c r="A80" s="342" t="n">
        <v>1</v>
      </c>
      <c r="B80" s="70" t="inlineStr">
        <is>
          <t>Rough Milling - Sizing</t>
        </is>
      </c>
      <c r="C80" s="70" t="inlineStr">
        <is>
          <t>Conv Milling - Facing</t>
        </is>
      </c>
      <c r="D80" s="78">
        <f>('Mould Costing'!$D$13+10)*('Mould Costing'!$E$13+10)*('Mould Costing'!$F$13+10)/1000</f>
        <v/>
      </c>
      <c r="E80" s="78">
        <f>('Mould Costing'!$D$13)*('Mould Costing'!$E$13)*('Mould Costing'!$F$13)/1000</f>
        <v/>
      </c>
      <c r="F80" s="78">
        <f>D80-E80</f>
        <v/>
      </c>
      <c r="G80" s="78">
        <f>VLOOKUP(C80,Table15[],2,FALSE)</f>
        <v/>
      </c>
      <c r="H80" s="81">
        <f>F80/G80</f>
        <v/>
      </c>
      <c r="I80" s="265" t="n"/>
      <c r="J80" s="265" t="n">
        <v>30</v>
      </c>
      <c r="K80" s="265" t="n">
        <v>45</v>
      </c>
      <c r="L80" s="42">
        <f>ROUNDUP((K80+H80+I80+J80)/60,0)</f>
        <v/>
      </c>
    </row>
    <row r="81">
      <c r="A81" s="342" t="n">
        <v>2</v>
      </c>
      <c r="B81" s="265" t="inlineStr">
        <is>
          <t>Finishing</t>
        </is>
      </c>
      <c r="C81" s="70" t="inlineStr">
        <is>
          <t>Surface Grinding</t>
        </is>
      </c>
      <c r="D81" s="78">
        <f>('Mould Costing'!$D$13+1)*('Mould Costing'!$E$13+1)*('Mould Costing'!$F$13+1)/1000</f>
        <v/>
      </c>
      <c r="E81" s="78">
        <f>('Mould Costing'!$D$13)*('Mould Costing'!$E$13)*('Mould Costing'!$F$13)/1000</f>
        <v/>
      </c>
      <c r="F81" s="78">
        <f>D81-E81</f>
        <v/>
      </c>
      <c r="G81" s="78">
        <f>VLOOKUP(C81,Table15[],2,FALSE)</f>
        <v/>
      </c>
      <c r="H81" s="78">
        <f>F81/G81</f>
        <v/>
      </c>
      <c r="I81" s="265" t="n"/>
      <c r="J81" s="265" t="n">
        <v>30</v>
      </c>
      <c r="K81" s="265" t="n">
        <v>45</v>
      </c>
      <c r="L81" s="42">
        <f>ROUNDUP((K81+H81+I81+J81)/60,0)</f>
        <v/>
      </c>
    </row>
    <row r="82">
      <c r="A82" s="342" t="n">
        <v>3</v>
      </c>
      <c r="B82" s="265" t="inlineStr">
        <is>
          <t>Drilling - For Allen Screw</t>
        </is>
      </c>
      <c r="C82" s="70" t="inlineStr">
        <is>
          <t>Radial Drilling - Hole drilling</t>
        </is>
      </c>
      <c r="D82" s="78">
        <f>3.14*1.5*1.5*('Mould Costing'!F13/10)*4</f>
        <v/>
      </c>
      <c r="E82" s="265" t="n">
        <v>0</v>
      </c>
      <c r="F82" s="78">
        <f>D82-E82</f>
        <v/>
      </c>
      <c r="G82" s="78">
        <f>VLOOKUP(C82,Table15[],2,FALSE)</f>
        <v/>
      </c>
      <c r="H82" s="78">
        <f>F82/G82</f>
        <v/>
      </c>
      <c r="I82" s="265" t="n"/>
      <c r="J82" s="265" t="n">
        <v>30</v>
      </c>
      <c r="K82" s="265" t="n">
        <v>45</v>
      </c>
      <c r="L82" s="42">
        <f>ROUNDUP((K82+H82+I82+J82)/60,0)</f>
        <v/>
      </c>
    </row>
    <row r="83">
      <c r="A83" s="342" t="n">
        <v>4</v>
      </c>
      <c r="B83" s="265" t="inlineStr">
        <is>
          <t>Boring - For Allen Screw</t>
        </is>
      </c>
      <c r="C83" s="70" t="inlineStr">
        <is>
          <t>Conv Milling - End Milling</t>
        </is>
      </c>
      <c r="D83" s="78">
        <f>3.14*2*2*1*4</f>
        <v/>
      </c>
      <c r="E83" s="265" t="n">
        <v>0</v>
      </c>
      <c r="F83" s="78">
        <f>D83-E83</f>
        <v/>
      </c>
      <c r="G83" s="78">
        <f>VLOOKUP(C83,Table15[],2,FALSE)</f>
        <v/>
      </c>
      <c r="H83" s="78">
        <f>F83/G83</f>
        <v/>
      </c>
      <c r="I83" s="265" t="n"/>
      <c r="J83" s="265" t="n">
        <v>30</v>
      </c>
      <c r="K83" s="265" t="n">
        <v>45</v>
      </c>
      <c r="L83" s="42">
        <f>ROUNDUP((K83+H83+I83+J83)/60,0)</f>
        <v/>
      </c>
    </row>
    <row r="84">
      <c r="A84" s="437" t="n"/>
      <c r="B84" s="265" t="n"/>
      <c r="C84" s="70" t="n"/>
      <c r="D84" s="265" t="n"/>
      <c r="E84" s="265" t="n"/>
      <c r="F84" s="265" t="n"/>
      <c r="G84" s="265" t="n"/>
      <c r="H84" s="265" t="n"/>
      <c r="I84" s="265" t="n"/>
      <c r="J84" s="265" t="n"/>
      <c r="K84" s="265" t="n"/>
      <c r="L84" s="86" t="n"/>
    </row>
    <row r="85">
      <c r="A85" s="437" t="n"/>
      <c r="B85" s="265" t="n"/>
      <c r="C85" s="70" t="n"/>
      <c r="D85" s="265" t="n"/>
      <c r="E85" s="265" t="n"/>
      <c r="F85" s="265" t="n"/>
      <c r="G85" s="265" t="n"/>
      <c r="H85" s="265" t="n"/>
      <c r="I85" s="265" t="n"/>
      <c r="J85" s="265" t="n"/>
      <c r="K85" s="265" t="n"/>
      <c r="L85" s="86" t="n"/>
    </row>
    <row r="86">
      <c r="A86" s="437" t="n"/>
      <c r="B86" s="265" t="n"/>
      <c r="C86" s="70" t="n"/>
      <c r="D86" s="265" t="n"/>
      <c r="E86" s="265" t="n"/>
      <c r="F86" s="265" t="n"/>
      <c r="G86" s="265" t="n"/>
      <c r="H86" s="265" t="n"/>
      <c r="I86" s="265" t="n"/>
      <c r="J86" s="265" t="n"/>
      <c r="K86" s="265" t="n"/>
      <c r="L86" s="86" t="n"/>
    </row>
    <row r="87">
      <c r="A87" s="437" t="n"/>
      <c r="B87" s="265" t="n"/>
      <c r="C87" s="70" t="n"/>
      <c r="D87" s="265" t="n"/>
      <c r="E87" s="265" t="n"/>
      <c r="F87" s="265" t="n"/>
      <c r="G87" s="265" t="n"/>
      <c r="H87" s="265" t="n"/>
      <c r="I87" s="265" t="n"/>
      <c r="J87" s="265" t="n"/>
      <c r="K87" s="265" t="n"/>
      <c r="L87" s="86" t="n"/>
    </row>
    <row r="88">
      <c r="A88" s="437" t="n"/>
      <c r="B88" s="265" t="n"/>
      <c r="C88" s="70" t="n"/>
      <c r="D88" s="265" t="n"/>
      <c r="E88" s="265" t="n"/>
      <c r="F88" s="265" t="n"/>
      <c r="G88" s="265" t="n"/>
      <c r="H88" s="265" t="n"/>
      <c r="I88" s="265" t="n"/>
      <c r="J88" s="265" t="n"/>
      <c r="K88" s="265" t="n"/>
      <c r="L88" s="86" t="n"/>
    </row>
    <row r="89">
      <c r="A89" s="437" t="n"/>
      <c r="B89" s="265" t="n"/>
      <c r="C89" s="70" t="n"/>
      <c r="D89" s="265" t="n"/>
      <c r="E89" s="265" t="n"/>
      <c r="F89" s="265" t="n"/>
      <c r="G89" s="265" t="n"/>
      <c r="H89" s="265" t="n"/>
      <c r="I89" s="265" t="n"/>
      <c r="J89" s="265" t="n"/>
      <c r="K89" s="265" t="n"/>
      <c r="L89" s="86" t="n"/>
    </row>
    <row r="90">
      <c r="A90" s="437" t="n"/>
      <c r="B90" s="265" t="n"/>
      <c r="C90" s="70" t="n"/>
      <c r="D90" s="265" t="n"/>
      <c r="E90" s="265" t="n"/>
      <c r="F90" s="265" t="n"/>
      <c r="G90" s="265" t="n"/>
      <c r="H90" s="265" t="n"/>
      <c r="I90" s="265" t="n"/>
      <c r="J90" s="265" t="n"/>
      <c r="K90" s="265" t="n"/>
      <c r="L90" s="86" t="n"/>
    </row>
    <row r="91">
      <c r="A91" s="437" t="n"/>
      <c r="B91" s="265" t="n"/>
      <c r="C91" s="70" t="n"/>
      <c r="D91" s="265" t="n"/>
      <c r="E91" s="265" t="n"/>
      <c r="F91" s="265" t="n"/>
      <c r="G91" s="265" t="n"/>
      <c r="H91" s="265" t="n"/>
      <c r="I91" s="265" t="n"/>
      <c r="J91" s="265" t="n"/>
      <c r="K91" s="265" t="n"/>
      <c r="L91" s="86" t="n"/>
    </row>
    <row r="92">
      <c r="A92" s="437" t="n"/>
      <c r="B92" s="265" t="n"/>
      <c r="C92" s="70" t="n"/>
      <c r="D92" s="265" t="n"/>
      <c r="E92" s="265" t="n"/>
      <c r="F92" s="265" t="n"/>
      <c r="G92" s="265" t="n"/>
      <c r="H92" s="265" t="n"/>
      <c r="I92" s="265" t="n"/>
      <c r="J92" s="265" t="n"/>
      <c r="K92" s="265" t="n"/>
      <c r="L92" s="86" t="n"/>
    </row>
    <row r="93">
      <c r="A93" s="437" t="n"/>
      <c r="B93" s="265" t="n"/>
      <c r="C93" s="70" t="n"/>
      <c r="D93" s="265" t="n"/>
      <c r="E93" s="265" t="n"/>
      <c r="F93" s="265" t="n"/>
      <c r="G93" s="265" t="n"/>
      <c r="H93" s="265" t="n"/>
      <c r="I93" s="265" t="n"/>
      <c r="J93" s="265" t="n"/>
      <c r="K93" s="265" t="n"/>
      <c r="L93" s="86" t="n"/>
    </row>
    <row r="94">
      <c r="A94" s="437" t="n"/>
      <c r="B94" s="265" t="n"/>
      <c r="C94" s="70" t="n"/>
      <c r="D94" s="265" t="n"/>
      <c r="E94" s="265" t="n"/>
      <c r="F94" s="265" t="n"/>
      <c r="G94" s="265" t="n"/>
      <c r="H94" s="265" t="n"/>
      <c r="I94" s="265" t="n"/>
      <c r="J94" s="265" t="n"/>
      <c r="K94" s="265" t="n"/>
      <c r="L94" s="86" t="n"/>
    </row>
    <row r="95">
      <c r="A95" s="457" t="n"/>
      <c r="B95" s="79" t="n"/>
      <c r="C95" s="79" t="n"/>
      <c r="D95" s="79" t="n"/>
      <c r="E95" s="79" t="n"/>
      <c r="F95" s="79" t="n"/>
      <c r="G95" s="79" t="n"/>
      <c r="H95" s="79" t="n"/>
      <c r="I95" s="79" t="n"/>
      <c r="J95" s="79" t="n"/>
      <c r="K95" s="79" t="n"/>
      <c r="L95" s="87" t="n"/>
    </row>
    <row r="97">
      <c r="A97" s="571" t="inlineStr">
        <is>
          <t>Cavity Plate</t>
        </is>
      </c>
      <c r="C97" s="74">
        <f>SUM(L99:L115)</f>
        <v/>
      </c>
      <c r="D97" s="74" t="n"/>
      <c r="E97" s="74" t="n"/>
    </row>
    <row r="98" ht="16.5" customHeight="1" s="450">
      <c r="A98" s="75" t="inlineStr">
        <is>
          <t>Opn No</t>
        </is>
      </c>
      <c r="B98" s="76" t="inlineStr">
        <is>
          <t>Operation Name</t>
        </is>
      </c>
      <c r="C98" s="76" t="inlineStr">
        <is>
          <t>M/c Selected</t>
        </is>
      </c>
      <c r="D98" s="77" t="inlineStr">
        <is>
          <t>Initial Volume in cm3</t>
        </is>
      </c>
      <c r="E98" s="77" t="inlineStr">
        <is>
          <t>Final Volume in cm3</t>
        </is>
      </c>
      <c r="F98" s="77" t="inlineStr">
        <is>
          <t>Material to be removed in cm3</t>
        </is>
      </c>
      <c r="G98" s="77" t="inlineStr">
        <is>
          <t>Standard MRR in cm3 per min</t>
        </is>
      </c>
      <c r="H98" s="77" t="inlineStr">
        <is>
          <t>Cycle Time in Mins</t>
        </is>
      </c>
      <c r="I98" s="77" t="inlineStr">
        <is>
          <t>Programming</t>
        </is>
      </c>
      <c r="J98" s="77" t="inlineStr">
        <is>
          <t>Tool Change Time</t>
        </is>
      </c>
      <c r="K98" s="77" t="inlineStr">
        <is>
          <t>Fixture Set-up time in mins</t>
        </is>
      </c>
      <c r="L98" s="85" t="inlineStr">
        <is>
          <t>M/c Time</t>
        </is>
      </c>
    </row>
    <row r="99">
      <c r="A99" s="342" t="n">
        <v>1</v>
      </c>
      <c r="B99" s="70" t="inlineStr">
        <is>
          <t>Rough Milling - Sizing</t>
        </is>
      </c>
      <c r="C99" s="70" t="inlineStr">
        <is>
          <t>Conv Milling - Facing</t>
        </is>
      </c>
      <c r="D99" s="78">
        <f>('Mould Costing'!$D$14+10)*('Mould Costing'!$E$14+10)*('Mould Costing'!$F$14+10)/1000</f>
        <v/>
      </c>
      <c r="E99" s="78">
        <f>('Mould Costing'!$D$14)*('Mould Costing'!$E$14)*('Mould Costing'!$F$14)/1000</f>
        <v/>
      </c>
      <c r="F99" s="78">
        <f>D99-E99</f>
        <v/>
      </c>
      <c r="G99" s="78">
        <f>VLOOKUP(C99,Table15[],2,FALSE)</f>
        <v/>
      </c>
      <c r="H99" s="81">
        <f>F99/G99</f>
        <v/>
      </c>
      <c r="I99" s="265" t="n"/>
      <c r="J99" s="265" t="n">
        <v>30</v>
      </c>
      <c r="K99" s="265" t="n">
        <v>60</v>
      </c>
      <c r="L99" s="42">
        <f>ROUNDUP((K99+H99+I99+J99)/60,0)</f>
        <v/>
      </c>
    </row>
    <row r="100">
      <c r="A100" s="342" t="n">
        <v>2</v>
      </c>
      <c r="B100" s="265" t="inlineStr">
        <is>
          <t>Finishing</t>
        </is>
      </c>
      <c r="C100" s="70" t="inlineStr">
        <is>
          <t>Surface Grinding</t>
        </is>
      </c>
      <c r="D100" s="78">
        <f>('Mould Costing'!$D$14+1)*('Mould Costing'!$E$14+1)*('Mould Costing'!$F$14+1)/1000</f>
        <v/>
      </c>
      <c r="E100" s="78">
        <f>('Mould Costing'!$D$14)*('Mould Costing'!$E$14)*('Mould Costing'!$F$14)/1000</f>
        <v/>
      </c>
      <c r="F100" s="78">
        <f>D100-E100</f>
        <v/>
      </c>
      <c r="G100" s="78">
        <f>VLOOKUP(C100,Table15[],2,FALSE)</f>
        <v/>
      </c>
      <c r="H100" s="81">
        <f>F100/G100</f>
        <v/>
      </c>
      <c r="I100" s="265" t="n"/>
      <c r="J100" s="265" t="n">
        <v>30</v>
      </c>
      <c r="K100" s="265" t="n">
        <v>60</v>
      </c>
      <c r="L100" s="42">
        <f>ROUNDUP((K100+H100+I100+J100)/60,0)</f>
        <v/>
      </c>
    </row>
    <row r="101">
      <c r="A101" s="342" t="n">
        <v>3</v>
      </c>
      <c r="B101" s="265" t="inlineStr">
        <is>
          <t>Rough Milling - Pre-machining</t>
        </is>
      </c>
      <c r="C101" s="70" t="inlineStr">
        <is>
          <t>Conv Milling - Facing</t>
        </is>
      </c>
      <c r="D101" s="78">
        <f>$E$100</f>
        <v/>
      </c>
      <c r="E101" s="78">
        <f>('Mould Costing'!$D$14+10)*('Mould Costing'!$E$14+10)*('Mould Costing'!$F$14-'Input-Output'!B4+10)/1000</f>
        <v/>
      </c>
      <c r="F101" s="78">
        <f>(D101-E101)*0.5</f>
        <v/>
      </c>
      <c r="G101" s="78">
        <f>VLOOKUP(C101,Table15[],2,FALSE)</f>
        <v/>
      </c>
      <c r="H101" s="81">
        <f>F101/G101</f>
        <v/>
      </c>
      <c r="I101" s="265" t="n"/>
      <c r="J101" s="265" t="n">
        <v>30</v>
      </c>
      <c r="K101" s="265" t="n">
        <v>45</v>
      </c>
      <c r="L101" s="42">
        <f>ROUNDUP((K101+H101+I101+J101)/60,0)</f>
        <v/>
      </c>
    </row>
    <row r="102">
      <c r="A102" s="342" t="n">
        <v>4</v>
      </c>
      <c r="B102" s="265" t="inlineStr">
        <is>
          <t>Drilling - For Guide Pillar</t>
        </is>
      </c>
      <c r="C102" s="70" t="inlineStr">
        <is>
          <t>Radial Drilling - Hole drilling</t>
        </is>
      </c>
      <c r="D102" s="78">
        <f>0.785*('Guide Pillar'!I10/10)*('Guide Pillar'!I10/10)*(('Mould Costing'!$F$14-'Input-Output'!B4)/10)*4</f>
        <v/>
      </c>
      <c r="E102" s="78" t="n">
        <v>0</v>
      </c>
      <c r="F102" s="78">
        <f>(D102-E102)*0.5</f>
        <v/>
      </c>
      <c r="G102" s="78">
        <f>VLOOKUP(C102,Table15[],2,FALSE)</f>
        <v/>
      </c>
      <c r="H102" s="78">
        <f>F102/G102</f>
        <v/>
      </c>
      <c r="I102" s="265" t="n"/>
      <c r="J102" s="265" t="n">
        <v>30</v>
      </c>
      <c r="K102" s="265" t="n">
        <v>45</v>
      </c>
      <c r="L102" s="42">
        <f>ROUNDUP((K102+H102+I102+J102)/60,0)</f>
        <v/>
      </c>
    </row>
    <row r="103">
      <c r="A103" s="342" t="n">
        <v>5</v>
      </c>
      <c r="B103" s="265" t="inlineStr">
        <is>
          <t>Boring - For Guide Pillar Collar</t>
        </is>
      </c>
      <c r="C103" s="70" t="inlineStr">
        <is>
          <t>Conv Milling - End Milling</t>
        </is>
      </c>
      <c r="D103" s="78">
        <f>0.785*(('Guide Pillar'!F10/10)^2)*1*4</f>
        <v/>
      </c>
      <c r="E103" s="78" t="n">
        <v>0</v>
      </c>
      <c r="F103" s="78">
        <f>(D103-E103)*0.5</f>
        <v/>
      </c>
      <c r="G103" s="78">
        <f>VLOOKUP(C103,Table15[],2,FALSE)</f>
        <v/>
      </c>
      <c r="H103" s="78">
        <f>F103/G103</f>
        <v/>
      </c>
      <c r="I103" s="265" t="n"/>
      <c r="J103" s="265" t="n">
        <v>30</v>
      </c>
      <c r="K103" s="265" t="n">
        <v>45</v>
      </c>
      <c r="L103" s="42">
        <f>ROUNDUP((K103+H103+I103+J103)/60,0)</f>
        <v/>
      </c>
    </row>
    <row r="104">
      <c r="A104" s="342" t="n">
        <v>6</v>
      </c>
      <c r="B104" s="265" t="inlineStr">
        <is>
          <t>Finishing - Part Size</t>
        </is>
      </c>
      <c r="C104" s="70" t="inlineStr">
        <is>
          <t>CNC Milling</t>
        </is>
      </c>
      <c r="D104" s="78">
        <f>E101</f>
        <v/>
      </c>
      <c r="E104" s="78">
        <f>('Mould Costing'!$D$14)*('Mould Costing'!$E$14)*('Mould Costing'!$F$14-'Input-Output'!B4)/1000</f>
        <v/>
      </c>
      <c r="F104" s="78">
        <f>(D104-E104)*0.5</f>
        <v/>
      </c>
      <c r="G104" s="78">
        <f>VLOOKUP(C104,Table15[],2,FALSE)</f>
        <v/>
      </c>
      <c r="H104" s="78">
        <f>F104/G104</f>
        <v/>
      </c>
      <c r="I104" s="265" t="n">
        <v>60</v>
      </c>
      <c r="J104" s="265" t="n">
        <v>30</v>
      </c>
      <c r="K104" s="265" t="n">
        <v>45</v>
      </c>
      <c r="L104" s="42">
        <f>ROUNDUP((K104+H104+I104+J104)/60,0)</f>
        <v/>
      </c>
    </row>
    <row r="105">
      <c r="A105" s="342" t="n">
        <v>7</v>
      </c>
      <c r="B105" s="265" t="inlineStr">
        <is>
          <t>Sparking</t>
        </is>
      </c>
      <c r="C105" s="70" t="inlineStr">
        <is>
          <t>CNC EDM</t>
        </is>
      </c>
      <c r="D105" s="265">
        <f>'Input-Output'!B7*'Input-Output'!B14/2000</f>
        <v/>
      </c>
      <c r="E105" s="265" t="n">
        <v>0</v>
      </c>
      <c r="F105" s="78">
        <f>(D105-E105)</f>
        <v/>
      </c>
      <c r="G105" s="78">
        <f>VLOOKUP(C105,Table15[],2,FALSE)</f>
        <v/>
      </c>
      <c r="H105" s="78">
        <f>F105/G105</f>
        <v/>
      </c>
      <c r="I105" s="265" t="n">
        <v>60</v>
      </c>
      <c r="J105" s="265" t="n">
        <v>30</v>
      </c>
      <c r="K105" s="265" t="n">
        <v>45</v>
      </c>
      <c r="L105" s="42">
        <f>ROUNDUP((K105+H105+I105+J105)/60,0)</f>
        <v/>
      </c>
      <c r="M105" t="inlineStr">
        <is>
          <t>Need to arrive at break-up</t>
        </is>
      </c>
    </row>
    <row r="106">
      <c r="A106" s="342" t="n">
        <v>8</v>
      </c>
      <c r="B106" s="265" t="inlineStr">
        <is>
          <t>Drilling - For Cooling Channels</t>
        </is>
      </c>
      <c r="C106" s="70" t="inlineStr">
        <is>
          <t>Gun Drilling</t>
        </is>
      </c>
      <c r="D106" s="88">
        <f>0.785*1*1*('Mould Costing'!$E$14/10)*4</f>
        <v/>
      </c>
      <c r="E106" s="265" t="n">
        <v>0</v>
      </c>
      <c r="F106" s="78">
        <f>(D106-E106)*0.5</f>
        <v/>
      </c>
      <c r="G106" s="78">
        <f>VLOOKUP(C106,Table15[],2,FALSE)</f>
        <v/>
      </c>
      <c r="H106" s="78">
        <f>F106/G106</f>
        <v/>
      </c>
      <c r="I106" s="265" t="n"/>
      <c r="J106" s="265" t="n">
        <v>30</v>
      </c>
      <c r="K106" s="265" t="n">
        <v>45</v>
      </c>
      <c r="L106" s="42">
        <f>ROUNDUP((K106+H106+I106+J106)/60,0)</f>
        <v/>
      </c>
      <c r="M106" t="inlineStr">
        <is>
          <t>Need to arrive at break-up</t>
        </is>
      </c>
    </row>
    <row r="107">
      <c r="A107" s="342" t="n">
        <v>9</v>
      </c>
      <c r="B107" s="265" t="inlineStr">
        <is>
          <t>Grinding - For Vent</t>
        </is>
      </c>
      <c r="C107" s="70" t="inlineStr">
        <is>
          <t>Surface Grinding</t>
        </is>
      </c>
      <c r="D107" s="265" t="n"/>
      <c r="E107" s="265" t="n"/>
      <c r="F107" s="265" t="n"/>
      <c r="G107" s="78">
        <f>VLOOKUP(C107,Table15[],2,FALSE)</f>
        <v/>
      </c>
      <c r="H107" s="265" t="n"/>
      <c r="I107" s="265" t="n"/>
      <c r="J107" s="265" t="n"/>
      <c r="K107" s="265" t="n"/>
      <c r="L107" s="86" t="n">
        <v>1</v>
      </c>
    </row>
    <row r="108">
      <c r="A108" s="342" t="n">
        <v>10</v>
      </c>
      <c r="B108" s="265" t="inlineStr">
        <is>
          <t>Drilling - For Allen Screw</t>
        </is>
      </c>
      <c r="C108" s="70" t="inlineStr">
        <is>
          <t>Radial Drilling - Reaming / Tapping</t>
        </is>
      </c>
      <c r="D108" s="88">
        <f>0.785*1.6*1.6*('Mould Costing'!$F$14/10)*4</f>
        <v/>
      </c>
      <c r="E108" s="265" t="n">
        <v>0</v>
      </c>
      <c r="F108" s="78">
        <f>(D108-E108)*0.5</f>
        <v/>
      </c>
      <c r="G108" s="78">
        <f>VLOOKUP(C108,Table15[],2,FALSE)</f>
        <v/>
      </c>
      <c r="H108" s="78">
        <f>F108/G108</f>
        <v/>
      </c>
      <c r="I108" s="265" t="n"/>
      <c r="J108" s="265" t="n">
        <v>30</v>
      </c>
      <c r="K108" s="265" t="n">
        <v>45</v>
      </c>
      <c r="L108" s="42">
        <f>ROUNDUP((K108+H108+I108+J108)/60,0)</f>
        <v/>
      </c>
      <c r="M108" t="inlineStr">
        <is>
          <t>Need to arrive at break-up</t>
        </is>
      </c>
    </row>
    <row r="109">
      <c r="A109" s="342" t="n">
        <v>11</v>
      </c>
      <c r="B109" s="265" t="inlineStr">
        <is>
          <t>Finish Milling - Runner Diameter</t>
        </is>
      </c>
      <c r="C109" s="70" t="n"/>
      <c r="D109" s="265" t="n"/>
      <c r="E109" s="265" t="n"/>
      <c r="F109" s="265" t="n"/>
      <c r="G109" s="78" t="n"/>
      <c r="H109" s="265" t="n"/>
      <c r="I109" s="265" t="n"/>
      <c r="J109" s="265" t="n"/>
      <c r="K109" s="265" t="n"/>
      <c r="L109" s="86" t="n"/>
    </row>
    <row r="110">
      <c r="A110" s="342" t="n">
        <v>12</v>
      </c>
      <c r="B110" s="265" t="n"/>
      <c r="C110" s="70" t="n"/>
      <c r="D110" s="265" t="n"/>
      <c r="E110" s="265" t="n"/>
      <c r="F110" s="265" t="n"/>
      <c r="G110" s="265" t="n"/>
      <c r="H110" s="265" t="n"/>
      <c r="I110" s="265" t="n"/>
      <c r="J110" s="265" t="n"/>
      <c r="K110" s="265" t="n"/>
      <c r="L110" s="86" t="n"/>
    </row>
    <row r="111">
      <c r="A111" s="437" t="n"/>
      <c r="B111" s="265" t="n"/>
      <c r="C111" s="70" t="n"/>
      <c r="D111" s="265" t="n"/>
      <c r="E111" s="265" t="n"/>
      <c r="F111" s="265" t="n"/>
      <c r="G111" s="265" t="n"/>
      <c r="H111" s="265" t="n"/>
      <c r="I111" s="265" t="n"/>
      <c r="J111" s="265" t="n"/>
      <c r="K111" s="265" t="n"/>
      <c r="L111" s="86" t="n"/>
    </row>
    <row r="112">
      <c r="A112" s="437" t="n"/>
      <c r="B112" s="265" t="n"/>
      <c r="C112" s="70" t="n"/>
      <c r="D112" s="265" t="n"/>
      <c r="E112" s="265" t="n"/>
      <c r="F112" s="265" t="n"/>
      <c r="G112" s="265" t="n"/>
      <c r="H112" s="265" t="n"/>
      <c r="I112" s="265" t="n"/>
      <c r="J112" s="265" t="n"/>
      <c r="K112" s="265" t="n"/>
      <c r="L112" s="86" t="n"/>
    </row>
    <row r="113">
      <c r="A113" s="437" t="n"/>
      <c r="B113" s="265" t="n"/>
      <c r="C113" s="70" t="n"/>
      <c r="D113" s="265" t="n"/>
      <c r="E113" s="265" t="n"/>
      <c r="F113" s="265" t="n"/>
      <c r="G113" s="265" t="n"/>
      <c r="H113" s="265" t="n"/>
      <c r="I113" s="265" t="n"/>
      <c r="J113" s="265" t="n"/>
      <c r="K113" s="265" t="n"/>
      <c r="L113" s="86" t="n"/>
    </row>
    <row r="114">
      <c r="A114" s="437" t="n"/>
      <c r="B114" s="265" t="n"/>
      <c r="C114" s="70" t="n"/>
      <c r="D114" s="265" t="n"/>
      <c r="E114" s="265" t="n"/>
      <c r="F114" s="265" t="n"/>
      <c r="G114" s="265" t="n"/>
      <c r="H114" s="265" t="n"/>
      <c r="I114" s="265" t="n"/>
      <c r="J114" s="265" t="n"/>
      <c r="K114" s="265" t="n"/>
      <c r="L114" s="86" t="n"/>
    </row>
    <row r="115">
      <c r="A115" s="457" t="n"/>
      <c r="B115" s="79" t="n"/>
      <c r="C115" s="79" t="n"/>
      <c r="D115" s="79" t="n"/>
      <c r="E115" s="79" t="n"/>
      <c r="F115" s="79" t="n"/>
      <c r="G115" s="79" t="n"/>
      <c r="H115" s="79" t="n"/>
      <c r="I115" s="79" t="n"/>
      <c r="J115" s="79" t="n"/>
      <c r="K115" s="79" t="n"/>
      <c r="L115" s="87" t="n"/>
    </row>
    <row r="118">
      <c r="A118" s="571" t="inlineStr">
        <is>
          <t>Core Plate</t>
        </is>
      </c>
      <c r="C118" s="74">
        <f>SUM(L120:L135)</f>
        <v/>
      </c>
      <c r="D118" s="74" t="n"/>
      <c r="E118" s="74" t="n"/>
    </row>
    <row r="119" ht="16.5" customHeight="1" s="450">
      <c r="A119" s="75" t="inlineStr">
        <is>
          <t>Opn No</t>
        </is>
      </c>
      <c r="B119" s="76" t="inlineStr">
        <is>
          <t>Operation Name</t>
        </is>
      </c>
      <c r="C119" s="76" t="inlineStr">
        <is>
          <t>M/c Selected</t>
        </is>
      </c>
      <c r="D119" s="77" t="inlineStr">
        <is>
          <t>Initial Volume in cm3</t>
        </is>
      </c>
      <c r="E119" s="77" t="inlineStr">
        <is>
          <t>Final Volume in cm3</t>
        </is>
      </c>
      <c r="F119" s="77" t="inlineStr">
        <is>
          <t>Material to be removed in cm3</t>
        </is>
      </c>
      <c r="G119" s="77" t="inlineStr">
        <is>
          <t>Standard MRR in icm per min</t>
        </is>
      </c>
      <c r="H119" s="77" t="inlineStr">
        <is>
          <t>Cycle Time in Mins</t>
        </is>
      </c>
      <c r="I119" s="77" t="inlineStr">
        <is>
          <t>Programming</t>
        </is>
      </c>
      <c r="J119" s="77" t="inlineStr">
        <is>
          <t>Tool Change Time</t>
        </is>
      </c>
      <c r="K119" s="77" t="inlineStr">
        <is>
          <t>Fixture Set-up time in mins</t>
        </is>
      </c>
      <c r="L119" s="85" t="inlineStr">
        <is>
          <t>M/c Time</t>
        </is>
      </c>
    </row>
    <row r="120">
      <c r="A120" s="342" t="n">
        <v>1</v>
      </c>
      <c r="B120" s="70" t="inlineStr">
        <is>
          <t>Rough Milling - Sizing</t>
        </is>
      </c>
      <c r="C120" s="70" t="inlineStr">
        <is>
          <t>Conv Milling - Facing</t>
        </is>
      </c>
      <c r="D120" s="78">
        <f>('Mould Costing'!$D$15+10)*('Mould Costing'!$E$15+10)*('Mould Costing'!$F$15+10)/1000</f>
        <v/>
      </c>
      <c r="E120" s="78">
        <f>('Mould Costing'!$D$15)*('Mould Costing'!$E$15)*('Mould Costing'!$F$15)/1000</f>
        <v/>
      </c>
      <c r="F120" s="78">
        <f>D120-E120</f>
        <v/>
      </c>
      <c r="G120" s="78">
        <f>VLOOKUP(C120,Table15[],2,FALSE)</f>
        <v/>
      </c>
      <c r="H120" s="81">
        <f>F120/G120</f>
        <v/>
      </c>
      <c r="I120" s="265" t="n"/>
      <c r="J120" s="265" t="n">
        <v>30</v>
      </c>
      <c r="K120" s="265" t="n">
        <v>60</v>
      </c>
      <c r="L120" s="42">
        <f>ROUNDUP((K120+H120+I120+J120)/60,0)</f>
        <v/>
      </c>
    </row>
    <row r="121">
      <c r="A121" s="342" t="n">
        <v>2</v>
      </c>
      <c r="B121" s="265" t="inlineStr">
        <is>
          <t>Finishing</t>
        </is>
      </c>
      <c r="C121" s="70" t="inlineStr">
        <is>
          <t>Surface Grinding</t>
        </is>
      </c>
      <c r="D121" s="78">
        <f>('Mould Costing'!$D$15+1)*('Mould Costing'!$E$15+1)*('Mould Costing'!$F$15+1)/1000</f>
        <v/>
      </c>
      <c r="E121" s="78">
        <f>('Mould Costing'!$D$15)*('Mould Costing'!$E$15)*('Mould Costing'!$F$15)/1000</f>
        <v/>
      </c>
      <c r="F121" s="78">
        <f>D121-E121</f>
        <v/>
      </c>
      <c r="G121" s="78">
        <f>VLOOKUP(C121,Table15[],2,FALSE)</f>
        <v/>
      </c>
      <c r="H121" s="81">
        <f>F121/G121</f>
        <v/>
      </c>
      <c r="I121" s="265" t="n"/>
      <c r="J121" s="265" t="n">
        <v>30</v>
      </c>
      <c r="K121" s="265" t="n">
        <v>60</v>
      </c>
      <c r="L121" s="42">
        <f>ROUNDUP((K121+H121+I121+J121)/60,0)</f>
        <v/>
      </c>
    </row>
    <row r="122">
      <c r="A122" s="342" t="n">
        <v>3</v>
      </c>
      <c r="B122" s="265" t="inlineStr">
        <is>
          <t>Rough Milling - Pre-machining</t>
        </is>
      </c>
      <c r="C122" s="70" t="inlineStr">
        <is>
          <t>Conv Milling - Facing</t>
        </is>
      </c>
      <c r="D122" s="78">
        <f>$E$100</f>
        <v/>
      </c>
      <c r="E122" s="78">
        <f>('Mould Costing'!D15+10)*('Mould Costing'!E15+10)*('Mould Costing'!F15-'Input-Output'!B4+10)/1000</f>
        <v/>
      </c>
      <c r="F122" s="78">
        <f>(D122-E122)*0.5</f>
        <v/>
      </c>
      <c r="G122" s="78">
        <f>VLOOKUP(C122,Table15[],2,FALSE)</f>
        <v/>
      </c>
      <c r="H122" s="81">
        <f>F122/G122</f>
        <v/>
      </c>
      <c r="I122" s="265" t="n"/>
      <c r="J122" s="265" t="n">
        <v>30</v>
      </c>
      <c r="K122" s="265" t="n">
        <v>45</v>
      </c>
      <c r="L122" s="42">
        <f>ROUNDUP((K122+H122+I122+J122)/60,0)</f>
        <v/>
      </c>
    </row>
    <row r="123">
      <c r="A123" s="342" t="n">
        <v>4</v>
      </c>
      <c r="B123" s="265" t="inlineStr">
        <is>
          <t>Drilling - For Guide Pillar</t>
        </is>
      </c>
      <c r="C123" s="70" t="inlineStr">
        <is>
          <t>Radial Drilling - Hole drilling</t>
        </is>
      </c>
      <c r="D123" s="78">
        <f>0.785*('Guide Pillar'!$I$10/10)*('Guide Pillar'!$I$10/10)*(('Mould Costing'!$F$15-'Input-Output'!$B$4)/10)*4</f>
        <v/>
      </c>
      <c r="E123" s="78" t="n">
        <v>0</v>
      </c>
      <c r="F123" s="78">
        <f>(D123-E123)*0.5</f>
        <v/>
      </c>
      <c r="G123" s="78">
        <f>VLOOKUP(C123,Table15[],2,FALSE)</f>
        <v/>
      </c>
      <c r="H123" s="78">
        <f>F123/G123</f>
        <v/>
      </c>
      <c r="I123" s="265" t="n"/>
      <c r="J123" s="265" t="n">
        <v>30</v>
      </c>
      <c r="K123" s="265" t="n">
        <v>45</v>
      </c>
      <c r="L123" s="42">
        <f>ROUNDUP((K123+H123+I123+J123)/60,0)</f>
        <v/>
      </c>
    </row>
    <row r="124">
      <c r="A124" s="342" t="n">
        <v>5</v>
      </c>
      <c r="B124" s="265" t="inlineStr">
        <is>
          <t>Boring - For Guide Pillar Collar</t>
        </is>
      </c>
      <c r="C124" s="70" t="inlineStr">
        <is>
          <t>Conv Milling - End Milling</t>
        </is>
      </c>
      <c r="D124" s="78">
        <f>0.785*(('Guide Pillar'!$F$10/10)^2)*1*4</f>
        <v/>
      </c>
      <c r="E124" s="78" t="n">
        <v>0</v>
      </c>
      <c r="F124" s="78">
        <f>(D124-E124)*0.5</f>
        <v/>
      </c>
      <c r="G124" s="78">
        <f>VLOOKUP(C124,Table15[],2,FALSE)</f>
        <v/>
      </c>
      <c r="H124" s="78">
        <f>F124/G124</f>
        <v/>
      </c>
      <c r="I124" s="265" t="n"/>
      <c r="J124" s="265" t="n">
        <v>30</v>
      </c>
      <c r="K124" s="265" t="n">
        <v>45</v>
      </c>
      <c r="L124" s="42">
        <f>ROUNDUP((K124+H124+I124+J124)/60,0)</f>
        <v/>
      </c>
    </row>
    <row r="125">
      <c r="A125" s="342" t="n">
        <v>6</v>
      </c>
      <c r="B125" s="265" t="inlineStr">
        <is>
          <t>Finishing - Part Size</t>
        </is>
      </c>
      <c r="C125" s="70" t="inlineStr">
        <is>
          <t>CNC Milling</t>
        </is>
      </c>
      <c r="D125" s="78">
        <f>E122</f>
        <v/>
      </c>
      <c r="E125" s="78">
        <f>'Mould Costing'!D15*'Mould Costing'!E15*('Mould Costing'!F15-'Input-Output'!B4)/1000</f>
        <v/>
      </c>
      <c r="F125" s="78">
        <f>(D125-E125)*0.5</f>
        <v/>
      </c>
      <c r="G125" s="78">
        <f>VLOOKUP(C125,Table15[],2,FALSE)</f>
        <v/>
      </c>
      <c r="H125" s="78">
        <f>F125/G125</f>
        <v/>
      </c>
      <c r="I125" s="265" t="n">
        <v>60</v>
      </c>
      <c r="J125" s="265" t="n">
        <v>30</v>
      </c>
      <c r="K125" s="265" t="n">
        <v>45</v>
      </c>
      <c r="L125" s="42">
        <f>ROUNDUP((K125+H125+I125+J125)/60,0)</f>
        <v/>
      </c>
    </row>
    <row r="126">
      <c r="A126" s="342" t="n">
        <v>7</v>
      </c>
      <c r="B126" s="265" t="inlineStr">
        <is>
          <t>Sparking</t>
        </is>
      </c>
      <c r="C126" s="70" t="inlineStr">
        <is>
          <t>CNC EDM</t>
        </is>
      </c>
      <c r="D126" s="265">
        <f>D105</f>
        <v/>
      </c>
      <c r="E126" s="265">
        <f>E105</f>
        <v/>
      </c>
      <c r="F126" s="78">
        <f>F105</f>
        <v/>
      </c>
      <c r="G126" s="78">
        <f>VLOOKUP(C126,Table15[],2,FALSE)</f>
        <v/>
      </c>
      <c r="H126" s="78">
        <f>F126/G126</f>
        <v/>
      </c>
      <c r="I126" s="265" t="n">
        <v>60</v>
      </c>
      <c r="J126" s="265" t="n">
        <v>30</v>
      </c>
      <c r="K126" s="265" t="n">
        <v>45</v>
      </c>
      <c r="L126" s="42">
        <f>ROUNDUP((K126+H126+I126+J126)/60,0)</f>
        <v/>
      </c>
      <c r="M126" t="inlineStr">
        <is>
          <t>Need to arrive at break-up</t>
        </is>
      </c>
    </row>
    <row r="127">
      <c r="A127" s="342" t="n">
        <v>8</v>
      </c>
      <c r="B127" s="265" t="inlineStr">
        <is>
          <t>Drilling - For Cooling Channels</t>
        </is>
      </c>
      <c r="C127" s="70" t="inlineStr">
        <is>
          <t>Gun Drilling</t>
        </is>
      </c>
      <c r="D127" s="88">
        <f>0.785*1*1*('Mould Costing'!$E$14/10)*4</f>
        <v/>
      </c>
      <c r="E127" s="265" t="n">
        <v>0</v>
      </c>
      <c r="F127" s="78">
        <f>(D127-E127)*0.5</f>
        <v/>
      </c>
      <c r="G127" s="78">
        <f>VLOOKUP(C127,Table15[],2,FALSE)</f>
        <v/>
      </c>
      <c r="H127" s="78">
        <f>F127/G127</f>
        <v/>
      </c>
      <c r="I127" s="265" t="n"/>
      <c r="J127" s="265" t="n">
        <v>30</v>
      </c>
      <c r="K127" s="265" t="n">
        <v>45</v>
      </c>
      <c r="L127" s="42">
        <f>ROUNDUP((K127+H127+I127+J127)/60,0)</f>
        <v/>
      </c>
      <c r="M127" t="inlineStr">
        <is>
          <t>Need to arrive at break-up</t>
        </is>
      </c>
    </row>
    <row r="128">
      <c r="A128" s="342" t="n">
        <v>9</v>
      </c>
      <c r="B128" s="265" t="inlineStr">
        <is>
          <t>Grinding - For Vent</t>
        </is>
      </c>
      <c r="C128" s="70" t="inlineStr">
        <is>
          <t>Surface Grinding</t>
        </is>
      </c>
      <c r="D128" s="265" t="n"/>
      <c r="E128" s="265" t="n"/>
      <c r="F128" s="265" t="n"/>
      <c r="G128" s="78">
        <f>VLOOKUP(C128,Table15[],2,FALSE)</f>
        <v/>
      </c>
      <c r="H128" s="265" t="n"/>
      <c r="I128" s="265" t="n"/>
      <c r="J128" s="265" t="n"/>
      <c r="K128" s="265" t="n"/>
      <c r="L128" s="86" t="n">
        <v>1</v>
      </c>
    </row>
    <row r="129">
      <c r="A129" s="342" t="n">
        <v>10</v>
      </c>
      <c r="B129" s="265" t="inlineStr">
        <is>
          <t>Drilling - For Allen Screw</t>
        </is>
      </c>
      <c r="C129" s="70" t="inlineStr">
        <is>
          <t>Radial Drilling - Reaming / Tapping</t>
        </is>
      </c>
      <c r="D129" s="88">
        <f>0.785*1.6*1.6*('Mould Costing'!$F$14/10)*4</f>
        <v/>
      </c>
      <c r="E129" s="265" t="n">
        <v>0</v>
      </c>
      <c r="F129" s="78">
        <f>(D129-E129)*0.5</f>
        <v/>
      </c>
      <c r="G129" s="78">
        <f>VLOOKUP(C129,Table15[],2,FALSE)</f>
        <v/>
      </c>
      <c r="H129" s="78">
        <f>F129/G129</f>
        <v/>
      </c>
      <c r="I129" s="265" t="n"/>
      <c r="J129" s="265" t="n">
        <v>30</v>
      </c>
      <c r="K129" s="265" t="n">
        <v>45</v>
      </c>
      <c r="L129" s="42">
        <f>ROUNDUP((K129+H129+I129+J129)/60,0)</f>
        <v/>
      </c>
      <c r="M129" t="inlineStr">
        <is>
          <t>Need to arrive at break-up</t>
        </is>
      </c>
    </row>
    <row r="130">
      <c r="A130" s="342" t="n">
        <v>11</v>
      </c>
      <c r="B130" s="265" t="n"/>
      <c r="C130" s="70" t="n"/>
      <c r="D130" s="265" t="n"/>
      <c r="E130" s="265" t="n"/>
      <c r="F130" s="265" t="n"/>
      <c r="G130" s="265" t="n"/>
      <c r="H130" s="265" t="n"/>
      <c r="I130" s="265" t="n"/>
      <c r="J130" s="265" t="n"/>
      <c r="K130" s="265" t="n"/>
      <c r="L130" s="86" t="n"/>
    </row>
    <row r="131">
      <c r="A131" s="342" t="n">
        <v>120</v>
      </c>
      <c r="B131" s="265" t="n"/>
      <c r="C131" s="70" t="n"/>
      <c r="D131" s="265" t="n"/>
      <c r="E131" s="265" t="n"/>
      <c r="F131" s="265" t="n"/>
      <c r="G131" s="265" t="n"/>
      <c r="H131" s="265" t="n"/>
      <c r="I131" s="265" t="n"/>
      <c r="J131" s="265" t="n"/>
      <c r="K131" s="265" t="n"/>
      <c r="L131" s="86" t="n"/>
    </row>
    <row r="132">
      <c r="A132" s="437" t="n"/>
      <c r="B132" s="265" t="n"/>
      <c r="C132" s="70" t="n"/>
      <c r="D132" s="265" t="n"/>
      <c r="E132" s="265" t="n"/>
      <c r="F132" s="265" t="n"/>
      <c r="G132" s="265" t="n"/>
      <c r="H132" s="265" t="n"/>
      <c r="I132" s="265" t="n"/>
      <c r="J132" s="265" t="n"/>
      <c r="K132" s="265" t="n"/>
      <c r="L132" s="86" t="n"/>
    </row>
    <row r="133">
      <c r="A133" s="437" t="n"/>
      <c r="B133" s="265" t="n"/>
      <c r="C133" s="70" t="n"/>
      <c r="D133" s="265" t="n"/>
      <c r="E133" s="265" t="n"/>
      <c r="F133" s="265" t="n"/>
      <c r="G133" s="265" t="n"/>
      <c r="H133" s="265" t="n"/>
      <c r="I133" s="265" t="n"/>
      <c r="J133" s="265" t="n"/>
      <c r="K133" s="265" t="n"/>
      <c r="L133" s="86" t="n"/>
    </row>
    <row r="134">
      <c r="A134" s="437" t="n"/>
      <c r="B134" s="265" t="n"/>
      <c r="C134" s="70" t="n"/>
      <c r="D134" s="265" t="n"/>
      <c r="E134" s="265" t="n"/>
      <c r="F134" s="265" t="n"/>
      <c r="G134" s="265" t="n"/>
      <c r="H134" s="265" t="n"/>
      <c r="I134" s="265" t="n"/>
      <c r="J134" s="265" t="n"/>
      <c r="K134" s="265" t="n"/>
      <c r="L134" s="86" t="n"/>
    </row>
    <row r="135">
      <c r="A135" s="437" t="n"/>
      <c r="B135" s="265" t="n"/>
      <c r="C135" s="70" t="n"/>
      <c r="D135" s="265" t="n"/>
      <c r="E135" s="265" t="n"/>
      <c r="F135" s="265" t="n"/>
      <c r="G135" s="265" t="n"/>
      <c r="H135" s="265" t="n"/>
      <c r="I135" s="265" t="n"/>
      <c r="J135" s="265" t="n"/>
      <c r="K135" s="265" t="n"/>
      <c r="L135" s="86" t="n"/>
    </row>
    <row r="136">
      <c r="A136" s="457" t="n"/>
      <c r="B136" s="79" t="n"/>
      <c r="C136" s="79" t="n"/>
      <c r="D136" s="79" t="n"/>
      <c r="E136" s="79" t="n"/>
      <c r="F136" s="79" t="n"/>
      <c r="G136" s="79" t="n"/>
      <c r="H136" s="79" t="n"/>
      <c r="I136" s="79" t="n"/>
      <c r="J136" s="79" t="n"/>
      <c r="K136" s="79" t="n"/>
      <c r="L136" s="87" t="n"/>
    </row>
    <row r="138">
      <c r="A138" s="571" t="inlineStr">
        <is>
          <t>Guide Pillar</t>
        </is>
      </c>
      <c r="C138" s="74">
        <f>SUM(L140:L155)</f>
        <v/>
      </c>
      <c r="D138" s="74" t="n"/>
      <c r="E138" s="74" t="n"/>
    </row>
    <row r="139" ht="16.5" customHeight="1" s="450">
      <c r="A139" s="75" t="inlineStr">
        <is>
          <t>Opn No</t>
        </is>
      </c>
      <c r="B139" s="76" t="inlineStr">
        <is>
          <t>Operation Name</t>
        </is>
      </c>
      <c r="C139" s="76" t="inlineStr">
        <is>
          <t>M/c Selected</t>
        </is>
      </c>
      <c r="D139" s="77" t="inlineStr">
        <is>
          <t>Initial Volume in cm3</t>
        </is>
      </c>
      <c r="E139" s="77" t="inlineStr">
        <is>
          <t>Final Volume in cm3</t>
        </is>
      </c>
      <c r="F139" s="77" t="inlineStr">
        <is>
          <t>Material to be removed in cm3</t>
        </is>
      </c>
      <c r="G139" s="77" t="inlineStr">
        <is>
          <t>Standard MRR in cm3 per min</t>
        </is>
      </c>
      <c r="H139" s="77" t="inlineStr">
        <is>
          <t>Cycle Time in Mins</t>
        </is>
      </c>
      <c r="I139" s="77" t="inlineStr">
        <is>
          <t>Programming</t>
        </is>
      </c>
      <c r="J139" s="77" t="inlineStr">
        <is>
          <t>Tool Change Time</t>
        </is>
      </c>
      <c r="K139" s="77" t="inlineStr">
        <is>
          <t>Fixture Set-up time in mins</t>
        </is>
      </c>
      <c r="L139" s="85" t="inlineStr">
        <is>
          <t>M/c Time</t>
        </is>
      </c>
    </row>
    <row r="140">
      <c r="A140" s="342" t="n">
        <v>1</v>
      </c>
      <c r="B140" s="70" t="inlineStr">
        <is>
          <t>Turning - Working Diameter ( Dia 29 x 91)</t>
        </is>
      </c>
      <c r="C140" s="70" t="inlineStr">
        <is>
          <t>CNC Lathe</t>
        </is>
      </c>
      <c r="D140" s="78">
        <f>0.785*('Guide Pillar'!$F$10+10)*('Guide Pillar'!$F$10+10)*('Guide Pillar'!L19+10)/1000*4</f>
        <v/>
      </c>
      <c r="E140" s="78">
        <f>0.785*'Guide Pillar'!$M$10*'Guide Pillar'!$M$10*'Guide Pillar'!$L$19/1000*4</f>
        <v/>
      </c>
      <c r="F140" s="78">
        <f>D140-E140</f>
        <v/>
      </c>
      <c r="G140" s="78">
        <f>VLOOKUP(C140,Table15[],2,FALSE)</f>
        <v/>
      </c>
      <c r="H140" s="81">
        <f>F140/G140</f>
        <v/>
      </c>
      <c r="I140" s="265" t="n">
        <v>0.3</v>
      </c>
      <c r="J140" s="265" t="n">
        <v>30</v>
      </c>
      <c r="K140" s="265" t="n">
        <v>45</v>
      </c>
      <c r="L140" s="42">
        <f>ROUNDUP((K140+H140+I140+J140)/60,0)</f>
        <v/>
      </c>
    </row>
    <row r="141">
      <c r="A141" s="342" t="n">
        <v>2</v>
      </c>
      <c r="B141" s="265" t="inlineStr">
        <is>
          <t>Turning - Fitting Diameter ( Dia 39 x 91)</t>
        </is>
      </c>
      <c r="C141" s="70" t="inlineStr">
        <is>
          <t>CNC Lathe</t>
        </is>
      </c>
      <c r="D141" s="78">
        <f>0.785*('Guide Pillar'!$F$10+10)*('Guide Pillar'!$F$10+10)*('Guide Pillar'!$H$19+10)/1000*4</f>
        <v/>
      </c>
      <c r="E141" s="78">
        <f>0.785*'Guide Pillar'!$I$10*'Guide Pillar'!$I$10*('Guide Pillar'!$H$19-10)/1000*4</f>
        <v/>
      </c>
      <c r="F141" s="78">
        <f>D141-E141</f>
        <v/>
      </c>
      <c r="G141" s="78">
        <f>VLOOKUP(C141,Table15[],2,FALSE)</f>
        <v/>
      </c>
      <c r="H141" s="81">
        <f>F141/G141</f>
        <v/>
      </c>
      <c r="I141" s="265" t="n">
        <v>0.3</v>
      </c>
      <c r="J141" s="265" t="n">
        <v>30</v>
      </c>
      <c r="K141" s="265" t="n">
        <v>45</v>
      </c>
      <c r="L141" s="42">
        <f>ROUNDUP((K141+H141+I141+J141)/60,0)</f>
        <v/>
      </c>
    </row>
    <row r="142">
      <c r="A142" s="342" t="n">
        <v>3</v>
      </c>
      <c r="B142" s="265" t="inlineStr">
        <is>
          <t>Turning - Collar Diameter ( Dia 29 x 91)</t>
        </is>
      </c>
      <c r="C142" s="70" t="inlineStr">
        <is>
          <t>CNC Lathe</t>
        </is>
      </c>
      <c r="D142" s="78">
        <f>0.785*('Guide Pillar'!$F$10+10)*('Guide Pillar'!$F$10+10)*1*4/1000</f>
        <v/>
      </c>
      <c r="E142" s="78">
        <f>0.785*('Guide Pillar'!$F$10)*('Guide Pillar'!$F$10)*1*4/1000</f>
        <v/>
      </c>
      <c r="F142" s="78">
        <f>D142-E142</f>
        <v/>
      </c>
      <c r="G142" s="78">
        <f>VLOOKUP(C142,Table15[],2,FALSE)</f>
        <v/>
      </c>
      <c r="H142" s="78">
        <f>F142/G142</f>
        <v/>
      </c>
      <c r="I142" s="265" t="n">
        <v>0.3</v>
      </c>
      <c r="J142" s="265" t="n">
        <v>30</v>
      </c>
      <c r="K142" s="265" t="n">
        <v>45</v>
      </c>
      <c r="L142" s="42">
        <f>ROUNDUP((K142+H142+I142+J142)/60,0)</f>
        <v/>
      </c>
      <c r="M142" t="inlineStr">
        <is>
          <t>To be worked-out properly</t>
        </is>
      </c>
    </row>
    <row r="143">
      <c r="A143" s="342" t="n">
        <v>4</v>
      </c>
      <c r="B143" s="265" t="inlineStr">
        <is>
          <t>Parting-off</t>
        </is>
      </c>
      <c r="C143" s="70" t="inlineStr">
        <is>
          <t>CNC Lathe</t>
        </is>
      </c>
      <c r="D143" s="78">
        <f>3.14*2*2*1*4</f>
        <v/>
      </c>
      <c r="E143" s="265" t="n">
        <v>0</v>
      </c>
      <c r="F143" s="78">
        <f>D143-E143</f>
        <v/>
      </c>
      <c r="G143" s="78">
        <f>VLOOKUP(C143,Table15[],2,FALSE)</f>
        <v/>
      </c>
      <c r="H143" s="78">
        <f>F143/G143</f>
        <v/>
      </c>
      <c r="I143" s="265" t="n">
        <v>0.3</v>
      </c>
      <c r="J143" s="265" t="n">
        <v>30</v>
      </c>
      <c r="K143" s="265" t="n">
        <v>45</v>
      </c>
      <c r="L143" s="89">
        <f>ROUNDUP((K143+H143+I143+J143)/60,0)</f>
        <v/>
      </c>
      <c r="M143" t="inlineStr">
        <is>
          <t>To be worked-out properly</t>
        </is>
      </c>
    </row>
    <row r="144">
      <c r="A144" s="342" t="n">
        <v>5</v>
      </c>
      <c r="B144" s="265" t="inlineStr">
        <is>
          <t>Grooving</t>
        </is>
      </c>
      <c r="C144" s="70" t="inlineStr">
        <is>
          <t>CNC Lathe</t>
        </is>
      </c>
      <c r="D144" s="265" t="n"/>
      <c r="E144" s="265" t="n"/>
      <c r="F144" s="265" t="n"/>
      <c r="G144" s="78">
        <f>VLOOKUP(C144,Table15[],2,FALSE)</f>
        <v/>
      </c>
      <c r="H144" s="265" t="n"/>
      <c r="I144" s="265" t="n"/>
      <c r="J144" s="265" t="n"/>
      <c r="K144" s="265" t="n"/>
      <c r="L144" s="90" t="n"/>
    </row>
    <row r="145">
      <c r="A145" s="342" t="n">
        <v>6</v>
      </c>
      <c r="B145" s="265" t="inlineStr">
        <is>
          <t>Cylindrical Grinding - Before Heat treatment</t>
        </is>
      </c>
      <c r="C145" s="70" t="inlineStr">
        <is>
          <t>Cylindrical Grinding</t>
        </is>
      </c>
      <c r="D145" s="265" t="n"/>
      <c r="E145" s="265" t="n"/>
      <c r="F145" s="265" t="n"/>
      <c r="G145" s="78">
        <f>VLOOKUP(C145,Table15[],2,FALSE)</f>
        <v/>
      </c>
      <c r="H145" s="265" t="n"/>
      <c r="I145" s="265" t="n"/>
      <c r="J145" s="265" t="n"/>
      <c r="K145" s="265" t="n"/>
      <c r="L145" s="90" t="n"/>
    </row>
    <row r="146">
      <c r="A146" s="342" t="n">
        <v>7</v>
      </c>
      <c r="B146" s="265" t="inlineStr">
        <is>
          <t>Cylindrical Grinding - After Heat treatment</t>
        </is>
      </c>
      <c r="C146" s="70" t="inlineStr">
        <is>
          <t>Cylindrical Grinding</t>
        </is>
      </c>
      <c r="D146" s="265" t="n"/>
      <c r="E146" s="265" t="n"/>
      <c r="F146" s="265" t="n"/>
      <c r="G146" s="78">
        <f>VLOOKUP(C146,Table15[],2,FALSE)</f>
        <v/>
      </c>
      <c r="H146" s="265" t="n"/>
      <c r="I146" s="265" t="n"/>
      <c r="J146" s="265" t="n"/>
      <c r="K146" s="265" t="n"/>
      <c r="L146" s="90" t="n"/>
    </row>
    <row r="147">
      <c r="A147" s="437" t="n"/>
      <c r="B147" s="265" t="n"/>
      <c r="C147" s="70" t="n"/>
      <c r="D147" s="265" t="n"/>
      <c r="E147" s="265" t="n"/>
      <c r="F147" s="265" t="n"/>
      <c r="G147" s="265" t="n"/>
      <c r="H147" s="265" t="n"/>
      <c r="I147" s="265" t="n"/>
      <c r="J147" s="265" t="n"/>
      <c r="K147" s="265" t="n"/>
      <c r="L147" s="86" t="n"/>
    </row>
    <row r="148">
      <c r="A148" s="437" t="n"/>
      <c r="B148" s="265" t="n"/>
      <c r="C148" s="70" t="n"/>
      <c r="D148" s="265" t="n"/>
      <c r="E148" s="265" t="n"/>
      <c r="F148" s="265" t="n"/>
      <c r="G148" s="265" t="n"/>
      <c r="H148" s="265" t="n"/>
      <c r="I148" s="265" t="n"/>
      <c r="J148" s="265" t="n"/>
      <c r="K148" s="265" t="n"/>
      <c r="L148" s="86" t="n"/>
    </row>
    <row r="149">
      <c r="A149" s="437" t="n"/>
      <c r="B149" s="265" t="n"/>
      <c r="C149" s="70" t="n"/>
      <c r="D149" s="265" t="n"/>
      <c r="E149" s="265" t="n"/>
      <c r="F149" s="265" t="n"/>
      <c r="G149" s="265" t="n"/>
      <c r="H149" s="265" t="n"/>
      <c r="I149" s="265" t="n"/>
      <c r="J149" s="265" t="n"/>
      <c r="K149" s="265" t="n"/>
      <c r="L149" s="86" t="n"/>
    </row>
    <row r="150">
      <c r="A150" s="437" t="n"/>
      <c r="B150" s="265" t="n"/>
      <c r="C150" s="70" t="n"/>
      <c r="D150" s="265" t="n"/>
      <c r="E150" s="265" t="n"/>
      <c r="F150" s="265" t="n"/>
      <c r="G150" s="265" t="n"/>
      <c r="H150" s="265" t="n"/>
      <c r="I150" s="265" t="n"/>
      <c r="J150" s="265" t="n"/>
      <c r="K150" s="265" t="n"/>
      <c r="L150" s="86" t="n"/>
    </row>
    <row r="151">
      <c r="A151" s="437" t="n"/>
      <c r="B151" s="265" t="n"/>
      <c r="C151" s="70" t="n"/>
      <c r="D151" s="265" t="n"/>
      <c r="E151" s="265" t="n"/>
      <c r="F151" s="265" t="n"/>
      <c r="G151" s="265" t="n"/>
      <c r="H151" s="265" t="n"/>
      <c r="I151" s="265" t="n"/>
      <c r="J151" s="265" t="n"/>
      <c r="K151" s="265" t="n"/>
      <c r="L151" s="86" t="n"/>
    </row>
    <row r="152">
      <c r="A152" s="437" t="n"/>
      <c r="B152" s="265" t="n"/>
      <c r="C152" s="70" t="n"/>
      <c r="D152" s="265" t="n"/>
      <c r="E152" s="265" t="n"/>
      <c r="F152" s="265" t="n"/>
      <c r="G152" s="265" t="n"/>
      <c r="H152" s="265" t="n"/>
      <c r="I152" s="265" t="n"/>
      <c r="J152" s="265" t="n"/>
      <c r="K152" s="265" t="n"/>
      <c r="L152" s="86" t="n"/>
    </row>
    <row r="153">
      <c r="A153" s="437" t="n"/>
      <c r="B153" s="265" t="n"/>
      <c r="C153" s="70" t="n"/>
      <c r="D153" s="265" t="n"/>
      <c r="E153" s="265" t="n"/>
      <c r="F153" s="265" t="n"/>
      <c r="G153" s="265" t="n"/>
      <c r="H153" s="265" t="n"/>
      <c r="I153" s="265" t="n"/>
      <c r="J153" s="265" t="n"/>
      <c r="K153" s="265" t="n"/>
      <c r="L153" s="86" t="n"/>
    </row>
    <row r="154">
      <c r="A154" s="437" t="n"/>
      <c r="B154" s="265" t="n"/>
      <c r="C154" s="70" t="n"/>
      <c r="D154" s="265" t="n"/>
      <c r="E154" s="265" t="n"/>
      <c r="F154" s="265" t="n"/>
      <c r="G154" s="265" t="n"/>
      <c r="H154" s="265" t="n"/>
      <c r="I154" s="265" t="n"/>
      <c r="J154" s="265" t="n"/>
      <c r="K154" s="265" t="n"/>
      <c r="L154" s="86" t="n"/>
    </row>
    <row r="155">
      <c r="A155" s="457" t="n"/>
      <c r="B155" s="79" t="n"/>
      <c r="C155" s="79" t="n"/>
      <c r="D155" s="79" t="n"/>
      <c r="E155" s="79" t="n"/>
      <c r="F155" s="79" t="n"/>
      <c r="G155" s="79" t="n"/>
      <c r="H155" s="79" t="n"/>
      <c r="I155" s="79" t="n"/>
      <c r="J155" s="79" t="n"/>
      <c r="K155" s="79" t="n"/>
      <c r="L155" s="87" t="n"/>
    </row>
    <row r="157">
      <c r="A157" s="571" t="inlineStr">
        <is>
          <t>Guide Bush</t>
        </is>
      </c>
      <c r="C157" s="74">
        <f>SUM(L159:L174)</f>
        <v/>
      </c>
      <c r="D157" s="74" t="n"/>
      <c r="E157" s="74" t="n"/>
    </row>
    <row r="158" ht="16.5" customHeight="1" s="450">
      <c r="A158" s="75" t="inlineStr">
        <is>
          <t>Opn No</t>
        </is>
      </c>
      <c r="B158" s="76" t="inlineStr">
        <is>
          <t>Operation Name</t>
        </is>
      </c>
      <c r="C158" s="76" t="inlineStr">
        <is>
          <t>M/c Selected</t>
        </is>
      </c>
      <c r="D158" s="77" t="inlineStr">
        <is>
          <t>Initial Volume in cm3</t>
        </is>
      </c>
      <c r="E158" s="77" t="inlineStr">
        <is>
          <t>Final Volume in cm3</t>
        </is>
      </c>
      <c r="F158" s="77" t="inlineStr">
        <is>
          <t>Material to be removed in cm3</t>
        </is>
      </c>
      <c r="G158" s="77" t="inlineStr">
        <is>
          <t>Standard MRR in cm3 per min</t>
        </is>
      </c>
      <c r="H158" s="77" t="inlineStr">
        <is>
          <t>Cycle Time in Mins</t>
        </is>
      </c>
      <c r="I158" s="77" t="inlineStr">
        <is>
          <t>Programming</t>
        </is>
      </c>
      <c r="J158" s="77" t="inlineStr">
        <is>
          <t>Tool Change Time</t>
        </is>
      </c>
      <c r="K158" s="77" t="inlineStr">
        <is>
          <t>Fixture Set-up time in mins</t>
        </is>
      </c>
      <c r="L158" s="85" t="inlineStr">
        <is>
          <t>M/c Time</t>
        </is>
      </c>
    </row>
    <row r="159">
      <c r="A159" s="342" t="n">
        <v>1</v>
      </c>
      <c r="B159" s="70" t="inlineStr">
        <is>
          <t>Turning - Working Diameter ( Dia 29 x 91)</t>
        </is>
      </c>
      <c r="C159" s="70" t="inlineStr">
        <is>
          <t>CNC Lathe</t>
        </is>
      </c>
      <c r="D159" s="78">
        <f>0.785*('Guide Pillar'!$F$10+10)*('Guide Pillar'!$F$10+10)*('Guide Pillar'!$H$19+10)/1000*4</f>
        <v/>
      </c>
      <c r="E159" s="78">
        <f>0.785*('Guide Pillar'!$F$10)*('Guide Pillar'!$F$10)*('Guide Pillar'!$H$19)/1000*4</f>
        <v/>
      </c>
      <c r="F159" s="78">
        <f>D159-E159</f>
        <v/>
      </c>
      <c r="G159" s="78">
        <f>VLOOKUP(C159,Table15[],2,FALSE)</f>
        <v/>
      </c>
      <c r="H159" s="81">
        <f>F159/G159</f>
        <v/>
      </c>
      <c r="I159" s="265" t="n"/>
      <c r="J159" s="265" t="n">
        <v>30</v>
      </c>
      <c r="K159" s="265" t="n">
        <v>45</v>
      </c>
      <c r="L159" s="42">
        <f>ROUNDUP((K159+H159+I159+J159)/60,0)</f>
        <v/>
      </c>
      <c r="M159" t="inlineStr">
        <is>
          <t>To be worked-out properly</t>
        </is>
      </c>
    </row>
    <row r="160">
      <c r="A160" s="342" t="n">
        <v>2</v>
      </c>
      <c r="B160" s="265" t="inlineStr">
        <is>
          <t>Turning - Fitting Diameter ( Dia 39 x 91)</t>
        </is>
      </c>
      <c r="C160" s="70" t="inlineStr">
        <is>
          <t>CNC Lathe</t>
        </is>
      </c>
      <c r="D160" s="78">
        <f>0.785*('Guide Pillar'!$F$10+1)*('Guide Pillar'!$F$10+1)*('Guide Pillar'!$H$19+1)/1000*4</f>
        <v/>
      </c>
      <c r="E160" s="78">
        <f>0.785*('Guide Pillar'!$F$10)*('Guide Pillar'!$F$10)*('Guide Pillar'!$H$19)/1000*4</f>
        <v/>
      </c>
      <c r="F160" s="78">
        <f>D160-E160</f>
        <v/>
      </c>
      <c r="G160" s="78">
        <f>VLOOKUP(C160,Table15[],2,FALSE)</f>
        <v/>
      </c>
      <c r="H160" s="81">
        <f>F160/G160</f>
        <v/>
      </c>
      <c r="I160" s="265" t="n"/>
      <c r="J160" s="265" t="n">
        <v>30</v>
      </c>
      <c r="K160" s="265" t="n">
        <v>45</v>
      </c>
      <c r="L160" s="42">
        <f>ROUNDUP((K160+H160+I160+J160)/60,0)</f>
        <v/>
      </c>
      <c r="M160" t="inlineStr">
        <is>
          <t>To be worked-out properly</t>
        </is>
      </c>
    </row>
    <row r="161">
      <c r="A161" s="342" t="n">
        <v>3</v>
      </c>
      <c r="B161" s="265" t="inlineStr">
        <is>
          <t>Turning - Collar Diameter ( Dia 29 x 91)</t>
        </is>
      </c>
      <c r="C161" s="70" t="inlineStr">
        <is>
          <t>CNC Lathe</t>
        </is>
      </c>
      <c r="D161" s="78">
        <f>0.785*('Guide Pillar'!$F$10+10)*('Guide Pillar'!$F$10+10)*(6+10)/1000*4</f>
        <v/>
      </c>
      <c r="E161" s="265" t="n">
        <v>0</v>
      </c>
      <c r="F161" s="78">
        <f>D161-E161</f>
        <v/>
      </c>
      <c r="G161" s="78">
        <f>VLOOKUP(C161,Table15[],2,FALSE)</f>
        <v/>
      </c>
      <c r="H161" s="78">
        <f>F161/G161</f>
        <v/>
      </c>
      <c r="I161" s="265" t="n"/>
      <c r="J161" s="265" t="n">
        <v>30</v>
      </c>
      <c r="K161" s="265" t="n">
        <v>45</v>
      </c>
      <c r="L161" s="42">
        <f>ROUNDUP((K161+H161+I161+J161)/60,0)</f>
        <v/>
      </c>
      <c r="M161" t="inlineStr">
        <is>
          <t>To be worked-out properly</t>
        </is>
      </c>
    </row>
    <row r="162">
      <c r="A162" s="342" t="n">
        <v>4</v>
      </c>
      <c r="B162" s="265" t="inlineStr">
        <is>
          <t>Parting-off</t>
        </is>
      </c>
      <c r="C162" s="70" t="inlineStr">
        <is>
          <t>CNC Lathe</t>
        </is>
      </c>
      <c r="D162" s="78">
        <f>3.14*2*2*1*4</f>
        <v/>
      </c>
      <c r="E162" s="265" t="n">
        <v>0</v>
      </c>
      <c r="F162" s="78">
        <f>D162-E162</f>
        <v/>
      </c>
      <c r="G162" s="78">
        <f>VLOOKUP(C162,Table15[],2,FALSE)</f>
        <v/>
      </c>
      <c r="H162" s="78">
        <f>F162/G162</f>
        <v/>
      </c>
      <c r="I162" s="265" t="n"/>
      <c r="J162" s="265" t="n">
        <v>30</v>
      </c>
      <c r="K162" s="265" t="n">
        <v>45</v>
      </c>
      <c r="L162" s="42">
        <f>ROUNDUP((K162+H162+I162+J162)/60,0)</f>
        <v/>
      </c>
      <c r="M162" t="inlineStr">
        <is>
          <t>To be worked-out properly</t>
        </is>
      </c>
    </row>
    <row r="163">
      <c r="A163" s="342" t="n">
        <v>5</v>
      </c>
      <c r="B163" s="265" t="inlineStr">
        <is>
          <t>Grooving</t>
        </is>
      </c>
      <c r="C163" s="70" t="inlineStr">
        <is>
          <t>CNC Lathe</t>
        </is>
      </c>
      <c r="D163" s="265" t="n"/>
      <c r="E163" s="265" t="n"/>
      <c r="F163" s="265" t="n"/>
      <c r="G163" s="78">
        <f>VLOOKUP(C163,Table15[],2,FALSE)</f>
        <v/>
      </c>
      <c r="H163" s="265" t="n"/>
      <c r="I163" s="265" t="n"/>
      <c r="J163" s="265" t="n"/>
      <c r="K163" s="265" t="n"/>
      <c r="L163" s="86" t="n"/>
    </row>
    <row r="164">
      <c r="A164" s="342" t="n">
        <v>6</v>
      </c>
      <c r="B164" s="265" t="inlineStr">
        <is>
          <t>Cylindrical Grinding - Before Heat treatment</t>
        </is>
      </c>
      <c r="C164" s="70" t="inlineStr">
        <is>
          <t>Cylindrical Grinding</t>
        </is>
      </c>
      <c r="D164" s="265" t="n"/>
      <c r="E164" s="265" t="n"/>
      <c r="F164" s="265" t="n"/>
      <c r="G164" s="78">
        <f>VLOOKUP(C164,Table15[],2,FALSE)</f>
        <v/>
      </c>
      <c r="H164" s="265" t="n"/>
      <c r="I164" s="265" t="n"/>
      <c r="J164" s="265" t="n"/>
      <c r="K164" s="265" t="n"/>
      <c r="L164" s="86" t="n"/>
    </row>
    <row r="165">
      <c r="A165" s="342" t="n">
        <v>7</v>
      </c>
      <c r="B165" s="265" t="inlineStr">
        <is>
          <t>Cylindrical Grinding - After Heat treatment</t>
        </is>
      </c>
      <c r="C165" s="70" t="inlineStr">
        <is>
          <t>Cylindrical Grinding</t>
        </is>
      </c>
      <c r="D165" s="265" t="n"/>
      <c r="E165" s="265" t="n"/>
      <c r="F165" s="265" t="n"/>
      <c r="G165" s="78">
        <f>VLOOKUP(C165,Table15[],2,FALSE)</f>
        <v/>
      </c>
      <c r="H165" s="265" t="n"/>
      <c r="I165" s="265" t="n"/>
      <c r="J165" s="265" t="n"/>
      <c r="K165" s="265" t="n"/>
      <c r="L165" s="86" t="n"/>
    </row>
    <row r="166">
      <c r="A166" s="437" t="n"/>
      <c r="B166" s="265" t="n"/>
      <c r="C166" s="70" t="n"/>
      <c r="D166" s="265" t="n"/>
      <c r="E166" s="265" t="n"/>
      <c r="F166" s="265" t="n"/>
      <c r="G166" s="265" t="n"/>
      <c r="H166" s="265" t="n"/>
      <c r="I166" s="265" t="n"/>
      <c r="J166" s="265" t="n"/>
      <c r="K166" s="265" t="n"/>
      <c r="L166" s="86" t="n"/>
    </row>
    <row r="167">
      <c r="A167" s="437" t="n"/>
      <c r="B167" s="265" t="n"/>
      <c r="C167" s="70" t="n"/>
      <c r="D167" s="265" t="n"/>
      <c r="E167" s="265" t="n"/>
      <c r="F167" s="265" t="n"/>
      <c r="G167" s="265" t="n"/>
      <c r="H167" s="265" t="n"/>
      <c r="I167" s="265" t="n"/>
      <c r="J167" s="265" t="n"/>
      <c r="K167" s="265" t="n"/>
      <c r="L167" s="86" t="n"/>
    </row>
    <row r="168">
      <c r="A168" s="437" t="n"/>
      <c r="B168" s="265" t="n"/>
      <c r="C168" s="70" t="n"/>
      <c r="D168" s="265" t="n"/>
      <c r="E168" s="265" t="n"/>
      <c r="F168" s="265" t="n"/>
      <c r="G168" s="265" t="n"/>
      <c r="H168" s="265" t="n"/>
      <c r="I168" s="265" t="n"/>
      <c r="J168" s="265" t="n"/>
      <c r="K168" s="265" t="n"/>
      <c r="L168" s="86" t="n"/>
    </row>
    <row r="169">
      <c r="A169" s="437" t="n"/>
      <c r="B169" s="265" t="n"/>
      <c r="C169" s="70" t="n"/>
      <c r="D169" s="265" t="n"/>
      <c r="E169" s="265" t="n"/>
      <c r="F169" s="265" t="n"/>
      <c r="G169" s="265" t="n"/>
      <c r="H169" s="265" t="n"/>
      <c r="I169" s="265" t="n"/>
      <c r="J169" s="265" t="n"/>
      <c r="K169" s="265" t="n"/>
      <c r="L169" s="86" t="n"/>
    </row>
    <row r="170">
      <c r="A170" s="437" t="n"/>
      <c r="B170" s="265" t="n"/>
      <c r="C170" s="70" t="n"/>
      <c r="D170" s="265" t="n"/>
      <c r="E170" s="265" t="n"/>
      <c r="F170" s="265" t="n"/>
      <c r="G170" s="265" t="n"/>
      <c r="H170" s="265" t="n"/>
      <c r="I170" s="265" t="n"/>
      <c r="J170" s="265" t="n"/>
      <c r="K170" s="265" t="n"/>
      <c r="L170" s="86" t="n"/>
    </row>
    <row r="171">
      <c r="A171" s="437" t="n"/>
      <c r="B171" s="265" t="n"/>
      <c r="C171" s="70" t="n"/>
      <c r="D171" s="265" t="n"/>
      <c r="E171" s="265" t="n"/>
      <c r="F171" s="265" t="n"/>
      <c r="G171" s="265" t="n"/>
      <c r="H171" s="265" t="n"/>
      <c r="I171" s="265" t="n"/>
      <c r="J171" s="265" t="n"/>
      <c r="K171" s="265" t="n"/>
      <c r="L171" s="86" t="n"/>
    </row>
    <row r="172">
      <c r="A172" s="437" t="n"/>
      <c r="B172" s="265" t="n"/>
      <c r="C172" s="70" t="n"/>
      <c r="D172" s="265" t="n"/>
      <c r="E172" s="265" t="n"/>
      <c r="F172" s="265" t="n"/>
      <c r="G172" s="265" t="n"/>
      <c r="H172" s="265" t="n"/>
      <c r="I172" s="265" t="n"/>
      <c r="J172" s="265" t="n"/>
      <c r="K172" s="265" t="n"/>
      <c r="L172" s="86" t="n"/>
    </row>
    <row r="173">
      <c r="A173" s="437" t="n"/>
      <c r="B173" s="265" t="n"/>
      <c r="C173" s="70" t="n"/>
      <c r="D173" s="265" t="n"/>
      <c r="E173" s="265" t="n"/>
      <c r="F173" s="265" t="n"/>
      <c r="G173" s="265" t="n"/>
      <c r="H173" s="265" t="n"/>
      <c r="I173" s="265" t="n"/>
      <c r="J173" s="265" t="n"/>
      <c r="K173" s="265" t="n"/>
      <c r="L173" s="86" t="n"/>
    </row>
    <row r="174">
      <c r="A174" s="457" t="n"/>
      <c r="B174" s="79" t="n"/>
      <c r="C174" s="79" t="n"/>
      <c r="D174" s="79" t="n"/>
      <c r="E174" s="79" t="n"/>
      <c r="F174" s="79" t="n"/>
      <c r="G174" s="79" t="n"/>
      <c r="H174" s="79" t="n"/>
      <c r="I174" s="79" t="n"/>
      <c r="J174" s="79" t="n"/>
      <c r="K174" s="79" t="n"/>
      <c r="L174" s="87" t="n"/>
    </row>
  </sheetData>
  <mergeCells count="9">
    <mergeCell ref="A78:B78"/>
    <mergeCell ref="A21:B21"/>
    <mergeCell ref="A157:B157"/>
    <mergeCell ref="A2:B2"/>
    <mergeCell ref="A59:B59"/>
    <mergeCell ref="A138:B138"/>
    <mergeCell ref="A118:B118"/>
    <mergeCell ref="A40:B40"/>
    <mergeCell ref="A97:B97"/>
  </mergeCells>
  <dataValidations count="10">
    <dataValidation sqref="C46:C56 C67:C75 C84:C94 C109:C114 C130:C135 C147:C154 C166:C173" showDropDown="0" showInputMessage="1" showErrorMessage="1" allowBlank="0" type="list">
      <formula1>$U$4:$U$42</formula1>
    </dataValidation>
    <dataValidation sqref="C23:C37" showDropDown="0" showInputMessage="1" showErrorMessage="1" allowBlank="0" type="list">
      <formula1>$I$3:$I$17</formula1>
    </dataValidation>
    <dataValidation sqref="C42:C45" showDropDown="0" showInputMessage="1" showErrorMessage="1" allowBlank="0" type="list">
      <formula1>$I$3:$I$17</formula1>
    </dataValidation>
    <dataValidation sqref="C62:C64" showDropDown="0" showInputMessage="1" showErrorMessage="1" allowBlank="0" type="list">
      <formula1>$I$3:$I$17</formula1>
    </dataValidation>
    <dataValidation sqref="C65:C66" showDropDown="0" showInputMessage="1" showErrorMessage="1" allowBlank="0" type="list">
      <formula1>$I$3:$I$17</formula1>
    </dataValidation>
    <dataValidation sqref="C80:C83" showDropDown="0" showInputMessage="1" showErrorMessage="1" allowBlank="0" type="list">
      <formula1>$I$3:$I$17</formula1>
    </dataValidation>
    <dataValidation sqref="C99:C108" showDropDown="0" showInputMessage="1" showErrorMessage="1" allowBlank="0" type="list">
      <formula1>$I$3:$I$17</formula1>
    </dataValidation>
    <dataValidation sqref="C120:C129" showDropDown="0" showInputMessage="1" showErrorMessage="1" allowBlank="0" type="list">
      <formula1>$I$3:$I$17</formula1>
    </dataValidation>
    <dataValidation sqref="C140:C146" showDropDown="0" showInputMessage="1" showErrorMessage="1" allowBlank="0" type="list">
      <formula1>$I$3:$I$17</formula1>
    </dataValidation>
    <dataValidation sqref="C159:C165" showDropDown="0" showInputMessage="1" showErrorMessage="1" allowBlank="0" type="list">
      <formula1>$I$3:$I$17</formula1>
    </dataValidation>
  </dataValidations>
  <pageMargins left="0.7" right="0.7" top="0.75" bottom="0.75" header="0.3" footer="0.3"/>
  <tableParts count="9">
    <tablePart r:id="rId1"/>
    <tablePart r:id="rId2"/>
    <tablePart r:id="rId3"/>
    <tablePart r:id="rId4"/>
    <tablePart r:id="rId5"/>
    <tablePart r:id="rId6"/>
    <tablePart r:id="rId7"/>
    <tablePart r:id="rId8"/>
    <tablePart r:id="rId9"/>
  </tableParts>
</worksheet>
</file>

<file path=xl/worksheets/sheet16.xml><?xml version="1.0" encoding="utf-8"?>
<worksheet xmlns:r="http://schemas.openxmlformats.org/officeDocument/2006/relationships" xmlns="http://schemas.openxmlformats.org/spreadsheetml/2006/main">
  <sheetPr codeName="Sheet9">
    <tabColor rgb="FF92D050"/>
    <outlinePr summaryBelow="1" summaryRight="1"/>
    <pageSetUpPr/>
  </sheetPr>
  <dimension ref="A1:L34"/>
  <sheetViews>
    <sheetView topLeftCell="A7" workbookViewId="0">
      <selection activeCell="F7" sqref="F7"/>
    </sheetView>
  </sheetViews>
  <sheetFormatPr baseColWidth="8" defaultColWidth="9" defaultRowHeight="14.5"/>
  <cols>
    <col width="16.36328125" customWidth="1" style="450" min="1" max="1"/>
    <col width="14.453125" customWidth="1" style="450" min="2" max="2"/>
    <col width="10.90625" customWidth="1" style="450" min="3" max="3"/>
    <col width="12" customWidth="1" style="450" min="5" max="5"/>
    <col width="11.26953125" bestFit="1" customWidth="1" style="450" min="6" max="6"/>
    <col width="13.90625" customWidth="1" style="450" min="7" max="7"/>
    <col width="15.26953125" customWidth="1" style="450" min="8" max="8"/>
    <col width="10.6328125" customWidth="1" style="450" min="9" max="9"/>
    <col width="10.90625" customWidth="1" style="450" min="11" max="11"/>
  </cols>
  <sheetData>
    <row r="1">
      <c r="A1" s="6" t="inlineStr">
        <is>
          <t xml:space="preserve">TVSM MHR  cost Norms </t>
        </is>
      </c>
    </row>
    <row r="2" ht="29" customHeight="1" s="450">
      <c r="A2" s="7" t="inlineStr">
        <is>
          <t>Sl.No.</t>
        </is>
      </c>
      <c r="B2" s="7" t="inlineStr">
        <is>
          <t>Tonnage</t>
        </is>
      </c>
      <c r="C2" s="7" t="inlineStr">
        <is>
          <t>Machine Hourly Rate</t>
        </is>
      </c>
      <c r="D2" s="8" t="n"/>
      <c r="E2" s="9" t="inlineStr">
        <is>
          <t>M/c Tonnage</t>
        </is>
      </c>
      <c r="F2" s="10" t="inlineStr">
        <is>
          <t>Tonnage</t>
        </is>
      </c>
      <c r="G2" s="11" t="inlineStr">
        <is>
          <t>=</t>
        </is>
      </c>
      <c r="H2" s="12" t="inlineStr">
        <is>
          <t>Tonnage constant</t>
        </is>
      </c>
      <c r="I2" s="11" t="inlineStr">
        <is>
          <t>*</t>
        </is>
      </c>
      <c r="J2" s="21" t="inlineStr">
        <is>
          <t>Projected Area</t>
        </is>
      </c>
    </row>
    <row r="3">
      <c r="A3" s="13" t="n"/>
      <c r="B3" s="13" t="n"/>
      <c r="C3" s="13" t="n"/>
      <c r="D3" s="8" t="n"/>
      <c r="E3" s="5">
        <f>VLOOKUP(F3+60,B4:C21,1)</f>
        <v/>
      </c>
      <c r="F3" s="14">
        <f>H3*J3</f>
        <v/>
      </c>
      <c r="G3" s="14" t="inlineStr">
        <is>
          <t>=</t>
        </is>
      </c>
      <c r="H3" s="14">
        <f>VLOOKUP('Input-Output'!B9,Table1113[#All],3,FALSE)</f>
        <v/>
      </c>
      <c r="I3" s="14" t="inlineStr">
        <is>
          <t>*</t>
        </is>
      </c>
      <c r="J3" s="14">
        <f>I8*'Input-Output'!B8*'Input-Output'!B6</f>
        <v/>
      </c>
    </row>
    <row r="4" ht="16.5" customHeight="1" s="450">
      <c r="A4" s="15" t="n">
        <v>1</v>
      </c>
      <c r="B4" s="16" t="n">
        <v>60</v>
      </c>
      <c r="C4" s="17" t="n">
        <v>450</v>
      </c>
      <c r="D4" s="17" t="n"/>
    </row>
    <row r="5">
      <c r="A5" s="15" t="n">
        <v>2</v>
      </c>
      <c r="B5" s="16" t="n">
        <v>80</v>
      </c>
      <c r="C5" s="17" t="n">
        <v>450</v>
      </c>
      <c r="D5" s="17" t="n"/>
      <c r="E5" s="572" t="inlineStr">
        <is>
          <t>Machine operation cost due to tonnage</t>
        </is>
      </c>
      <c r="F5" s="573" t="n"/>
      <c r="G5" s="573" t="n"/>
      <c r="H5" s="573" t="n"/>
      <c r="I5" s="574" t="n"/>
    </row>
    <row r="6">
      <c r="A6" s="15" t="n">
        <v>3</v>
      </c>
      <c r="B6" s="16" t="n">
        <v>130</v>
      </c>
      <c r="C6" s="17" t="n">
        <v>510</v>
      </c>
      <c r="D6" s="17" t="n"/>
      <c r="E6" s="18" t="inlineStr">
        <is>
          <t>MHR</t>
        </is>
      </c>
      <c r="F6" s="18">
        <f>VLOOKUP(E3,B4:C21,2,FALSE)</f>
        <v/>
      </c>
      <c r="G6" s="18" t="n"/>
      <c r="H6" s="18" t="inlineStr">
        <is>
          <t>Cycle time(s)</t>
        </is>
      </c>
      <c r="I6" s="18">
        <f>'Input-Output'!B12</f>
        <v/>
      </c>
    </row>
    <row r="7">
      <c r="A7" s="15" t="n">
        <v>4</v>
      </c>
      <c r="B7" s="16" t="n">
        <v>150</v>
      </c>
      <c r="C7" s="17" t="n">
        <v>560</v>
      </c>
      <c r="D7" s="17" t="n"/>
      <c r="E7" s="18" t="inlineStr">
        <is>
          <t>Hour</t>
        </is>
      </c>
      <c r="F7" s="314">
        <f>I6*I7/(I8*3600)</f>
        <v/>
      </c>
      <c r="G7" s="18" t="n"/>
      <c r="H7" s="18" t="inlineStr">
        <is>
          <t>No. of Part</t>
        </is>
      </c>
      <c r="I7" s="18">
        <f>'Input-Output'!B11</f>
        <v/>
      </c>
    </row>
    <row r="8" ht="29" customHeight="1" s="450">
      <c r="A8" s="15" t="n">
        <v>5</v>
      </c>
      <c r="B8" s="16" t="n">
        <v>180</v>
      </c>
      <c r="C8" s="17" t="n">
        <v>560</v>
      </c>
      <c r="D8" s="17" t="n"/>
      <c r="E8" s="19" t="inlineStr">
        <is>
          <t>Cost for Tonnage</t>
        </is>
      </c>
      <c r="F8" s="638">
        <f>F7*F6</f>
        <v/>
      </c>
      <c r="G8" s="18" t="n"/>
      <c r="H8" s="18" t="inlineStr">
        <is>
          <t>Cavity</t>
        </is>
      </c>
      <c r="I8" s="18">
        <f>'Input-Output'!B10</f>
        <v/>
      </c>
    </row>
    <row r="9">
      <c r="A9" s="15" t="n">
        <v>6</v>
      </c>
      <c r="B9" s="16" t="n">
        <v>200</v>
      </c>
      <c r="C9" s="17" t="n">
        <v>730</v>
      </c>
      <c r="D9" s="17" t="n"/>
    </row>
    <row r="10">
      <c r="A10" s="15" t="n">
        <v>7</v>
      </c>
      <c r="B10" s="16" t="n">
        <v>220</v>
      </c>
      <c r="C10" s="17" t="n">
        <v>740</v>
      </c>
      <c r="D10" s="17" t="n"/>
    </row>
    <row r="11">
      <c r="A11" s="15" t="n">
        <v>8</v>
      </c>
      <c r="B11" s="16" t="n">
        <v>250</v>
      </c>
      <c r="C11" s="17" t="n">
        <v>740</v>
      </c>
      <c r="D11" s="17" t="n"/>
      <c r="F11" s="310" t="n"/>
    </row>
    <row r="12">
      <c r="A12" s="15" t="n">
        <v>9</v>
      </c>
      <c r="B12" s="16" t="n">
        <v>300</v>
      </c>
      <c r="C12" s="17" t="n">
        <v>750</v>
      </c>
      <c r="D12" s="17" t="n"/>
    </row>
    <row r="13">
      <c r="A13" s="15" t="n">
        <v>10</v>
      </c>
      <c r="B13" s="16" t="n">
        <v>325</v>
      </c>
      <c r="C13" s="17" t="n">
        <v>750</v>
      </c>
      <c r="D13" s="17" t="n"/>
    </row>
    <row r="14">
      <c r="A14" s="15" t="n">
        <v>11</v>
      </c>
      <c r="B14" s="16" t="n">
        <v>350</v>
      </c>
      <c r="C14" s="17" t="n">
        <v>810</v>
      </c>
      <c r="D14" s="17" t="n"/>
    </row>
    <row r="15">
      <c r="A15" s="15" t="n">
        <v>12</v>
      </c>
      <c r="B15" s="16" t="n">
        <v>420</v>
      </c>
      <c r="C15" s="17" t="n">
        <v>990</v>
      </c>
      <c r="D15" s="17" t="n"/>
      <c r="L15" s="22" t="n"/>
    </row>
    <row r="16">
      <c r="A16" s="15" t="n">
        <v>13</v>
      </c>
      <c r="B16" s="16" t="n">
        <v>450</v>
      </c>
      <c r="C16" s="17" t="n">
        <v>990</v>
      </c>
      <c r="D16" s="17" t="n"/>
    </row>
    <row r="17">
      <c r="A17" s="15" t="n">
        <v>14</v>
      </c>
      <c r="B17" s="16" t="n">
        <v>500</v>
      </c>
      <c r="C17" s="17" t="n">
        <v>1140</v>
      </c>
      <c r="D17" s="17" t="n"/>
    </row>
    <row r="18">
      <c r="A18" s="15" t="n">
        <v>15</v>
      </c>
      <c r="B18" s="16" t="n">
        <v>550</v>
      </c>
      <c r="C18" s="20" t="n">
        <v>1380</v>
      </c>
      <c r="D18" s="17" t="n"/>
    </row>
    <row r="19">
      <c r="A19" s="15" t="n">
        <v>16</v>
      </c>
      <c r="B19" s="16" t="n">
        <v>600</v>
      </c>
      <c r="C19" s="20" t="n">
        <v>1380</v>
      </c>
      <c r="D19" s="17" t="n"/>
    </row>
    <row r="20">
      <c r="A20" s="15" t="n">
        <v>17</v>
      </c>
      <c r="B20" s="16" t="n">
        <v>650</v>
      </c>
      <c r="C20" s="20" t="n">
        <v>1380</v>
      </c>
      <c r="D20" s="17" t="n"/>
    </row>
    <row r="21">
      <c r="A21" s="15" t="n">
        <v>18</v>
      </c>
      <c r="B21" s="16" t="n">
        <v>850</v>
      </c>
      <c r="C21" s="20" t="n">
        <v>2100</v>
      </c>
      <c r="D21" s="17" t="n"/>
    </row>
    <row r="26">
      <c r="A26" s="336" t="inlineStr">
        <is>
          <t>Part Material</t>
        </is>
      </c>
      <c r="B26" s="336" t="inlineStr">
        <is>
          <t>Price/kg</t>
        </is>
      </c>
      <c r="C26" s="336" t="inlineStr">
        <is>
          <t>Tonnage Constant(/mm2)</t>
        </is>
      </c>
    </row>
    <row r="27">
      <c r="A27" s="336">
        <f>Database!A20</f>
        <v/>
      </c>
      <c r="B27" s="336">
        <f>Database!B20</f>
        <v/>
      </c>
      <c r="C27" s="336">
        <f>Database!C20/100</f>
        <v/>
      </c>
    </row>
    <row r="28">
      <c r="A28" s="336">
        <f>Database!A21</f>
        <v/>
      </c>
      <c r="B28" s="336">
        <f>Database!B21</f>
        <v/>
      </c>
      <c r="C28" s="336">
        <f>Database!C21/100</f>
        <v/>
      </c>
    </row>
    <row r="29">
      <c r="A29" s="336">
        <f>Database!A22</f>
        <v/>
      </c>
      <c r="B29" s="336">
        <f>Database!B22</f>
        <v/>
      </c>
      <c r="C29" s="336">
        <f>Database!C22/100</f>
        <v/>
      </c>
    </row>
    <row r="30">
      <c r="A30" s="336">
        <f>Database!A23</f>
        <v/>
      </c>
      <c r="B30" s="336">
        <f>Database!B23</f>
        <v/>
      </c>
      <c r="C30" s="336">
        <f>Database!C23/100</f>
        <v/>
      </c>
    </row>
    <row r="31">
      <c r="A31" s="336">
        <f>Database!A24</f>
        <v/>
      </c>
      <c r="B31" s="336">
        <f>Database!B24</f>
        <v/>
      </c>
      <c r="C31" s="336">
        <f>Database!C24/100</f>
        <v/>
      </c>
    </row>
    <row r="32">
      <c r="A32" s="336">
        <f>Database!A25</f>
        <v/>
      </c>
      <c r="B32" s="336">
        <f>Database!B25</f>
        <v/>
      </c>
      <c r="C32" s="336">
        <f>Database!C25/100</f>
        <v/>
      </c>
    </row>
    <row r="33">
      <c r="A33" s="336">
        <f>Database!A26</f>
        <v/>
      </c>
      <c r="B33" s="336">
        <f>Database!B26</f>
        <v/>
      </c>
      <c r="C33" s="336">
        <f>Database!C26/100</f>
        <v/>
      </c>
    </row>
    <row r="34">
      <c r="A34" s="336">
        <f>Database!A27</f>
        <v/>
      </c>
      <c r="B34" s="336">
        <f>Database!B27</f>
        <v/>
      </c>
      <c r="C34" s="336">
        <f>Database!C27/100</f>
        <v/>
      </c>
    </row>
  </sheetData>
  <mergeCells count="1">
    <mergeCell ref="E5:I5"/>
  </mergeCells>
  <pageMargins left="0.7" right="0.7" top="0.75" bottom="0.75" header="0.3" footer="0.3"/>
  <pageSetup orientation="portrait"/>
  <tableParts count="1">
    <tablePart r:id="rId1"/>
  </tableParts>
</worksheet>
</file>

<file path=xl/worksheets/sheet17.xml><?xml version="1.0" encoding="utf-8"?>
<worksheet xmlns="http://schemas.openxmlformats.org/spreadsheetml/2006/main">
  <sheetPr codeName="Sheet10">
    <tabColor rgb="FF92D050"/>
    <outlinePr summaryBelow="1" summaryRight="1"/>
    <pageSetUpPr/>
  </sheetPr>
  <dimension ref="A1:E15"/>
  <sheetViews>
    <sheetView workbookViewId="0">
      <selection activeCell="B6" sqref="B6"/>
    </sheetView>
  </sheetViews>
  <sheetFormatPr baseColWidth="8" defaultColWidth="9" defaultRowHeight="14.5"/>
  <cols>
    <col width="24.90625" customWidth="1" style="450" min="1" max="1"/>
    <col width="27.08984375" customWidth="1" style="450" min="2" max="2"/>
  </cols>
  <sheetData>
    <row r="1">
      <c r="A1" s="1" t="inlineStr">
        <is>
          <t>Raw Material</t>
        </is>
      </c>
      <c r="B1" s="2">
        <f>'Input-Output'!B9</f>
        <v/>
      </c>
    </row>
    <row r="2">
      <c r="A2" s="1" t="inlineStr">
        <is>
          <t>Raw material cost</t>
        </is>
      </c>
      <c r="B2" s="1">
        <f>VLOOKUP(B1,Table11[[Part Material]:[Price/kg]],2,FALSE)</f>
        <v/>
      </c>
      <c r="D2" t="inlineStr">
        <is>
          <t>Part that can be prouduced in one day per machine</t>
        </is>
      </c>
    </row>
    <row r="3">
      <c r="A3" s="1" t="inlineStr">
        <is>
          <t>Net weight(in kg)</t>
        </is>
      </c>
      <c r="B3" s="1">
        <f>((('Input-Output'!B7*'Input-Output'!B4)/1000)*VLOOKUP(B1,Table11[#All],4,FALSE))/1000</f>
        <v/>
      </c>
      <c r="D3">
        <f>B9*8*0.9</f>
        <v/>
      </c>
      <c r="E3" t="inlineStr">
        <is>
          <t>with 90% eff.</t>
        </is>
      </c>
    </row>
    <row r="4">
      <c r="A4" s="1" t="inlineStr">
        <is>
          <t>Raw material cost/Part</t>
        </is>
      </c>
      <c r="B4" s="1">
        <f>B3*B2</f>
        <v/>
      </c>
    </row>
    <row r="5">
      <c r="A5" s="1" t="inlineStr">
        <is>
          <t xml:space="preserve">Cavity </t>
        </is>
      </c>
      <c r="B5" s="1">
        <f>'Input-Output'!B10</f>
        <v/>
      </c>
    </row>
    <row r="6">
      <c r="A6" s="1" t="inlineStr">
        <is>
          <t>MHR</t>
        </is>
      </c>
      <c r="B6" s="1">
        <f>'Tonnage '!F6</f>
        <v/>
      </c>
    </row>
    <row r="7">
      <c r="A7" s="1" t="inlineStr">
        <is>
          <t xml:space="preserve">Cycle time </t>
        </is>
      </c>
      <c r="B7" s="1">
        <f>'Input-Output'!B12</f>
        <v/>
      </c>
    </row>
    <row r="8">
      <c r="A8" s="1" t="inlineStr">
        <is>
          <t>Tonnage</t>
        </is>
      </c>
      <c r="B8" s="1">
        <f>'Tonnage '!E3</f>
        <v/>
      </c>
    </row>
    <row r="9">
      <c r="A9" s="1" t="inlineStr">
        <is>
          <t>Part production/hour</t>
        </is>
      </c>
      <c r="B9" s="1">
        <f>(3600/B7)*B5*0.9</f>
        <v/>
      </c>
    </row>
    <row r="10">
      <c r="A10" s="1" t="inlineStr">
        <is>
          <t xml:space="preserve">Converstion cost </t>
        </is>
      </c>
      <c r="B10" s="3">
        <f>B6/B9</f>
        <v/>
      </c>
    </row>
    <row r="11">
      <c r="A11" s="1" t="inlineStr">
        <is>
          <t xml:space="preserve">Manufacturing cost </t>
        </is>
      </c>
      <c r="B11" s="3">
        <f>B10+B4</f>
        <v/>
      </c>
    </row>
    <row r="12">
      <c r="A12" s="1" t="inlineStr">
        <is>
          <t>Over head and profit</t>
        </is>
      </c>
      <c r="B12" s="3">
        <f>11%*B11</f>
        <v/>
      </c>
    </row>
    <row r="13">
      <c r="A13" s="1" t="inlineStr">
        <is>
          <t>Total cost/part</t>
        </is>
      </c>
      <c r="B13" s="3">
        <f>B11+B12</f>
        <v/>
      </c>
    </row>
    <row r="14">
      <c r="A14" s="1" t="inlineStr">
        <is>
          <t>No of parts</t>
        </is>
      </c>
      <c r="B14" s="265">
        <f>'Input-Output'!B11</f>
        <v/>
      </c>
    </row>
    <row r="15">
      <c r="A15" s="4" t="inlineStr">
        <is>
          <t>Total cost</t>
        </is>
      </c>
      <c r="B15" s="5">
        <f>B14*B13</f>
        <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Dev Gyan (CP/Hosur/TVSMotor)</dc:creator>
  <dcterms:created xsi:type="dcterms:W3CDTF">2023-05-22T09:32:00Z</dcterms:created>
  <dcterms:modified xsi:type="dcterms:W3CDTF">2023-07-13T03:07:23Z</dcterms:modified>
  <cp:lastModifiedBy>Dev Gyan Priyadarshi</cp:lastModifiedBy>
  <cp:lastPrinted>2023-06-15T06:02:32Z</cp:lastPrint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0x0101005373BB68379DF747BF3B48BE896DED2D</vt:lpwstr>
  </property>
  <property name="ICV" fmtid="{D5CDD505-2E9C-101B-9397-08002B2CF9AE}" pid="3">
    <vt:lpwstr>6DC3F2F5242B4ACD8CECDDE87FF81580</vt:lpwstr>
  </property>
  <property name="KSOProductBuildVer" fmtid="{D5CDD505-2E9C-101B-9397-08002B2CF9AE}" pid="4">
    <vt:lpwstr>1033-11.2.0.11537</vt:lpwstr>
  </property>
</Properties>
</file>