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charts/chart6.xml" ContentType="application/vnd.openxmlformats-officedocument.drawingml.chart+xml"/>
  <Override PartName="/xl/tables/table10.xml" ContentType="application/vnd.openxmlformats-officedocument.spreadsheetml.table+xml"/>
  <Override PartName="/xl/drawings/drawing5.xml" ContentType="application/vnd.openxmlformats-officedocument.drawing+xml"/>
  <Override PartName="/xl/charts/chart7.xml" ContentType="application/vnd.openxmlformats-officedocument.drawingml.char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v Gyan Priyadarshi\Desktop\TVSM OFFICE\Tool Cost Estimator Program\Excel Files\"/>
    </mc:Choice>
  </mc:AlternateContent>
  <bookViews>
    <workbookView xWindow="0" yWindow="0" windowWidth="18530" windowHeight="6950" tabRatio="777"/>
  </bookViews>
  <sheets>
    <sheet name="Website" sheetId="1" r:id="rId1"/>
    <sheet name="Instructions" sheetId="2" r:id="rId2"/>
    <sheet name="DASHBOARD" sheetId="3" r:id="rId3"/>
    <sheet name="Sheet1" sheetId="4" r:id="rId4"/>
    <sheet name="Mould Costing" sheetId="5" r:id="rId5"/>
    <sheet name="Infographics" sheetId="6" r:id="rId6"/>
    <sheet name="INJ. MOULDING ESTIMATION" sheetId="7" r:id="rId7"/>
    <sheet name="Database" sheetId="8" r:id="rId8"/>
    <sheet name="Input-Output" sheetId="9" r:id="rId9"/>
    <sheet name="No of Cavity" sheetId="10" r:id="rId10"/>
    <sheet name="COMPLEXITY" sheetId="11" r:id="rId11"/>
    <sheet name="Guide Pillar" sheetId="12" r:id="rId12"/>
    <sheet name="Mould Layout" sheetId="13" r:id="rId13"/>
    <sheet name="Core &amp; Ejector Plate" sheetId="14" r:id="rId14"/>
    <sheet name="Machining Time" sheetId="15" r:id="rId15"/>
    <sheet name="Tonnage " sheetId="16" r:id="rId16"/>
    <sheet name="Part Cost" sheetId="17" r:id="rId17"/>
  </sheets>
  <definedNames>
    <definedName name="solver_adj" localSheetId="8" hidden="1">'Input-Output'!$B$11</definedName>
    <definedName name="solver_cvg" localSheetId="8" hidden="1">0.0001</definedName>
    <definedName name="solver_drv" localSheetId="8" hidden="1">1</definedName>
    <definedName name="solver_eng" localSheetId="6" hidden="1">1</definedName>
    <definedName name="solver_eng" localSheetId="8" hidden="1">1</definedName>
    <definedName name="solver_eng" localSheetId="16" hidden="1">2</definedName>
    <definedName name="solver_est" localSheetId="8" hidden="1">1</definedName>
    <definedName name="solver_itr" localSheetId="8" hidden="1">2147483647</definedName>
    <definedName name="solver_lhs1" localSheetId="8" hidden="1">'Input-Output'!$B$11</definedName>
    <definedName name="solver_lhs2" localSheetId="8" hidden="1">'Input-Output'!$E$22</definedName>
    <definedName name="solver_lin" localSheetId="6" hidden="1">0</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6" hidden="1">1</definedName>
    <definedName name="solver_neg" localSheetId="8" hidden="1">1</definedName>
    <definedName name="solver_neg" localSheetId="16" hidden="1">1</definedName>
    <definedName name="solver_nod" localSheetId="8" hidden="1">2147483647</definedName>
    <definedName name="solver_num" localSheetId="6" hidden="1">0</definedName>
    <definedName name="solver_num" localSheetId="8" hidden="1">2</definedName>
    <definedName name="solver_num" localSheetId="16" hidden="1">0</definedName>
    <definedName name="solver_nwt" localSheetId="8" hidden="1">1</definedName>
    <definedName name="solver_opt" localSheetId="6" hidden="1">'INJ. MOULDING ESTIMATION'!$I$12</definedName>
    <definedName name="solver_opt" localSheetId="8" hidden="1">'Input-Output'!$E$22</definedName>
    <definedName name="solver_opt" localSheetId="16" hidden="1">'Part Cost'!$B$15</definedName>
    <definedName name="solver_pre" localSheetId="8" hidden="1">0.000001</definedName>
    <definedName name="solver_rbv" localSheetId="8" hidden="1">1</definedName>
    <definedName name="solver_rel1" localSheetId="8" hidden="1">4</definedName>
    <definedName name="solver_rel2" localSheetId="8" hidden="1">1</definedName>
    <definedName name="solver_rhs1" localSheetId="8" hidden="1">"integer"</definedName>
    <definedName name="solver_rhs2" localSheetId="8" hidden="1">'Input-Output'!$E$20</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6" hidden="1">1</definedName>
    <definedName name="solver_typ" localSheetId="8" hidden="1">1</definedName>
    <definedName name="solver_typ" localSheetId="16" hidden="1">2</definedName>
    <definedName name="solver_val" localSheetId="6" hidden="1">0</definedName>
    <definedName name="solver_val" localSheetId="8" hidden="1">0</definedName>
    <definedName name="solver_val" localSheetId="16" hidden="1">0</definedName>
    <definedName name="solver_ver" localSheetId="6" hidden="1">3</definedName>
    <definedName name="solver_ver" localSheetId="8" hidden="1">3</definedName>
    <definedName name="solver_ver" localSheetId="16" hidden="1">3</definedName>
  </definedNames>
  <calcPr calcId="162913"/>
</workbook>
</file>

<file path=xl/calcChain.xml><?xml version="1.0" encoding="utf-8"?>
<calcChain xmlns="http://schemas.openxmlformats.org/spreadsheetml/2006/main">
  <c r="F5" i="1" l="1"/>
  <c r="F4" i="1"/>
  <c r="F3" i="1"/>
  <c r="F2" i="1"/>
  <c r="F1" i="1"/>
  <c r="C14" i="7" l="1"/>
  <c r="C34" i="16"/>
  <c r="B34" i="16"/>
  <c r="A34" i="16"/>
  <c r="C33" i="16"/>
  <c r="B33" i="16"/>
  <c r="A33" i="16"/>
  <c r="C32" i="16"/>
  <c r="B32" i="16"/>
  <c r="A32" i="16"/>
  <c r="C31" i="16"/>
  <c r="B31" i="16"/>
  <c r="A31" i="16"/>
  <c r="C30" i="16"/>
  <c r="B30" i="16"/>
  <c r="A30" i="16"/>
  <c r="C29" i="16"/>
  <c r="B29" i="16"/>
  <c r="A29" i="16"/>
  <c r="C28" i="16"/>
  <c r="B28" i="16"/>
  <c r="A28" i="16"/>
  <c r="C27" i="16"/>
  <c r="B27" i="16"/>
  <c r="A27" i="16"/>
  <c r="G165" i="15"/>
  <c r="G164" i="15"/>
  <c r="G163" i="15"/>
  <c r="G162" i="15"/>
  <c r="H162" i="15" s="1"/>
  <c r="L162" i="15" s="1"/>
  <c r="F162" i="15"/>
  <c r="D162" i="15"/>
  <c r="G161" i="15"/>
  <c r="G160" i="15"/>
  <c r="G159" i="15"/>
  <c r="G146" i="15"/>
  <c r="G145" i="15"/>
  <c r="G144" i="15"/>
  <c r="G143" i="15"/>
  <c r="D143" i="15"/>
  <c r="F143" i="15" s="1"/>
  <c r="H143" i="15" s="1"/>
  <c r="L143" i="15" s="1"/>
  <c r="G142" i="15"/>
  <c r="G141" i="15"/>
  <c r="G140" i="15"/>
  <c r="G129" i="15"/>
  <c r="G128" i="15"/>
  <c r="G127" i="15"/>
  <c r="G126" i="15"/>
  <c r="E126" i="15"/>
  <c r="G125" i="15"/>
  <c r="G124" i="15"/>
  <c r="G123" i="15"/>
  <c r="G122" i="15"/>
  <c r="G121" i="15"/>
  <c r="G120" i="15"/>
  <c r="G108" i="15"/>
  <c r="G107" i="15"/>
  <c r="G106" i="15"/>
  <c r="G105" i="15"/>
  <c r="G104" i="15"/>
  <c r="G103" i="15"/>
  <c r="G102" i="15"/>
  <c r="G101" i="15"/>
  <c r="G100" i="15"/>
  <c r="G99" i="15"/>
  <c r="H83" i="15"/>
  <c r="L83" i="15" s="1"/>
  <c r="C71" i="5" s="1"/>
  <c r="G83" i="15"/>
  <c r="F83" i="15"/>
  <c r="D83" i="15"/>
  <c r="G82" i="15"/>
  <c r="G81" i="15"/>
  <c r="G80" i="15"/>
  <c r="G76" i="15"/>
  <c r="H76" i="15" s="1"/>
  <c r="L76" i="15" s="1"/>
  <c r="F76" i="15"/>
  <c r="G75" i="15"/>
  <c r="F75" i="15"/>
  <c r="G74" i="15"/>
  <c r="H74" i="15" s="1"/>
  <c r="L74" i="15" s="1"/>
  <c r="F74" i="15"/>
  <c r="G73" i="15"/>
  <c r="F73" i="15"/>
  <c r="H73" i="15" s="1"/>
  <c r="L73" i="15" s="1"/>
  <c r="G72" i="15"/>
  <c r="H72" i="15" s="1"/>
  <c r="L72" i="15" s="1"/>
  <c r="F72" i="15"/>
  <c r="G71" i="15"/>
  <c r="F71" i="15"/>
  <c r="H71" i="15" s="1"/>
  <c r="L71" i="15" s="1"/>
  <c r="G70" i="15"/>
  <c r="H70" i="15" s="1"/>
  <c r="L70" i="15" s="1"/>
  <c r="F70" i="15"/>
  <c r="G69" i="15"/>
  <c r="F69" i="15"/>
  <c r="H69" i="15" s="1"/>
  <c r="L69" i="15" s="1"/>
  <c r="G68" i="15"/>
  <c r="H68" i="15" s="1"/>
  <c r="L68" i="15" s="1"/>
  <c r="F68" i="15"/>
  <c r="G67" i="15"/>
  <c r="F67" i="15"/>
  <c r="H67" i="15" s="1"/>
  <c r="L67" i="15" s="1"/>
  <c r="G66" i="15"/>
  <c r="G65" i="15"/>
  <c r="G64" i="15"/>
  <c r="D64" i="15"/>
  <c r="F64" i="15" s="1"/>
  <c r="H64" i="15" s="1"/>
  <c r="L64" i="15" s="1"/>
  <c r="C70" i="5" s="1"/>
  <c r="G63" i="15"/>
  <c r="G62" i="15"/>
  <c r="G61" i="15"/>
  <c r="G45" i="15"/>
  <c r="G44" i="15"/>
  <c r="G43" i="15"/>
  <c r="G42" i="15"/>
  <c r="L38" i="15"/>
  <c r="L37" i="15"/>
  <c r="G37" i="15"/>
  <c r="L36" i="15"/>
  <c r="G36" i="15"/>
  <c r="L35" i="15"/>
  <c r="G35" i="15"/>
  <c r="L34" i="15"/>
  <c r="G34" i="15"/>
  <c r="L33" i="15"/>
  <c r="G33" i="15"/>
  <c r="L32" i="15"/>
  <c r="G32" i="15"/>
  <c r="L31" i="15"/>
  <c r="G31" i="15"/>
  <c r="L30" i="15"/>
  <c r="G30" i="15"/>
  <c r="L29" i="15"/>
  <c r="G29" i="15"/>
  <c r="L28" i="15"/>
  <c r="G28" i="15"/>
  <c r="H27" i="15"/>
  <c r="L27" i="15" s="1"/>
  <c r="G27" i="15"/>
  <c r="F27" i="15"/>
  <c r="G26" i="15"/>
  <c r="G25" i="15"/>
  <c r="D25" i="15"/>
  <c r="F25" i="15" s="1"/>
  <c r="H25" i="15" s="1"/>
  <c r="L25" i="15" s="1"/>
  <c r="G68" i="5" s="1"/>
  <c r="G24" i="15"/>
  <c r="G23" i="15"/>
  <c r="L19" i="15"/>
  <c r="L18" i="15"/>
  <c r="G18" i="15"/>
  <c r="L17" i="15"/>
  <c r="G17" i="15"/>
  <c r="L16" i="15"/>
  <c r="G16" i="15"/>
  <c r="L15" i="15"/>
  <c r="G15" i="15"/>
  <c r="L14" i="15"/>
  <c r="G14" i="15"/>
  <c r="L13" i="15"/>
  <c r="G13" i="15"/>
  <c r="L12" i="15"/>
  <c r="G12" i="15"/>
  <c r="L11" i="15"/>
  <c r="G11" i="15"/>
  <c r="L10" i="15"/>
  <c r="G10" i="15"/>
  <c r="L9" i="15"/>
  <c r="G9" i="15"/>
  <c r="G8" i="15"/>
  <c r="D8" i="15"/>
  <c r="F8" i="15" s="1"/>
  <c r="H8" i="15" s="1"/>
  <c r="L8" i="15" s="1"/>
  <c r="H67" i="5" s="1"/>
  <c r="L7" i="15"/>
  <c r="G7" i="15"/>
  <c r="D7" i="15"/>
  <c r="F7" i="15" s="1"/>
  <c r="H7" i="15" s="1"/>
  <c r="G6" i="15"/>
  <c r="F6" i="15"/>
  <c r="H6" i="15" s="1"/>
  <c r="L6" i="15" s="1"/>
  <c r="D6" i="15"/>
  <c r="G5" i="15"/>
  <c r="G4" i="15"/>
  <c r="C32" i="14"/>
  <c r="K28" i="13"/>
  <c r="N18" i="13"/>
  <c r="N17" i="13"/>
  <c r="N16" i="13"/>
  <c r="N14" i="13" a="1"/>
  <c r="N15" i="13" s="1"/>
  <c r="B15" i="10"/>
  <c r="B10" i="10"/>
  <c r="B8" i="10"/>
  <c r="H7" i="10"/>
  <c r="F28" i="9"/>
  <c r="I19" i="9"/>
  <c r="B16" i="9"/>
  <c r="B3" i="10" s="1"/>
  <c r="B11" i="10" s="1"/>
  <c r="B12" i="10" s="1"/>
  <c r="B13" i="10" s="1"/>
  <c r="B15" i="9"/>
  <c r="C12" i="14" s="1"/>
  <c r="C13" i="14" s="1"/>
  <c r="B14" i="9"/>
  <c r="C33" i="14" s="1"/>
  <c r="B11" i="9"/>
  <c r="B21" i="9" s="1"/>
  <c r="B28" i="9" s="1"/>
  <c r="B9" i="9"/>
  <c r="B1" i="17" s="1"/>
  <c r="B2" i="17" s="1"/>
  <c r="B6" i="9"/>
  <c r="B4" i="9"/>
  <c r="E25" i="8"/>
  <c r="E24" i="8"/>
  <c r="E23" i="8"/>
  <c r="E22" i="8"/>
  <c r="E21" i="8"/>
  <c r="D16" i="8"/>
  <c r="G15" i="8"/>
  <c r="D15" i="8" s="1"/>
  <c r="G14" i="8"/>
  <c r="D14" i="8" s="1"/>
  <c r="G13" i="8"/>
  <c r="D13" i="8"/>
  <c r="G12" i="8"/>
  <c r="D12" i="8" s="1"/>
  <c r="D11" i="8"/>
  <c r="G10" i="8"/>
  <c r="D10" i="8"/>
  <c r="G9" i="8"/>
  <c r="D9" i="8"/>
  <c r="G8" i="8"/>
  <c r="D8" i="8" s="1"/>
  <c r="C29" i="5" s="1"/>
  <c r="G7" i="8"/>
  <c r="D7" i="8"/>
  <c r="G6" i="8"/>
  <c r="D6" i="8"/>
  <c r="G5" i="8"/>
  <c r="D5" i="8"/>
  <c r="G4" i="8"/>
  <c r="D4" i="8" s="1"/>
  <c r="C25" i="5" s="1"/>
  <c r="G3" i="8"/>
  <c r="D3" i="8"/>
  <c r="D33" i="7"/>
  <c r="C13" i="7"/>
  <c r="C8" i="7"/>
  <c r="G2" i="7"/>
  <c r="L6" i="6"/>
  <c r="L99" i="5"/>
  <c r="E34" i="7" s="1"/>
  <c r="K98" i="5"/>
  <c r="L98" i="5" s="1"/>
  <c r="J97" i="5"/>
  <c r="K97" i="5" s="1"/>
  <c r="L96" i="5"/>
  <c r="K95" i="5"/>
  <c r="L88" i="5"/>
  <c r="K88" i="5" s="1"/>
  <c r="K89" i="5" s="1"/>
  <c r="L87" i="5"/>
  <c r="K87" i="5"/>
  <c r="P81" i="5"/>
  <c r="O81" i="5"/>
  <c r="N81" i="5"/>
  <c r="M81" i="5"/>
  <c r="L81" i="5"/>
  <c r="K81" i="5"/>
  <c r="J81" i="5"/>
  <c r="I81" i="5"/>
  <c r="H81" i="5"/>
  <c r="G81" i="5"/>
  <c r="F81" i="5"/>
  <c r="E81" i="5"/>
  <c r="D81" i="5"/>
  <c r="C81" i="5"/>
  <c r="B81" i="5"/>
  <c r="Q80" i="5"/>
  <c r="P75" i="5"/>
  <c r="O75" i="5"/>
  <c r="M75" i="5"/>
  <c r="L75" i="5"/>
  <c r="K75" i="5"/>
  <c r="J75" i="5"/>
  <c r="I75" i="5"/>
  <c r="H75" i="5"/>
  <c r="G75" i="5"/>
  <c r="F75" i="5"/>
  <c r="E75" i="5"/>
  <c r="D75" i="5"/>
  <c r="C75" i="5"/>
  <c r="B75" i="5"/>
  <c r="P74" i="5"/>
  <c r="O74" i="5"/>
  <c r="M74" i="5"/>
  <c r="L74" i="5"/>
  <c r="K74" i="5"/>
  <c r="J74" i="5"/>
  <c r="I74" i="5"/>
  <c r="H74" i="5"/>
  <c r="G74" i="5"/>
  <c r="F74" i="5"/>
  <c r="E74" i="5"/>
  <c r="D74" i="5"/>
  <c r="C74" i="5"/>
  <c r="B74" i="5"/>
  <c r="N73" i="5"/>
  <c r="M73" i="5"/>
  <c r="L73" i="5"/>
  <c r="K73" i="5"/>
  <c r="I73" i="5"/>
  <c r="F73" i="5"/>
  <c r="D73" i="5"/>
  <c r="N72" i="5"/>
  <c r="M72" i="5"/>
  <c r="L72" i="5"/>
  <c r="K72" i="5"/>
  <c r="I72" i="5"/>
  <c r="F72" i="5"/>
  <c r="D72" i="5"/>
  <c r="P71" i="5"/>
  <c r="O71" i="5"/>
  <c r="N71" i="5"/>
  <c r="M71" i="5"/>
  <c r="L71" i="5"/>
  <c r="K71" i="5"/>
  <c r="J71" i="5"/>
  <c r="I71" i="5"/>
  <c r="H71" i="5"/>
  <c r="F71" i="5"/>
  <c r="D71" i="5"/>
  <c r="O70" i="5"/>
  <c r="N70" i="5"/>
  <c r="M70" i="5"/>
  <c r="L70" i="5"/>
  <c r="K70" i="5"/>
  <c r="J70" i="5"/>
  <c r="I70" i="5"/>
  <c r="F70" i="5"/>
  <c r="D70" i="5"/>
  <c r="P69" i="5"/>
  <c r="O69" i="5"/>
  <c r="N69" i="5"/>
  <c r="M69" i="5"/>
  <c r="L69" i="5"/>
  <c r="K69" i="5"/>
  <c r="J69" i="5"/>
  <c r="I69" i="5"/>
  <c r="H69" i="5"/>
  <c r="F69" i="5"/>
  <c r="D69" i="5"/>
  <c r="C69" i="5"/>
  <c r="P68" i="5"/>
  <c r="O68" i="5"/>
  <c r="N68" i="5"/>
  <c r="M68" i="5"/>
  <c r="L68" i="5"/>
  <c r="K68" i="5"/>
  <c r="J68" i="5"/>
  <c r="I68" i="5"/>
  <c r="F68" i="5"/>
  <c r="D68" i="5"/>
  <c r="C68" i="5"/>
  <c r="P67" i="5"/>
  <c r="O67" i="5"/>
  <c r="N67" i="5"/>
  <c r="M67" i="5"/>
  <c r="L67" i="5"/>
  <c r="K67" i="5"/>
  <c r="J67" i="5"/>
  <c r="I67" i="5"/>
  <c r="I80" i="5" s="1"/>
  <c r="F67" i="5"/>
  <c r="D67" i="5"/>
  <c r="C67" i="5"/>
  <c r="I56" i="5"/>
  <c r="K56" i="5" s="1"/>
  <c r="H56" i="5"/>
  <c r="K49" i="5"/>
  <c r="K48" i="5"/>
  <c r="K47" i="5"/>
  <c r="K46" i="5"/>
  <c r="K45" i="5"/>
  <c r="K44" i="5"/>
  <c r="K43" i="5"/>
  <c r="K42" i="5"/>
  <c r="C33" i="5"/>
  <c r="C32" i="5"/>
  <c r="A32" i="5"/>
  <c r="C31" i="5"/>
  <c r="B31" i="5"/>
  <c r="D31" i="5" s="1"/>
  <c r="C30" i="5"/>
  <c r="B30" i="5"/>
  <c r="D30" i="5" s="1"/>
  <c r="B29" i="5"/>
  <c r="C28" i="5"/>
  <c r="B28" i="5"/>
  <c r="D28" i="5" s="1"/>
  <c r="C27" i="5"/>
  <c r="C26" i="5"/>
  <c r="B26" i="5"/>
  <c r="D26" i="5" s="1"/>
  <c r="B25" i="5"/>
  <c r="C24" i="5"/>
  <c r="L21" i="5"/>
  <c r="H21" i="5"/>
  <c r="I21" i="5" s="1"/>
  <c r="K21" i="5" s="1"/>
  <c r="M21" i="5" s="1"/>
  <c r="G21" i="5"/>
  <c r="C21" i="5"/>
  <c r="C20" i="5"/>
  <c r="C19" i="5"/>
  <c r="L18" i="5"/>
  <c r="C18" i="5"/>
  <c r="L17" i="5"/>
  <c r="C17" i="5"/>
  <c r="L16" i="5"/>
  <c r="C16" i="5"/>
  <c r="L15" i="5"/>
  <c r="C15" i="5"/>
  <c r="L14" i="5"/>
  <c r="C14" i="5"/>
  <c r="L13" i="5"/>
  <c r="G19" i="3" s="1"/>
  <c r="C13" i="5"/>
  <c r="L12" i="5"/>
  <c r="C12" i="5"/>
  <c r="L11" i="5"/>
  <c r="C11" i="5"/>
  <c r="L10" i="5"/>
  <c r="F10" i="5"/>
  <c r="C10" i="5"/>
  <c r="L9" i="5"/>
  <c r="G23" i="3" s="1"/>
  <c r="C9" i="5"/>
  <c r="I33" i="4"/>
  <c r="H33" i="4"/>
  <c r="G33" i="4"/>
  <c r="F33" i="4"/>
  <c r="E33" i="4"/>
  <c r="D33" i="4"/>
  <c r="C33" i="4"/>
  <c r="G58" i="3"/>
  <c r="G57" i="3"/>
  <c r="G49" i="3"/>
  <c r="F49" i="3"/>
  <c r="F48" i="3"/>
  <c r="F47" i="3"/>
  <c r="F46" i="3"/>
  <c r="F45" i="3"/>
  <c r="F44" i="3"/>
  <c r="F43" i="3"/>
  <c r="F42" i="3"/>
  <c r="F41" i="3"/>
  <c r="F40" i="3"/>
  <c r="F39" i="3"/>
  <c r="F38" i="3"/>
  <c r="F37" i="3"/>
  <c r="F36" i="3"/>
  <c r="F35" i="3"/>
  <c r="F34" i="3"/>
  <c r="H24" i="3"/>
  <c r="C23" i="3"/>
  <c r="H22" i="3"/>
  <c r="C19" i="3"/>
  <c r="G18" i="3"/>
  <c r="C18" i="3"/>
  <c r="G17" i="3"/>
  <c r="C17" i="3"/>
  <c r="G16" i="3"/>
  <c r="C16" i="3"/>
  <c r="G15" i="3"/>
  <c r="C15" i="3"/>
  <c r="G14" i="3"/>
  <c r="C14" i="3"/>
  <c r="G7" i="3"/>
  <c r="H7" i="3" s="1"/>
  <c r="D7" i="3"/>
  <c r="C16" i="7" s="1"/>
  <c r="I58" i="5" s="1"/>
  <c r="B7" i="3"/>
  <c r="C15" i="7" s="1"/>
  <c r="B10" i="9" s="1"/>
  <c r="D6" i="3"/>
  <c r="C6" i="3"/>
  <c r="C7" i="7" s="1"/>
  <c r="B2" i="9" s="1"/>
  <c r="K26" i="13" s="1"/>
  <c r="B6" i="3"/>
  <c r="C6" i="7" s="1"/>
  <c r="B3" i="9" s="1"/>
  <c r="H3" i="3"/>
  <c r="D3" i="3"/>
  <c r="D34" i="7" l="1"/>
  <c r="M80" i="5"/>
  <c r="K27" i="13"/>
  <c r="K12" i="13"/>
  <c r="E22" i="5"/>
  <c r="G41" i="3"/>
  <c r="L97" i="5"/>
  <c r="G45" i="3"/>
  <c r="I8" i="16"/>
  <c r="B5" i="17"/>
  <c r="F6" i="9"/>
  <c r="H16" i="14"/>
  <c r="O11" i="13"/>
  <c r="D32" i="7"/>
  <c r="H25" i="3"/>
  <c r="C27" i="14"/>
  <c r="D25" i="5"/>
  <c r="D29" i="5"/>
  <c r="L20" i="5"/>
  <c r="L19" i="5"/>
  <c r="B7" i="9"/>
  <c r="K80" i="5"/>
  <c r="C31" i="14"/>
  <c r="C29" i="14"/>
  <c r="J3" i="10"/>
  <c r="J6" i="10" s="1"/>
  <c r="B6" i="10" s="1"/>
  <c r="C26" i="14"/>
  <c r="E33" i="7"/>
  <c r="K50" i="5"/>
  <c r="I88" i="5"/>
  <c r="I59" i="5"/>
  <c r="K59" i="5" s="1"/>
  <c r="I55" i="5"/>
  <c r="I87" i="5"/>
  <c r="I54" i="5"/>
  <c r="I57" i="5"/>
  <c r="K57" i="5" s="1"/>
  <c r="F22" i="5"/>
  <c r="L80" i="5"/>
  <c r="C28" i="14"/>
  <c r="D26" i="15"/>
  <c r="F26" i="15" s="1"/>
  <c r="H26" i="15" s="1"/>
  <c r="L26" i="15" s="1"/>
  <c r="H68" i="5" s="1"/>
  <c r="C83" i="5"/>
  <c r="H49" i="3" s="1"/>
  <c r="F29" i="9"/>
  <c r="F30" i="9" s="1"/>
  <c r="G67" i="5"/>
  <c r="I17" i="13"/>
  <c r="B8" i="9"/>
  <c r="G17" i="5" s="1"/>
  <c r="H17" i="5" s="1"/>
  <c r="I17" i="5" s="1"/>
  <c r="K17" i="5" s="1"/>
  <c r="D22" i="5"/>
  <c r="C30" i="14"/>
  <c r="C9" i="12"/>
  <c r="C16" i="12" s="1"/>
  <c r="B18" i="10"/>
  <c r="B5" i="9"/>
  <c r="N52" i="5" s="1"/>
  <c r="N53" i="5" s="1"/>
  <c r="K58" i="5" s="1"/>
  <c r="D80" i="5"/>
  <c r="E32" i="7"/>
  <c r="G18" i="5"/>
  <c r="H18" i="5" s="1"/>
  <c r="I18" i="5" s="1"/>
  <c r="K18" i="5" s="1"/>
  <c r="M18" i="5" s="1"/>
  <c r="B32" i="5"/>
  <c r="D32" i="5" s="1"/>
  <c r="F80" i="5"/>
  <c r="E30" i="7"/>
  <c r="D30" i="7"/>
  <c r="B13" i="9"/>
  <c r="D6" i="14" s="1"/>
  <c r="H75" i="15"/>
  <c r="L75" i="15" s="1"/>
  <c r="H3" i="16"/>
  <c r="N14" i="13"/>
  <c r="I7" i="16"/>
  <c r="B14" i="17"/>
  <c r="E29" i="7" l="1"/>
  <c r="D29" i="7"/>
  <c r="I82" i="5"/>
  <c r="B19" i="10"/>
  <c r="D105" i="15"/>
  <c r="B3" i="17"/>
  <c r="B4" i="17" s="1"/>
  <c r="K54" i="5"/>
  <c r="C25" i="14"/>
  <c r="J3" i="16"/>
  <c r="F3" i="16" s="1"/>
  <c r="E3" i="16" s="1"/>
  <c r="L82" i="5"/>
  <c r="G44" i="3"/>
  <c r="H44" i="3" s="1"/>
  <c r="B7" i="10"/>
  <c r="B14" i="10" s="1"/>
  <c r="B16" i="10" s="1"/>
  <c r="B17" i="10" s="1"/>
  <c r="B12" i="9"/>
  <c r="M82" i="5"/>
  <c r="M17" i="5"/>
  <c r="H17" i="3" s="1"/>
  <c r="F17" i="3"/>
  <c r="H7" i="7"/>
  <c r="K55" i="5"/>
  <c r="Q82" i="5"/>
  <c r="H45" i="3"/>
  <c r="D82" i="5"/>
  <c r="G36" i="3"/>
  <c r="H36" i="3" s="1"/>
  <c r="C5" i="12"/>
  <c r="F10" i="12" s="1"/>
  <c r="C17" i="12"/>
  <c r="I10" i="12" s="1"/>
  <c r="M10" i="12"/>
  <c r="D28" i="7"/>
  <c r="H21" i="3"/>
  <c r="H41" i="3"/>
  <c r="F82" i="5"/>
  <c r="G38" i="3"/>
  <c r="H38" i="3" s="1"/>
  <c r="K82" i="5"/>
  <c r="G43" i="3"/>
  <c r="H43" i="3" s="1"/>
  <c r="E31" i="7"/>
  <c r="P8" i="13"/>
  <c r="P9" i="13" s="1"/>
  <c r="Q8" i="13"/>
  <c r="Q9" i="13" s="1"/>
  <c r="F6" i="16" l="1"/>
  <c r="B6" i="17" s="1"/>
  <c r="B8" i="17"/>
  <c r="E28" i="7"/>
  <c r="F105" i="15"/>
  <c r="D126" i="15"/>
  <c r="E142" i="15"/>
  <c r="E19" i="5"/>
  <c r="D142" i="15"/>
  <c r="F142" i="15" s="1"/>
  <c r="H142" i="15" s="1"/>
  <c r="L142" i="15" s="1"/>
  <c r="K5" i="13"/>
  <c r="K29" i="13" s="1"/>
  <c r="D124" i="15"/>
  <c r="F124" i="15" s="1"/>
  <c r="H124" i="15" s="1"/>
  <c r="L124" i="15" s="1"/>
  <c r="C73" i="5" s="1"/>
  <c r="D103" i="15"/>
  <c r="F103" i="15" s="1"/>
  <c r="H103" i="15" s="1"/>
  <c r="L103" i="15" s="1"/>
  <c r="C72" i="5" s="1"/>
  <c r="C80" i="5" s="1"/>
  <c r="D161" i="15"/>
  <c r="F161" i="15" s="1"/>
  <c r="H161" i="15" s="1"/>
  <c r="L161" i="15" s="1"/>
  <c r="E20" i="5"/>
  <c r="C18" i="14"/>
  <c r="H14" i="14"/>
  <c r="H15" i="14" s="1"/>
  <c r="H17" i="14" s="1"/>
  <c r="B7" i="17"/>
  <c r="B9" i="17" s="1"/>
  <c r="D3" i="17" s="1"/>
  <c r="I20" i="9"/>
  <c r="I21" i="9" s="1"/>
  <c r="I6" i="16"/>
  <c r="F7" i="16" s="1"/>
  <c r="D21" i="9"/>
  <c r="D22" i="9" s="1"/>
  <c r="K60" i="5"/>
  <c r="B10" i="17" l="1"/>
  <c r="B11" i="17" s="1"/>
  <c r="C82" i="5"/>
  <c r="G35" i="3"/>
  <c r="H35" i="3" s="1"/>
  <c r="D31" i="7"/>
  <c r="C9" i="3"/>
  <c r="B12" i="17"/>
  <c r="B13" i="17" s="1"/>
  <c r="F8" i="16"/>
  <c r="I22" i="9"/>
  <c r="I23" i="9" s="1"/>
  <c r="I24" i="9" s="1"/>
  <c r="J24" i="9" s="1"/>
  <c r="F28" i="13"/>
  <c r="F16" i="9" s="1"/>
  <c r="E28" i="13"/>
  <c r="F15" i="9" s="1"/>
  <c r="C28" i="13"/>
  <c r="F13" i="9" s="1"/>
  <c r="F3" i="9" s="1"/>
  <c r="B28" i="13"/>
  <c r="D28" i="13"/>
  <c r="F14" i="9" s="1"/>
  <c r="D30" i="13"/>
  <c r="G14" i="9" s="1"/>
  <c r="C30" i="13"/>
  <c r="G13" i="9" s="1"/>
  <c r="F4" i="9" s="1"/>
  <c r="B4" i="5" s="1"/>
  <c r="F30" i="13"/>
  <c r="G16" i="9" s="1"/>
  <c r="B30" i="13"/>
  <c r="E30" i="13"/>
  <c r="G15" i="9" s="1"/>
  <c r="F126" i="15"/>
  <c r="H126" i="15" s="1"/>
  <c r="L126" i="15" s="1"/>
  <c r="P73" i="5" s="1"/>
  <c r="H105" i="15"/>
  <c r="L105" i="15" s="1"/>
  <c r="P72" i="5" s="1"/>
  <c r="F12" i="9" l="1"/>
  <c r="O14" i="13" a="1"/>
  <c r="B3" i="5"/>
  <c r="H6" i="7"/>
  <c r="B15" i="17"/>
  <c r="D9" i="14"/>
  <c r="E15" i="5"/>
  <c r="E14" i="5"/>
  <c r="L2" i="6"/>
  <c r="G12" i="9"/>
  <c r="P14" i="13" a="1"/>
  <c r="D127" i="15" l="1"/>
  <c r="F127" i="15" s="1"/>
  <c r="H127" i="15" s="1"/>
  <c r="L127" i="15" s="1"/>
  <c r="J73" i="5" s="1"/>
  <c r="D106" i="15"/>
  <c r="F106" i="15" s="1"/>
  <c r="H106" i="15" s="1"/>
  <c r="L106" i="15" s="1"/>
  <c r="J72" i="5" s="1"/>
  <c r="E10" i="5"/>
  <c r="E9" i="5"/>
  <c r="E13" i="5"/>
  <c r="C21" i="14" s="1"/>
  <c r="E16" i="5"/>
  <c r="E12" i="5"/>
  <c r="H8" i="7"/>
  <c r="B20" i="9"/>
  <c r="D7" i="14"/>
  <c r="D5" i="14" s="1"/>
  <c r="D15" i="5"/>
  <c r="D14" i="5"/>
  <c r="O17" i="13"/>
  <c r="O16" i="13"/>
  <c r="O15" i="13"/>
  <c r="O14" i="13"/>
  <c r="O18" i="13"/>
  <c r="P18" i="13"/>
  <c r="P17" i="13"/>
  <c r="P15" i="13"/>
  <c r="P16" i="13"/>
  <c r="P14" i="13"/>
  <c r="F15" i="5" l="1"/>
  <c r="E122" i="15" s="1"/>
  <c r="D125" i="15" s="1"/>
  <c r="F14" i="5"/>
  <c r="D99" i="15" s="1"/>
  <c r="D16" i="5"/>
  <c r="D100" i="15"/>
  <c r="G14" i="5"/>
  <c r="H14" i="5" s="1"/>
  <c r="D11" i="5"/>
  <c r="E104" i="15"/>
  <c r="E99" i="15"/>
  <c r="D10" i="5"/>
  <c r="D9" i="5"/>
  <c r="E125" i="15"/>
  <c r="D23" i="7"/>
  <c r="C8" i="3" s="1"/>
  <c r="E11" i="5"/>
  <c r="J80" i="5"/>
  <c r="E101" i="15" l="1"/>
  <c r="D104" i="15" s="1"/>
  <c r="F99" i="15"/>
  <c r="H99" i="15" s="1"/>
  <c r="L99" i="15" s="1"/>
  <c r="F125" i="15"/>
  <c r="H125" i="15" s="1"/>
  <c r="L125" i="15" s="1"/>
  <c r="O73" i="5" s="1"/>
  <c r="D120" i="15"/>
  <c r="F104" i="15"/>
  <c r="H104" i="15" s="1"/>
  <c r="L104" i="15" s="1"/>
  <c r="O72" i="5" s="1"/>
  <c r="O80" i="5" s="1"/>
  <c r="G15" i="5"/>
  <c r="H15" i="5" s="1"/>
  <c r="E120" i="15"/>
  <c r="D12" i="5"/>
  <c r="D4" i="15"/>
  <c r="E5" i="15"/>
  <c r="E4" i="15"/>
  <c r="D22" i="7"/>
  <c r="B8" i="3" s="1"/>
  <c r="G9" i="5"/>
  <c r="H9" i="5" s="1"/>
  <c r="D5" i="15"/>
  <c r="F5" i="15" s="1"/>
  <c r="H5" i="15" s="1"/>
  <c r="L5" i="15" s="1"/>
  <c r="E67" i="5" s="1"/>
  <c r="E100" i="15"/>
  <c r="F100" i="15"/>
  <c r="H100" i="15" s="1"/>
  <c r="L100" i="15" s="1"/>
  <c r="E72" i="5" s="1"/>
  <c r="D13" i="5"/>
  <c r="D121" i="15"/>
  <c r="E23" i="15"/>
  <c r="E24" i="15"/>
  <c r="D24" i="15"/>
  <c r="G10" i="5"/>
  <c r="H10" i="5" s="1"/>
  <c r="I10" i="5" s="1"/>
  <c r="K10" i="5" s="1"/>
  <c r="M10" i="5" s="1"/>
  <c r="D23" i="15"/>
  <c r="G42" i="3"/>
  <c r="H42" i="3" s="1"/>
  <c r="J82" i="5"/>
  <c r="E121" i="15"/>
  <c r="L19" i="12"/>
  <c r="D129" i="15"/>
  <c r="F129" i="15" s="1"/>
  <c r="H129" i="15" s="1"/>
  <c r="L129" i="15" s="1"/>
  <c r="H73" i="5" s="1"/>
  <c r="F16" i="5"/>
  <c r="G16" i="5" s="1"/>
  <c r="H16" i="5" s="1"/>
  <c r="F19" i="5"/>
  <c r="G19" i="5" s="1"/>
  <c r="H19" i="5" s="1"/>
  <c r="I19" i="5" s="1"/>
  <c r="D108" i="15"/>
  <c r="F108" i="15" s="1"/>
  <c r="H108" i="15" s="1"/>
  <c r="L108" i="15" s="1"/>
  <c r="H72" i="5" s="1"/>
  <c r="D102" i="15"/>
  <c r="F102" i="15" s="1"/>
  <c r="H102" i="15" s="1"/>
  <c r="L102" i="15" s="1"/>
  <c r="G72" i="5" s="1"/>
  <c r="F20" i="5"/>
  <c r="G20" i="5" s="1"/>
  <c r="H20" i="5" s="1"/>
  <c r="I20" i="5" s="1"/>
  <c r="H19" i="12"/>
  <c r="D123" i="15"/>
  <c r="F123" i="15" s="1"/>
  <c r="H123" i="15" s="1"/>
  <c r="L123" i="15" s="1"/>
  <c r="G73" i="5" s="1"/>
  <c r="F120" i="15" l="1"/>
  <c r="H120" i="15" s="1"/>
  <c r="L120" i="15" s="1"/>
  <c r="F4" i="15"/>
  <c r="H4" i="15" s="1"/>
  <c r="L4" i="15" s="1"/>
  <c r="D140" i="15"/>
  <c r="E140" i="15"/>
  <c r="O82" i="5"/>
  <c r="G47" i="3"/>
  <c r="H47" i="3" s="1"/>
  <c r="E160" i="15"/>
  <c r="D141" i="15"/>
  <c r="D159" i="15"/>
  <c r="D160" i="15"/>
  <c r="E141" i="15"/>
  <c r="E159" i="15"/>
  <c r="F121" i="15"/>
  <c r="H121" i="15" s="1"/>
  <c r="L121" i="15" s="1"/>
  <c r="E73" i="5" s="1"/>
  <c r="K20" i="5"/>
  <c r="M20" i="5" s="1"/>
  <c r="H20" i="3" s="1"/>
  <c r="I15" i="5"/>
  <c r="K15" i="5" s="1"/>
  <c r="C19" i="14"/>
  <c r="C17" i="14" s="1"/>
  <c r="F13" i="5" s="1"/>
  <c r="E81" i="15" s="1"/>
  <c r="F23" i="15"/>
  <c r="H23" i="15" s="1"/>
  <c r="L23" i="15" s="1"/>
  <c r="D101" i="15"/>
  <c r="F101" i="15" s="1"/>
  <c r="H101" i="15" s="1"/>
  <c r="L101" i="15" s="1"/>
  <c r="B72" i="5" s="1"/>
  <c r="D122" i="15"/>
  <c r="F122" i="15" s="1"/>
  <c r="H122" i="15" s="1"/>
  <c r="L122" i="15" s="1"/>
  <c r="B73" i="5" s="1"/>
  <c r="C2" i="15"/>
  <c r="B67" i="5"/>
  <c r="K19" i="5"/>
  <c r="I16" i="5"/>
  <c r="K16" i="5" s="1"/>
  <c r="I14" i="5"/>
  <c r="K14" i="5" s="1"/>
  <c r="F24" i="15"/>
  <c r="H24" i="15" s="1"/>
  <c r="L24" i="15" s="1"/>
  <c r="E68" i="5" s="1"/>
  <c r="I9" i="5"/>
  <c r="D80" i="15" l="1"/>
  <c r="F140" i="15"/>
  <c r="H140" i="15" s="1"/>
  <c r="L140" i="15" s="1"/>
  <c r="C138" i="15" s="1"/>
  <c r="E80" i="15"/>
  <c r="F159" i="15"/>
  <c r="H159" i="15" s="1"/>
  <c r="L159" i="15" s="1"/>
  <c r="F141" i="15"/>
  <c r="H141" i="15" s="1"/>
  <c r="L141" i="15" s="1"/>
  <c r="C97" i="15"/>
  <c r="F80" i="15"/>
  <c r="H80" i="15" s="1"/>
  <c r="L80" i="15" s="1"/>
  <c r="N74" i="5"/>
  <c r="D81" i="15"/>
  <c r="F81" i="15" s="1"/>
  <c r="H81" i="15" s="1"/>
  <c r="L81" i="15" s="1"/>
  <c r="E71" i="5" s="1"/>
  <c r="K9" i="5"/>
  <c r="C21" i="15"/>
  <c r="B68" i="5"/>
  <c r="M15" i="5"/>
  <c r="H15" i="3" s="1"/>
  <c r="F15" i="3"/>
  <c r="B27" i="5"/>
  <c r="D27" i="5" s="1"/>
  <c r="M19" i="5"/>
  <c r="C118" i="15"/>
  <c r="B33" i="5"/>
  <c r="D33" i="5" s="1"/>
  <c r="M14" i="5"/>
  <c r="H16" i="3" s="1"/>
  <c r="F16" i="3"/>
  <c r="F12" i="5"/>
  <c r="D82" i="15"/>
  <c r="F82" i="15" s="1"/>
  <c r="H82" i="15" s="1"/>
  <c r="L82" i="15" s="1"/>
  <c r="G71" i="5" s="1"/>
  <c r="M16" i="5"/>
  <c r="H14" i="3" s="1"/>
  <c r="F14" i="3"/>
  <c r="G13" i="5"/>
  <c r="H13" i="5" s="1"/>
  <c r="I13" i="5" s="1"/>
  <c r="K13" i="5" s="1"/>
  <c r="M13" i="5" s="1"/>
  <c r="F160" i="15"/>
  <c r="H160" i="15" s="1"/>
  <c r="L160" i="15" s="1"/>
  <c r="N75" i="5" s="1"/>
  <c r="D63" i="15" l="1"/>
  <c r="D45" i="15"/>
  <c r="F45" i="15" s="1"/>
  <c r="H45" i="15" s="1"/>
  <c r="L45" i="15" s="1"/>
  <c r="F11" i="5"/>
  <c r="D65" i="15"/>
  <c r="F65" i="15" s="1"/>
  <c r="H65" i="15" s="1"/>
  <c r="L65" i="15" s="1"/>
  <c r="H70" i="5" s="1"/>
  <c r="H80" i="5" s="1"/>
  <c r="G12" i="5"/>
  <c r="H12" i="5" s="1"/>
  <c r="I12" i="5" s="1"/>
  <c r="K12" i="5" s="1"/>
  <c r="D61" i="15"/>
  <c r="E62" i="15"/>
  <c r="E61" i="15"/>
  <c r="D62" i="15"/>
  <c r="N80" i="5"/>
  <c r="C157" i="15"/>
  <c r="F23" i="3"/>
  <c r="M9" i="5"/>
  <c r="B71" i="5"/>
  <c r="C78" i="15"/>
  <c r="F61" i="15" l="1"/>
  <c r="H61" i="15" s="1"/>
  <c r="L61" i="15" s="1"/>
  <c r="N82" i="5"/>
  <c r="G46" i="3"/>
  <c r="H46" i="3" s="1"/>
  <c r="B70" i="5"/>
  <c r="H82" i="5"/>
  <c r="G40" i="3"/>
  <c r="H40" i="3" s="1"/>
  <c r="D44" i="15"/>
  <c r="F44" i="15" s="1"/>
  <c r="H44" i="15" s="1"/>
  <c r="L44" i="15" s="1"/>
  <c r="G69" i="5" s="1"/>
  <c r="D32" i="13"/>
  <c r="H14" i="9" s="1"/>
  <c r="E32" i="13"/>
  <c r="H15" i="9" s="1"/>
  <c r="C32" i="13"/>
  <c r="H13" i="9" s="1"/>
  <c r="F5" i="9" s="1"/>
  <c r="B32" i="13"/>
  <c r="H12" i="9" s="1"/>
  <c r="F32" i="13"/>
  <c r="H16" i="9" s="1"/>
  <c r="E42" i="15"/>
  <c r="E43" i="15"/>
  <c r="D42" i="15"/>
  <c r="F42" i="15" s="1"/>
  <c r="H42" i="15" s="1"/>
  <c r="L42" i="15" s="1"/>
  <c r="D43" i="15"/>
  <c r="F43" i="15" s="1"/>
  <c r="H43" i="15" s="1"/>
  <c r="L43" i="15" s="1"/>
  <c r="E69" i="5" s="1"/>
  <c r="E80" i="5" s="1"/>
  <c r="G11" i="5"/>
  <c r="H11" i="5" s="1"/>
  <c r="M12" i="5"/>
  <c r="F19" i="3"/>
  <c r="H19" i="3" s="1"/>
  <c r="F62" i="15"/>
  <c r="H62" i="15" s="1"/>
  <c r="L62" i="15" s="1"/>
  <c r="E70" i="5" s="1"/>
  <c r="D66" i="15"/>
  <c r="F66" i="15" s="1"/>
  <c r="H66" i="15" s="1"/>
  <c r="L66" i="15" s="1"/>
  <c r="P70" i="5" s="1"/>
  <c r="P80" i="5" s="1"/>
  <c r="F63" i="15"/>
  <c r="H63" i="15" s="1"/>
  <c r="L63" i="15" s="1"/>
  <c r="G70" i="5" s="1"/>
  <c r="H23" i="3"/>
  <c r="G80" i="5" l="1"/>
  <c r="C59" i="15"/>
  <c r="E82" i="5"/>
  <c r="G37" i="3"/>
  <c r="H37" i="3" s="1"/>
  <c r="C40" i="15"/>
  <c r="B69" i="5"/>
  <c r="B80" i="5" s="1"/>
  <c r="D24" i="7"/>
  <c r="D8" i="3" s="1"/>
  <c r="B5" i="5"/>
  <c r="F9" i="9"/>
  <c r="P82" i="5"/>
  <c r="G48" i="3"/>
  <c r="H48" i="3" s="1"/>
  <c r="I11" i="5"/>
  <c r="H22" i="5"/>
  <c r="B82" i="5" l="1"/>
  <c r="R80" i="5"/>
  <c r="G34" i="3"/>
  <c r="K11" i="5"/>
  <c r="I22" i="5"/>
  <c r="G82" i="5"/>
  <c r="G39" i="3"/>
  <c r="H39" i="3" s="1"/>
  <c r="C84" i="5" l="1"/>
  <c r="D27" i="7" s="1"/>
  <c r="E27" i="7"/>
  <c r="G50" i="3"/>
  <c r="H34" i="3"/>
  <c r="F18" i="3"/>
  <c r="M11" i="5"/>
  <c r="K22" i="5"/>
  <c r="B24" i="5"/>
  <c r="H50" i="3" l="1"/>
  <c r="B34" i="5"/>
  <c r="D24" i="5"/>
  <c r="D34" i="5" s="1"/>
  <c r="H18" i="3"/>
  <c r="M22" i="5"/>
  <c r="H28" i="3" l="1"/>
  <c r="D26" i="7"/>
  <c r="F63" i="5"/>
  <c r="L94" i="5" s="1"/>
  <c r="K51" i="5"/>
  <c r="H52" i="3"/>
  <c r="L4" i="6" s="1"/>
  <c r="I49" i="3"/>
  <c r="I41" i="3"/>
  <c r="I45" i="3"/>
  <c r="I36" i="3"/>
  <c r="I44" i="3"/>
  <c r="I43" i="3"/>
  <c r="I38" i="3"/>
  <c r="I35" i="3"/>
  <c r="I42" i="3"/>
  <c r="I47" i="3"/>
  <c r="I46" i="3"/>
  <c r="I40" i="3"/>
  <c r="I37" i="3"/>
  <c r="I48" i="3"/>
  <c r="I39" i="3"/>
  <c r="I34" i="3"/>
  <c r="L95" i="5" l="1"/>
  <c r="E26" i="7"/>
  <c r="K22" i="7"/>
  <c r="M20" i="7" s="1"/>
  <c r="L3" i="6"/>
  <c r="I22" i="3"/>
  <c r="I24" i="3"/>
  <c r="I25" i="3"/>
  <c r="I21" i="3"/>
  <c r="I17" i="3"/>
  <c r="I20" i="3"/>
  <c r="I16" i="3"/>
  <c r="I15" i="3"/>
  <c r="I14" i="3"/>
  <c r="I23" i="3"/>
  <c r="I19" i="3"/>
  <c r="I18" i="3"/>
  <c r="E35" i="7" l="1"/>
  <c r="E25" i="7" s="1"/>
  <c r="G59" i="3"/>
  <c r="G61" i="3" s="1"/>
  <c r="D35" i="7"/>
  <c r="I28" i="3"/>
  <c r="L100" i="5"/>
  <c r="B19" i="9" s="1"/>
  <c r="B23" i="9" s="1"/>
  <c r="D18" i="9" s="1"/>
  <c r="D25" i="7" l="1"/>
  <c r="L5" i="6"/>
  <c r="H65" i="3"/>
  <c r="D20" i="9"/>
  <c r="H13" i="7" s="1"/>
  <c r="D19" i="9"/>
  <c r="H12" i="7" s="1"/>
  <c r="H14" i="7" s="1"/>
  <c r="D24" i="3" l="1"/>
  <c r="J6" i="4" s="1"/>
  <c r="K6" i="4" s="1"/>
  <c r="D22" i="3"/>
  <c r="J11" i="4" s="1"/>
  <c r="K11" i="4" s="1"/>
  <c r="C49" i="3"/>
  <c r="J24" i="4" s="1"/>
  <c r="K24" i="4" s="1"/>
  <c r="D25" i="3"/>
  <c r="J12" i="4" s="1"/>
  <c r="K12" i="4" s="1"/>
  <c r="C45" i="3"/>
  <c r="J30" i="4" s="1"/>
  <c r="K30" i="4" s="1"/>
  <c r="C41" i="3"/>
  <c r="J27" i="4" s="1"/>
  <c r="K27" i="4" s="1"/>
  <c r="D21" i="3"/>
  <c r="J10" i="4" s="1"/>
  <c r="K10" i="4" s="1"/>
  <c r="D17" i="3"/>
  <c r="J13" i="4" s="1"/>
  <c r="K13" i="4" s="1"/>
  <c r="C36" i="3"/>
  <c r="J25" i="4" s="1"/>
  <c r="K25" i="4" s="1"/>
  <c r="C43" i="3"/>
  <c r="J28" i="4" s="1"/>
  <c r="K28" i="4" s="1"/>
  <c r="C44" i="3"/>
  <c r="J29" i="4" s="1"/>
  <c r="K29" i="4" s="1"/>
  <c r="C38" i="3"/>
  <c r="J26" i="4" s="1"/>
  <c r="K26" i="4" s="1"/>
  <c r="C10" i="3"/>
  <c r="J31" i="4" s="1"/>
  <c r="K31" i="4" s="1"/>
  <c r="C35" i="3"/>
  <c r="J22" i="4" s="1"/>
  <c r="K22" i="4" s="1"/>
  <c r="C42" i="3"/>
  <c r="J23" i="4" s="1"/>
  <c r="K23" i="4" s="1"/>
  <c r="C47" i="3"/>
  <c r="J17" i="4" s="1"/>
  <c r="K17" i="4" s="1"/>
  <c r="D20" i="3"/>
  <c r="J14" i="4" s="1"/>
  <c r="K14" i="4" s="1"/>
  <c r="D14" i="3"/>
  <c r="J5" i="4" s="1"/>
  <c r="K5" i="4" s="1"/>
  <c r="D15" i="3"/>
  <c r="J3" i="4" s="1"/>
  <c r="D16" i="3"/>
  <c r="J4" i="4" s="1"/>
  <c r="K4" i="4" s="1"/>
  <c r="C46" i="3"/>
  <c r="J18" i="4" s="1"/>
  <c r="K18" i="4" s="1"/>
  <c r="D19" i="3"/>
  <c r="J8" i="4" s="1"/>
  <c r="K8" i="4" s="1"/>
  <c r="C40" i="3"/>
  <c r="J21" i="4" s="1"/>
  <c r="K21" i="4" s="1"/>
  <c r="D23" i="3"/>
  <c r="J9" i="4" s="1"/>
  <c r="K9" i="4" s="1"/>
  <c r="C37" i="3"/>
  <c r="J15" i="4" s="1"/>
  <c r="K15" i="4" s="1"/>
  <c r="C48" i="3"/>
  <c r="J20" i="4" s="1"/>
  <c r="K20" i="4" s="1"/>
  <c r="C39" i="3"/>
  <c r="J19" i="4" s="1"/>
  <c r="K19" i="4" s="1"/>
  <c r="C34" i="3"/>
  <c r="J16" i="4" s="1"/>
  <c r="K16" i="4" s="1"/>
  <c r="D18" i="3"/>
  <c r="J7" i="4" s="1"/>
  <c r="K7" i="4" s="1"/>
  <c r="J32" i="4"/>
  <c r="K32" i="4" s="1"/>
  <c r="C34" i="7"/>
  <c r="C33" i="7"/>
  <c r="C32" i="7"/>
  <c r="C30" i="7"/>
  <c r="C28" i="7"/>
  <c r="C29" i="7"/>
  <c r="C31" i="7"/>
  <c r="C27" i="7"/>
  <c r="C26" i="7"/>
  <c r="C35" i="7"/>
  <c r="C25" i="7" l="1"/>
  <c r="J33" i="4"/>
  <c r="K3" i="4"/>
  <c r="L34" i="4" l="1"/>
  <c r="K34" i="4"/>
  <c r="K33" i="4"/>
</calcChain>
</file>

<file path=xl/sharedStrings.xml><?xml version="1.0" encoding="utf-8"?>
<sst xmlns="http://schemas.openxmlformats.org/spreadsheetml/2006/main" count="1055" uniqueCount="593">
  <si>
    <t>Length (in mm): </t>
  </si>
  <si>
    <t>200</t>
  </si>
  <si>
    <t>Width (in mm): </t>
  </si>
  <si>
    <t>100</t>
  </si>
  <si>
    <t>Height(in): </t>
  </si>
  <si>
    <t>50</t>
  </si>
  <si>
    <t>Cavity: </t>
  </si>
  <si>
    <t>2</t>
  </si>
  <si>
    <t>Complexity: </t>
  </si>
  <si>
    <t>1</t>
  </si>
  <si>
    <t>Hot Runner: </t>
  </si>
  <si>
    <t>yes</t>
  </si>
  <si>
    <t>120000</t>
  </si>
  <si>
    <t>Mould Flow Analysis: </t>
  </si>
  <si>
    <t>Texturing: </t>
  </si>
  <si>
    <t>Heat Treatment: </t>
  </si>
  <si>
    <t>Polishing: </t>
  </si>
  <si>
    <t>       </t>
  </si>
  <si>
    <t>Assumptions</t>
  </si>
  <si>
    <t>• Overall:</t>
  </si>
  <si>
    <t>1.       In relevant cases, an efficiency of 90% is taken into consideration.</t>
  </si>
  <si>
    <t>2.       The complexity of the material has an impact on the raw material selection, machining cost, and design cost of the mould.</t>
  </si>
  <si>
    <t>3.       Typically, a single shift of 8 hours per day is assumed, with one machine in operation. (This can be adjusted in the respective sheets or scenarios.)</t>
  </si>
  <si>
    <t>4.       An overhead profit margin of 10% is accounted for.</t>
  </si>
  <si>
    <t>5.       A service charge of 4% is factored into the calculations.</t>
  </si>
  <si>
    <t>·Cavity Calculation:</t>
  </si>
  <si>
    <t>1.       The injection and dwelling time for the process is set at a duration of 3 seconds.</t>
  </si>
  <si>
    <t>2.       The cooling time required for the part is contingent upon its thickness and the material from which it is made.</t>
  </si>
  <si>
    <t>·Mould Construction:</t>
  </si>
  <si>
    <t>1.       The number of cavities in a mould has a direct relationship with the length and width of the mould.</t>
  </si>
  <si>
    <t>2.       The assumed tolerance between the two parts is 50 mm.</t>
  </si>
  <si>
    <t>3.       The engineering properties of materials have been considered based on standard or mean data.</t>
  </si>
  <si>
    <t>4.       Standard and pre-determined materials are used for different parts of the mould, and they can be changed if necessary.</t>
  </si>
  <si>
    <t>5.       Standard rates are applied to standard items.</t>
  </si>
  <si>
    <t>6.       Standard processes are used for the machining of different component of mould.</t>
  </si>
  <si>
    <t xml:space="preserve">  TOOLING COST BREAK - UP ESTIMATE          </t>
  </si>
  <si>
    <t>MANUAL ENTRY</t>
  </si>
  <si>
    <t xml:space="preserve">Last modified at:  </t>
  </si>
  <si>
    <t xml:space="preserve">      DATE : </t>
  </si>
  <si>
    <t>PART IMAGE</t>
  </si>
  <si>
    <t>CUSTOMER NAME : -</t>
  </si>
  <si>
    <t>TVSM</t>
  </si>
  <si>
    <t>LENGTH</t>
  </si>
  <si>
    <t>WIDTH</t>
  </si>
  <si>
    <t>HEIGHT</t>
  </si>
  <si>
    <t>TOOL MAKER NAME : -</t>
  </si>
  <si>
    <t>PART SIZE :-</t>
  </si>
  <si>
    <t>No of Gate</t>
  </si>
  <si>
    <t>HRS PRICE</t>
  </si>
  <si>
    <t>TOTAL HRS COST</t>
  </si>
  <si>
    <t>NO CAVITY :-</t>
  </si>
  <si>
    <t>COMPLEXITY</t>
  </si>
  <si>
    <t>RUNNER &amp; GATE:-</t>
  </si>
  <si>
    <t>M. DIME</t>
  </si>
  <si>
    <t xml:space="preserve">PART WT :- </t>
  </si>
  <si>
    <t>in 3D (KG)</t>
  </si>
  <si>
    <t xml:space="preserve">I) DESIGN COST +MOULD FLOW   : </t>
  </si>
  <si>
    <t>PART DESIGN (RE)</t>
  </si>
  <si>
    <t>(PART 3D SCANNIG+3D DATA RE)</t>
  </si>
  <si>
    <t xml:space="preserve"> ( A )</t>
  </si>
  <si>
    <t>II) RAW MATERIAL COST :</t>
  </si>
  <si>
    <t>FACTORS</t>
  </si>
  <si>
    <t>S.No.</t>
  </si>
  <si>
    <t>SUB PART NAME</t>
  </si>
  <si>
    <t>MATERIAL SPEC.</t>
  </si>
  <si>
    <t>REMARKS</t>
  </si>
  <si>
    <t xml:space="preserve">RM WEIGHT </t>
  </si>
  <si>
    <t>UNIT PRICE</t>
  </si>
  <si>
    <t>TOTAL VALUE</t>
  </si>
  <si>
    <t>Kg ( 1 )</t>
  </si>
  <si>
    <t>Rs/Kg ( 2 )</t>
  </si>
  <si>
    <t>Rs.  ( 1X2 )</t>
  </si>
  <si>
    <t>MOULD BASE</t>
  </si>
  <si>
    <t>MOULD FLOW</t>
  </si>
  <si>
    <t xml:space="preserve">CORE </t>
  </si>
  <si>
    <t>HOT RUNNER</t>
  </si>
  <si>
    <t>CAVITY</t>
  </si>
  <si>
    <t>SERVICE CHARGE</t>
  </si>
  <si>
    <t>ELECTRODES</t>
  </si>
  <si>
    <t>TEXTURING</t>
  </si>
  <si>
    <t>SPACER BLOCK</t>
  </si>
  <si>
    <t>DIMENSION CHANGE</t>
  </si>
  <si>
    <t>EJECTOR PLATE</t>
  </si>
  <si>
    <t>OTHER PARTS</t>
  </si>
  <si>
    <t>-</t>
  </si>
  <si>
    <t>STANDARD ITEMS</t>
  </si>
  <si>
    <t>CLAMPING PLATE</t>
  </si>
  <si>
    <t>HRS</t>
  </si>
  <si>
    <t>HARDENING + POLISHING</t>
  </si>
  <si>
    <t>TOTAL IN Rs.</t>
  </si>
  <si>
    <t xml:space="preserve">         ( B )</t>
  </si>
  <si>
    <t>III) PROCESS COST :</t>
  </si>
  <si>
    <t>OPERATION</t>
  </si>
  <si>
    <t>MACHINE/ MAN HOUR RATE Rs / Hr ( 3 )</t>
  </si>
  <si>
    <t>TIME REQD.</t>
  </si>
  <si>
    <t>TOTAL COST</t>
  </si>
  <si>
    <t xml:space="preserve"> Hr ( 5 )</t>
  </si>
  <si>
    <t xml:space="preserve"> Rs ( 3X5 )</t>
  </si>
  <si>
    <t>Conv Milling - Facing</t>
  </si>
  <si>
    <t>Conv Milling - End Milling</t>
  </si>
  <si>
    <t>Conv Lathe - Facing / Turning</t>
  </si>
  <si>
    <t>Surface Grinding</t>
  </si>
  <si>
    <t>Cylindrical Grinding</t>
  </si>
  <si>
    <t>Radial Drilling - Hole drilling</t>
  </si>
  <si>
    <t>Radial Drilling - Reaming / Tapping</t>
  </si>
  <si>
    <t>Pillar Drilling</t>
  </si>
  <si>
    <t>Gun Drilling</t>
  </si>
  <si>
    <t>NC EDM</t>
  </si>
  <si>
    <t>Wirecut EDM</t>
  </si>
  <si>
    <t>Jig Boring</t>
  </si>
  <si>
    <t>CNC Lathe</t>
  </si>
  <si>
    <t>CNC Milling</t>
  </si>
  <si>
    <t>CNC EDM</t>
  </si>
  <si>
    <t>Bench Work</t>
  </si>
  <si>
    <t xml:space="preserve">TOTAL PROCESS COST :-                                                            </t>
  </si>
  <si>
    <t xml:space="preserve">         ( C )</t>
  </si>
  <si>
    <t>IV) PROFIT &amp; OVERHEADS COST :</t>
  </si>
  <si>
    <t xml:space="preserve">       %AGE RATE </t>
  </si>
  <si>
    <t xml:space="preserve">TOTAL COST </t>
  </si>
  <si>
    <t>Material Movement &amp; Mold Forwarding</t>
  </si>
  <si>
    <t>PROFIT &amp; OVERHEADS</t>
  </si>
  <si>
    <t xml:space="preserve">         ( D )</t>
  </si>
  <si>
    <t xml:space="preserve">V) OTHER EXPENSES :   Rs.                            </t>
  </si>
  <si>
    <t xml:space="preserve">         ( E )</t>
  </si>
  <si>
    <t>OVERALL  COST : ( A+B+C+D+E )    -  Rs</t>
  </si>
  <si>
    <t xml:space="preserve">( PREPARED BY )  </t>
  </si>
  <si>
    <t xml:space="preserve">( APPROVED BY )  </t>
  </si>
  <si>
    <t>Part D. No.</t>
  </si>
  <si>
    <t>Cost Component</t>
  </si>
  <si>
    <t>3</t>
  </si>
  <si>
    <t>4</t>
  </si>
  <si>
    <t>5</t>
  </si>
  <si>
    <t>6</t>
  </si>
  <si>
    <t>7</t>
  </si>
  <si>
    <t>8</t>
  </si>
  <si>
    <t>Average contribution</t>
  </si>
  <si>
    <t>Design Cost</t>
  </si>
  <si>
    <t>Fluctuation is due to HRS System</t>
  </si>
  <si>
    <t>Other Cost</t>
  </si>
  <si>
    <t>Mould Dimensions Calculations</t>
  </si>
  <si>
    <t>Mould Dimesnsions</t>
  </si>
  <si>
    <t>Dimensions</t>
  </si>
  <si>
    <t>Length</t>
  </si>
  <si>
    <t>Witdh</t>
  </si>
  <si>
    <t>Height</t>
  </si>
  <si>
    <t>Mould Base Cost</t>
  </si>
  <si>
    <t>Item Description</t>
  </si>
  <si>
    <t>Material</t>
  </si>
  <si>
    <t>Density(g/cm3)</t>
  </si>
  <si>
    <t>Width / Diameter</t>
  </si>
  <si>
    <t>Volume(in cm3)</t>
  </si>
  <si>
    <t>Weight in Kg</t>
  </si>
  <si>
    <t>Total Weight in Kg (10% Machining Allowance)</t>
  </si>
  <si>
    <t>QTY</t>
  </si>
  <si>
    <t>Total weight</t>
  </si>
  <si>
    <t>Price/kg</t>
  </si>
  <si>
    <t>Total Price</t>
  </si>
  <si>
    <t>Top Clamp Plate</t>
  </si>
  <si>
    <t>C-45</t>
  </si>
  <si>
    <t>Bottom Clamp Plate</t>
  </si>
  <si>
    <t>Spacer Block</t>
  </si>
  <si>
    <t>Ejector Retainer Plate</t>
  </si>
  <si>
    <t>Ejector Back Plate</t>
  </si>
  <si>
    <t>Cavity Plate</t>
  </si>
  <si>
    <t>P20</t>
  </si>
  <si>
    <t>Core Plate</t>
  </si>
  <si>
    <t xml:space="preserve">Mould Base  </t>
  </si>
  <si>
    <t>Electrode (Roughing)</t>
  </si>
  <si>
    <t>Graphite</t>
  </si>
  <si>
    <t>Electrode (Finishing)</t>
  </si>
  <si>
    <t>Guide Pillar</t>
  </si>
  <si>
    <t>OHNS</t>
  </si>
  <si>
    <t>Guide Bush</t>
  </si>
  <si>
    <t>Locating Ring / Register Ring</t>
  </si>
  <si>
    <t>Total Mould Weight</t>
  </si>
  <si>
    <t>TOTAL (A1)</t>
  </si>
  <si>
    <t>Total(in KG)</t>
  </si>
  <si>
    <t>Case Hardening Steel</t>
  </si>
  <si>
    <t>Silver Steel</t>
  </si>
  <si>
    <t>HCHCr</t>
  </si>
  <si>
    <t>HDS</t>
  </si>
  <si>
    <t>HSS</t>
  </si>
  <si>
    <t>SG IRON</t>
  </si>
  <si>
    <t>#ERROR#</t>
  </si>
  <si>
    <t>Standard Items</t>
  </si>
  <si>
    <t>Spec / Size</t>
  </si>
  <si>
    <t>Rate / QTY</t>
  </si>
  <si>
    <t>Cost</t>
  </si>
  <si>
    <t>Sprue Bush</t>
  </si>
  <si>
    <t>Fasteners - Mould Clamping</t>
  </si>
  <si>
    <t>Allen Bolt</t>
  </si>
  <si>
    <t>Fasteners - Ejector Mechanism</t>
  </si>
  <si>
    <t>Ejector Pins</t>
  </si>
  <si>
    <t>Return Pins</t>
  </si>
  <si>
    <t>Springs</t>
  </si>
  <si>
    <t>Cooling Nipples</t>
  </si>
  <si>
    <t>Hydraulic Cylinders</t>
  </si>
  <si>
    <t>Total (A2)</t>
  </si>
  <si>
    <t>Total (A1+A2)</t>
  </si>
  <si>
    <t>Others Details</t>
  </si>
  <si>
    <t>TVS/Supplier</t>
  </si>
  <si>
    <t>Time in Hrs</t>
  </si>
  <si>
    <t>Rate / Hour</t>
  </si>
  <si>
    <t>Amount in Rs</t>
  </si>
  <si>
    <t>Dimension Factor</t>
  </si>
  <si>
    <t>TVS</t>
  </si>
  <si>
    <t>Assembly Cost</t>
  </si>
  <si>
    <t>Mold Flow Charges</t>
  </si>
  <si>
    <t>Trial Charges</t>
  </si>
  <si>
    <t>Surface Generation</t>
  </si>
  <si>
    <t>Inspection &amp; Proving</t>
  </si>
  <si>
    <t>TOTAL (C)</t>
  </si>
  <si>
    <t>TOTAL(A+B+C)</t>
  </si>
  <si>
    <t>Conversion / Machining Cost</t>
  </si>
  <si>
    <t>TOTAL HOUR</t>
  </si>
  <si>
    <t>CF</t>
  </si>
  <si>
    <t>Total(D)</t>
  </si>
  <si>
    <t>In-house / 
Sub-Contract</t>
  </si>
  <si>
    <t>Weight / Hours</t>
  </si>
  <si>
    <t>Amount</t>
  </si>
  <si>
    <t>Mould Polishing</t>
  </si>
  <si>
    <t>Heat-treatment</t>
  </si>
  <si>
    <t>Total (E)</t>
  </si>
  <si>
    <t>(D) Total Machining Cost</t>
  </si>
  <si>
    <t>F</t>
  </si>
  <si>
    <t>Scrap Recovery</t>
  </si>
  <si>
    <t>G</t>
  </si>
  <si>
    <t>Sub Totals (A+B+C+D+E-F)</t>
  </si>
  <si>
    <t>H</t>
  </si>
  <si>
    <t>Overheads &amp; Profit</t>
  </si>
  <si>
    <t>I</t>
  </si>
  <si>
    <t>J</t>
  </si>
  <si>
    <t>Hot Runner</t>
  </si>
  <si>
    <t>K</t>
  </si>
  <si>
    <t>Texturizing Cost</t>
  </si>
  <si>
    <t>chk how to calc</t>
  </si>
  <si>
    <t>L</t>
  </si>
  <si>
    <t>Service Charges</t>
  </si>
  <si>
    <t>Total Tool Cost</t>
  </si>
  <si>
    <t xml:space="preserve">V) OTHER EXPENSES :                         </t>
  </si>
  <si>
    <t>index</t>
  </si>
  <si>
    <t>Don’t edit Value in RED</t>
  </si>
  <si>
    <t>Input Value in YELLOW</t>
  </si>
  <si>
    <t>Input</t>
  </si>
  <si>
    <t>Unit</t>
  </si>
  <si>
    <t>Remarks</t>
  </si>
  <si>
    <t>Part Cost</t>
  </si>
  <si>
    <t>mm</t>
  </si>
  <si>
    <t>Longest dimesnion of part</t>
  </si>
  <si>
    <t>Total cost/part</t>
  </si>
  <si>
    <t>Width</t>
  </si>
  <si>
    <t>Second longest</t>
  </si>
  <si>
    <t>No of parts</t>
  </si>
  <si>
    <t>Smallest dimension</t>
  </si>
  <si>
    <t>Total cost</t>
  </si>
  <si>
    <t>Interchange Dim.</t>
  </si>
  <si>
    <t>Check for the cost change</t>
  </si>
  <si>
    <t>Avg. Wall Thickness</t>
  </si>
  <si>
    <t>Part Thickness</t>
  </si>
  <si>
    <t>Max. wall Thickness</t>
  </si>
  <si>
    <t>Part Material</t>
  </si>
  <si>
    <t>ABS</t>
  </si>
  <si>
    <t>Material used for moulding</t>
  </si>
  <si>
    <t>COST/Part inc. mould</t>
  </si>
  <si>
    <t>Injection Pressure</t>
  </si>
  <si>
    <t>kg/cm2</t>
  </si>
  <si>
    <t xml:space="preserve">Based on Tonnage </t>
  </si>
  <si>
    <t>Daily expense</t>
  </si>
  <si>
    <t>No of Cavity</t>
  </si>
  <si>
    <t>Auto/Manual</t>
  </si>
  <si>
    <t>Enter Cavity no</t>
  </si>
  <si>
    <t>nos</t>
  </si>
  <si>
    <t>Enter manual cavity no in this box</t>
  </si>
  <si>
    <t>Complexity Factor</t>
  </si>
  <si>
    <t>Least=1 - Highest=5</t>
  </si>
  <si>
    <t>Part Projection</t>
  </si>
  <si>
    <t>in %</t>
  </si>
  <si>
    <t>No of machine</t>
  </si>
  <si>
    <t>Daily Production</t>
  </si>
  <si>
    <t>in nos</t>
  </si>
  <si>
    <t xml:space="preserve">Total Part </t>
  </si>
  <si>
    <t>Total part that is required</t>
  </si>
  <si>
    <t>Complexity fact</t>
  </si>
  <si>
    <t>MOULD SIZE</t>
  </si>
  <si>
    <t>Ratio</t>
  </si>
  <si>
    <t>Consider Complexity</t>
  </si>
  <si>
    <t>Total Mould Cost</t>
  </si>
  <si>
    <t>Material Cost</t>
  </si>
  <si>
    <t>Conversion Cost</t>
  </si>
  <si>
    <t>Texturizing</t>
  </si>
  <si>
    <t>Design &amp; Mould Flow</t>
  </si>
  <si>
    <t>Polishing &amp; Treatment</t>
  </si>
  <si>
    <t>Packaging &amp; Movement</t>
  </si>
  <si>
    <t>Profit &amp; Overhead</t>
  </si>
  <si>
    <t>Various Tool Steel</t>
  </si>
  <si>
    <t>Density(g/cc3)</t>
  </si>
  <si>
    <t>Uses</t>
  </si>
  <si>
    <t>Price/Kg</t>
  </si>
  <si>
    <t>RM cost</t>
  </si>
  <si>
    <t>Extra cost</t>
  </si>
  <si>
    <t>Total</t>
  </si>
  <si>
    <t>Machining Process</t>
  </si>
  <si>
    <t>MRR in cm3/min</t>
  </si>
  <si>
    <t>MHR</t>
  </si>
  <si>
    <t>Column1</t>
  </si>
  <si>
    <t>Top &amp; Bottom Bolster, Housing, Ejector Plate, Spacers, Locating Ring</t>
  </si>
  <si>
    <t>Pillar &amp; Bush, Stripper Bolts, wear plates, Finger cams, Etc</t>
  </si>
  <si>
    <t>Ejector pins</t>
  </si>
  <si>
    <t>Push back pin, Ejector pin, Sprue Bush, Wear plates, Pillar and Bush, Forming Punches</t>
  </si>
  <si>
    <t>Punch, Die, Inserts, Piercing punches</t>
  </si>
  <si>
    <t>Core &amp; Cavity,Inserts, Core pins, Ejector pins</t>
  </si>
  <si>
    <t>Piercing punches &amp; Die</t>
  </si>
  <si>
    <t>Housing for Pressure Die casting</t>
  </si>
  <si>
    <t>Core &amp; Cavity of Plastic Mould</t>
  </si>
  <si>
    <t>Dievar</t>
  </si>
  <si>
    <t xml:space="preserve">Casting core &amp; cavity-Surface finish will be good </t>
  </si>
  <si>
    <t>FCD55</t>
  </si>
  <si>
    <t>mold base</t>
  </si>
  <si>
    <t>EN8</t>
  </si>
  <si>
    <t>Orvar</t>
  </si>
  <si>
    <t>core &amp; cavity-casting</t>
  </si>
  <si>
    <t>electrode</t>
  </si>
  <si>
    <t>Tonnage Constant(/cm2)</t>
  </si>
  <si>
    <t>Density</t>
  </si>
  <si>
    <t>Young modulus</t>
  </si>
  <si>
    <t>PS</t>
  </si>
  <si>
    <t>PE</t>
  </si>
  <si>
    <t>PP</t>
  </si>
  <si>
    <t>PA-unfilled-dupont</t>
  </si>
  <si>
    <t>POM</t>
  </si>
  <si>
    <t>Glass fiber-Plain</t>
  </si>
  <si>
    <t>Nylon-srf</t>
  </si>
  <si>
    <t xml:space="preserve">Part </t>
  </si>
  <si>
    <t>unit</t>
  </si>
  <si>
    <t>Mould Dimensions Calculation based on Part Data</t>
  </si>
  <si>
    <t xml:space="preserve">Width </t>
  </si>
  <si>
    <t>Volume</t>
  </si>
  <si>
    <t>mm3</t>
  </si>
  <si>
    <t xml:space="preserve">Height </t>
  </si>
  <si>
    <t>%Projection</t>
  </si>
  <si>
    <t>Cavity</t>
  </si>
  <si>
    <t>Projected Area(in mm2)</t>
  </si>
  <si>
    <t>mm2</t>
  </si>
  <si>
    <t>Gap between cavity(T)</t>
  </si>
  <si>
    <t>surface area(Better estimation then projection area)</t>
  </si>
  <si>
    <t>Material Used</t>
  </si>
  <si>
    <t>Volume(in mm2)</t>
  </si>
  <si>
    <t>No ofCavity</t>
  </si>
  <si>
    <t xml:space="preserve">No of parts( Dmd. ) </t>
  </si>
  <si>
    <t>Cycle Time</t>
  </si>
  <si>
    <t>sec</t>
  </si>
  <si>
    <t>Max wall thickness</t>
  </si>
  <si>
    <t>Daily production</t>
  </si>
  <si>
    <t>increase no of machine</t>
  </si>
  <si>
    <t>Output</t>
  </si>
  <si>
    <t>Price</t>
  </si>
  <si>
    <t>Mould Cost</t>
  </si>
  <si>
    <t>Cost per part</t>
  </si>
  <si>
    <t>TOTAL WORKING HOUR</t>
  </si>
  <si>
    <t xml:space="preserve">Total Part cost </t>
  </si>
  <si>
    <t>per day cost</t>
  </si>
  <si>
    <t>CYCLE TIME</t>
  </si>
  <si>
    <t>no of cycle/day</t>
  </si>
  <si>
    <t xml:space="preserve">NO OF CYCLE </t>
  </si>
  <si>
    <t>total cycle</t>
  </si>
  <si>
    <t>WASTE TIME</t>
  </si>
  <si>
    <t>Total price</t>
  </si>
  <si>
    <t>NET CYCLE</t>
  </si>
  <si>
    <t>P/SEC</t>
  </si>
  <si>
    <t>PART PRODUCE</t>
  </si>
  <si>
    <t>NO OF WORKING DAY REQ</t>
  </si>
  <si>
    <t>PROFIT</t>
  </si>
  <si>
    <t>NET PROFIT</t>
  </si>
  <si>
    <t>PER DAY PROFIT</t>
  </si>
  <si>
    <t>Cavity Calculation</t>
  </si>
  <si>
    <t>Cycle Time calculation</t>
  </si>
  <si>
    <t>Value in Sec</t>
  </si>
  <si>
    <t>Value</t>
  </si>
  <si>
    <t>T1 = Injection time + dwelling time</t>
  </si>
  <si>
    <t>Daily Requirements</t>
  </si>
  <si>
    <t>No.s</t>
  </si>
  <si>
    <t>T2 = Cooling time</t>
  </si>
  <si>
    <t>Efficiency (Labour &amp; Machine)</t>
  </si>
  <si>
    <t>T3 = Time required to remove the molded product</t>
  </si>
  <si>
    <t>Material Rejection</t>
  </si>
  <si>
    <t>T4 = Time needed for opening and closing the mold</t>
  </si>
  <si>
    <t>Cycle Time / Part</t>
  </si>
  <si>
    <t>Secs</t>
  </si>
  <si>
    <t>Cycle Time /Part</t>
  </si>
  <si>
    <t>Hours</t>
  </si>
  <si>
    <t>Nominal thickness</t>
  </si>
  <si>
    <t>Hours per Shift</t>
  </si>
  <si>
    <t>Cooling time data</t>
  </si>
  <si>
    <t>No of Shift</t>
  </si>
  <si>
    <t>Thickness</t>
  </si>
  <si>
    <t>Actual QTY Required (Considering efficiency)</t>
  </si>
  <si>
    <t>Production QTY Req. (Considering Material Rej)</t>
  </si>
  <si>
    <t>Required QTY(Rounding off to nearest integer)</t>
  </si>
  <si>
    <t>Time Required to produce per day requirement</t>
  </si>
  <si>
    <t>Time Available for production</t>
  </si>
  <si>
    <t>PC</t>
  </si>
  <si>
    <t>No of Cavity (Calculated)</t>
  </si>
  <si>
    <t>Round of cavity( based on No of part)</t>
  </si>
  <si>
    <t>No of cavity( As per part length)</t>
  </si>
  <si>
    <t>cavity 1</t>
  </si>
  <si>
    <t>cavity 2</t>
  </si>
  <si>
    <t>cavity 4</t>
  </si>
  <si>
    <t>cavity 6</t>
  </si>
  <si>
    <t>cavity 8</t>
  </si>
  <si>
    <t>Part</t>
  </si>
  <si>
    <t>Mould</t>
  </si>
  <si>
    <t>Complexity index</t>
  </si>
  <si>
    <t>Complexity factor</t>
  </si>
  <si>
    <t>Mould Complexity Rating Scale for Injection Moulding:</t>
  </si>
  <si>
    <t xml:space="preserve">0.5: Very Simple Part (Easy to Design) </t>
  </si>
  <si>
    <t>·This rating indicates that the part design is straightforward and uncomplicated. It doesn't require any complex features or additional components. Designing the mould for this part should be relatively simple.</t>
  </si>
  <si>
    <t xml:space="preserve">1: Normal Part (Generally Symmetric) </t>
  </si>
  <si>
    <t>·A rating of 1 suggests that the part is relatively common and exhibits symmetrical characteristics. The mould design should follow standard practices and considerations for ensuring balanced filling and ejection.</t>
  </si>
  <si>
    <t xml:space="preserve">2: Normal Part (Use of Side Cores, Lifters, Inserts Pins for Adding Features) </t>
  </si>
  <si>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</si>
  <si>
    <t>3: Moderately Complex Part</t>
  </si>
  <si>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</si>
  <si>
    <t xml:space="preserve">4: Complex Part, High Features, More Holes, Instruction Need to be Followed </t>
  </si>
  <si>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</si>
  <si>
    <t>5: Very Complex Part, Lots of Features, Large Part Size, High Electrode Requirement, Detailed Design Instructions</t>
  </si>
  <si>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</si>
  <si>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</si>
  <si>
    <t>Guide Pillar Working Diameter Calculation</t>
  </si>
  <si>
    <t>Overall Dimension of Guide Pillar=</t>
  </si>
  <si>
    <t>Working Diameter of Guide Pillar(d)+1+1</t>
  </si>
  <si>
    <t>in cm</t>
  </si>
  <si>
    <t>Side Thrust(Q) acting on the guide pillar</t>
  </si>
  <si>
    <t>Q = 2/3 x D x h x Pc</t>
  </si>
  <si>
    <t>ø</t>
  </si>
  <si>
    <t>Where,</t>
  </si>
  <si>
    <t>in Kg</t>
  </si>
  <si>
    <t>D is the diameter of the part</t>
  </si>
  <si>
    <t>h is the height of th part</t>
  </si>
  <si>
    <t>Pc is the cavity pressure</t>
  </si>
  <si>
    <t>Working diameter(d) of guide pillar is given by</t>
  </si>
  <si>
    <t>d ≥ Ö (4 x Q)/ (N x fs x p)</t>
  </si>
  <si>
    <t>Where</t>
  </si>
  <si>
    <t>N is the no. of guide pillars</t>
  </si>
  <si>
    <t>fs is the shear force for steel</t>
  </si>
  <si>
    <t>Kg/cm2</t>
  </si>
  <si>
    <t>Mould Dimensions</t>
  </si>
  <si>
    <t>Mould Layout</t>
  </si>
  <si>
    <t>in mm</t>
  </si>
  <si>
    <t>cavity</t>
  </si>
  <si>
    <t>l=length of part</t>
  </si>
  <si>
    <t>L(formula)</t>
  </si>
  <si>
    <t>l+2G</t>
  </si>
  <si>
    <t>2l+T+2G</t>
  </si>
  <si>
    <t>3T+4l+2G</t>
  </si>
  <si>
    <t>w=width of part</t>
  </si>
  <si>
    <t>Value in mm</t>
  </si>
  <si>
    <t>T=tolerance b/w parts</t>
  </si>
  <si>
    <t>W(formula)</t>
  </si>
  <si>
    <t>w+2G</t>
  </si>
  <si>
    <t>2G+w</t>
  </si>
  <si>
    <t>T+2w+2G</t>
  </si>
  <si>
    <t>3w+2T+2G</t>
  </si>
  <si>
    <t>2w+T+2G</t>
  </si>
  <si>
    <t>G=Guide pillar clearance</t>
  </si>
  <si>
    <t>Core Plate thickness</t>
  </si>
  <si>
    <t>Database</t>
  </si>
  <si>
    <t>Considering the core plate as a simply supported beam with uniformly distributed load</t>
  </si>
  <si>
    <t>COF,u</t>
  </si>
  <si>
    <t>Poisson's ratio</t>
  </si>
  <si>
    <t>COE</t>
  </si>
  <si>
    <t>Soft. Temp</t>
  </si>
  <si>
    <t>t is the thickness of the plate in cm</t>
  </si>
  <si>
    <t>w is the load acting on the plate = injection pressure in kg/cm2</t>
  </si>
  <si>
    <t>l is the length of the plate in cm</t>
  </si>
  <si>
    <t>E is the moulus of elasticity  (for steel)</t>
  </si>
  <si>
    <t xml:space="preserve"> kg / cm2</t>
  </si>
  <si>
    <t>2 x 106</t>
  </si>
  <si>
    <t>d is the width of the plate in cm</t>
  </si>
  <si>
    <t>d is the maximum allowable deflection 0.005 cm</t>
  </si>
  <si>
    <t>Runner Diameter = Max Part Wall Thickness+1.5</t>
  </si>
  <si>
    <t>Gate Diameter = dr/dg=4.5</t>
  </si>
  <si>
    <t>Ejector Force Calculation</t>
  </si>
  <si>
    <t>Fp</t>
  </si>
  <si>
    <t>kN</t>
  </si>
  <si>
    <t>Ejector plate thickness</t>
  </si>
  <si>
    <t>KgF</t>
  </si>
  <si>
    <t>Considering both ejector plate and ejector back plate as simply supported beam with uniformly distributed load</t>
  </si>
  <si>
    <t>`</t>
  </si>
  <si>
    <t xml:space="preserve"> t=3Ö5 w l4  / 32 E d d=</t>
  </si>
  <si>
    <t>cm</t>
  </si>
  <si>
    <t>Total Ejection Force</t>
  </si>
  <si>
    <t>Ejection force required in Kgf , w=</t>
  </si>
  <si>
    <t>Length of the ejector plate in cm, l=</t>
  </si>
  <si>
    <t>Moulus of elasticity 2 x 106 kg / cm2 (for steel), E=</t>
  </si>
  <si>
    <t>Width of the ejector plate in cm, d=</t>
  </si>
  <si>
    <t>Maximum allowable deflection 0.005 cm</t>
  </si>
  <si>
    <t>where</t>
  </si>
  <si>
    <t>kn</t>
  </si>
  <si>
    <t>Ejection resistance force (N)</t>
  </si>
  <si>
    <t>E</t>
  </si>
  <si>
    <t>(N/cm2)</t>
  </si>
  <si>
    <t>Young’s modulus of the polymer</t>
  </si>
  <si>
    <t>A</t>
  </si>
  <si>
    <t>(cm2)</t>
  </si>
  <si>
    <t>total surface area of moulding in contact with cavity or core, in line of draw</t>
  </si>
  <si>
    <t>μ</t>
  </si>
  <si>
    <t>coefficient of friction, polymer on steel</t>
  </si>
  <si>
    <t>m</t>
  </si>
  <si>
    <t>Poisson’s ratio</t>
  </si>
  <si>
    <t>d</t>
  </si>
  <si>
    <t>(cm)</t>
  </si>
  <si>
    <t>the diameter of a circle whose circumference is equal to the total projected perimeter of the moulding</t>
  </si>
  <si>
    <t>∝</t>
  </si>
  <si>
    <t>(cm/°C)</t>
  </si>
  <si>
    <t>the coefficient of linear expansion of the polymer</t>
  </si>
  <si>
    <t>Δt</t>
  </si>
  <si>
    <t xml:space="preserve"> (°C)</t>
  </si>
  <si>
    <t>(polymer softening temperature) - (mould tool temperature)</t>
  </si>
  <si>
    <t>t</t>
  </si>
  <si>
    <t>average wall thickness of part</t>
  </si>
  <si>
    <t>Opn No</t>
  </si>
  <si>
    <t>Operation Name</t>
  </si>
  <si>
    <t>M/c Selected</t>
  </si>
  <si>
    <t>Initial Volume in cm3</t>
  </si>
  <si>
    <t>Final Volume in cm3</t>
  </si>
  <si>
    <t>Material to be removed in cm3</t>
  </si>
  <si>
    <t>Standard MRR in cm3 per min</t>
  </si>
  <si>
    <t>Cycle Time in Mins</t>
  </si>
  <si>
    <t>Programming</t>
  </si>
  <si>
    <t>Tool Change Time</t>
  </si>
  <si>
    <t>Fixture Set-up time in mins</t>
  </si>
  <si>
    <t>M/c Time in Hrs</t>
  </si>
  <si>
    <t>Rough Milling - Sizing</t>
  </si>
  <si>
    <t>Finishing</t>
  </si>
  <si>
    <t>Drilling - Locating Ring &amp; Sprue Bush</t>
  </si>
  <si>
    <t>Boring - Sprue Bush</t>
  </si>
  <si>
    <t>Tapping</t>
  </si>
  <si>
    <t>Drilling - For Knock-out rod</t>
  </si>
  <si>
    <t>M/c Time</t>
  </si>
  <si>
    <t>Drilling - As a air vent</t>
  </si>
  <si>
    <t>Drilling - For Clamping</t>
  </si>
  <si>
    <t>Drilling - For Ejector Pins</t>
  </si>
  <si>
    <t>Boring - For Ejector Pins Collar</t>
  </si>
  <si>
    <t>EJector pin Hole</t>
  </si>
  <si>
    <t>Material to be removed in m3</t>
  </si>
  <si>
    <t>Drilling - For Allen Screw</t>
  </si>
  <si>
    <t>Boring - For Allen Screw</t>
  </si>
  <si>
    <t>Rough Milling - Pre-machining</t>
  </si>
  <si>
    <t>Drilling - For Guide Pillar</t>
  </si>
  <si>
    <t>Boring - For Guide Pillar Collar</t>
  </si>
  <si>
    <t>Finishing - Part Size</t>
  </si>
  <si>
    <t>Sparking</t>
  </si>
  <si>
    <t>Need to arrive at break-up</t>
  </si>
  <si>
    <t>Drilling - For Cooling Channels</t>
  </si>
  <si>
    <t>Grinding - For Vent</t>
  </si>
  <si>
    <t>Finish Milling - Runner Diameter</t>
  </si>
  <si>
    <t>Standard MRR in icm per min</t>
  </si>
  <si>
    <t>Turning - Working Diameter ( Dia 29 x 91)</t>
  </si>
  <si>
    <t>Turning - Fitting Diameter ( Dia 39 x 91)</t>
  </si>
  <si>
    <t>Turning - Collar Diameter ( Dia 29 x 91)</t>
  </si>
  <si>
    <t>To be worked-out properly</t>
  </si>
  <si>
    <t>Parting-off</t>
  </si>
  <si>
    <t>Grooving</t>
  </si>
  <si>
    <t>Cylindrical Grinding - Before Heat treatment</t>
  </si>
  <si>
    <t>Cylindrical Grinding - After Heat treatment</t>
  </si>
  <si>
    <t xml:space="preserve">TVSM MHR  cost Norms </t>
  </si>
  <si>
    <t>Sl.No.</t>
  </si>
  <si>
    <t>Tonnage</t>
  </si>
  <si>
    <t>Machine Hourly Rate</t>
  </si>
  <si>
    <t>M/c Tonnage</t>
  </si>
  <si>
    <t>=</t>
  </si>
  <si>
    <t>Tonnage constant</t>
  </si>
  <si>
    <t>*</t>
  </si>
  <si>
    <t>Projected Area</t>
  </si>
  <si>
    <t>Machine operation cost due to tonnage</t>
  </si>
  <si>
    <t>Cycle time(s)</t>
  </si>
  <si>
    <t>Hour</t>
  </si>
  <si>
    <t>No. of Part</t>
  </si>
  <si>
    <t>Cost for Tonnage</t>
  </si>
  <si>
    <t>Tonnage Constant(/mm2)</t>
  </si>
  <si>
    <t>Raw Material</t>
  </si>
  <si>
    <t>Raw material cost</t>
  </si>
  <si>
    <t>Part that can be prouduced in one day per machine</t>
  </si>
  <si>
    <t>Net weight(in kg)</t>
  </si>
  <si>
    <t>with 90% eff.</t>
  </si>
  <si>
    <t>Raw material cost/Part</t>
  </si>
  <si>
    <t xml:space="preserve">Cavity </t>
  </si>
  <si>
    <t xml:space="preserve">Cycle time </t>
  </si>
  <si>
    <t>Part production/hour</t>
  </si>
  <si>
    <t xml:space="preserve">Converstion cost </t>
  </si>
  <si>
    <t xml:space="preserve">Manufacturing cost </t>
  </si>
  <si>
    <t>Over head and profit</t>
  </si>
  <si>
    <t>HRS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</si>
</sst>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 &quot;₹&quot;\ * #,##0.00_ ;_ &quot;₹&quot;\ * \-#,##0.00_ ;_ &quot;₹&quot;\ * &quot;-&quot;??_ ;_ @_ "/>
    <numFmt numFmtId="43" formatCode="_ * #,##0.00_ ;_ * \-#,##0.00_ ;_ * &quot;-&quot;??_ ;_ @_ "/>
    <numFmt numFmtId="164" formatCode="0.000"/>
    <numFmt numFmtId="165" formatCode="_(* #,##0.0_);_(* \(#,##0.0\);_(* &quot;-&quot;??_);_(@_)"/>
    <numFmt numFmtId="166" formatCode="0.0%"/>
    <numFmt numFmtId="167" formatCode="0.000%"/>
    <numFmt numFmtId="168" formatCode="_(* #,##0_);_(* \(#,##0\);_(* &quot;-&quot;??_);_(@_)"/>
    <numFmt numFmtId="169" formatCode="0_ "/>
    <numFmt numFmtId="170" formatCode="_ &quot;₹&quot;\ * #,##0_ ;_ &quot;₹&quot;\ * \-#,##0_ ;_ &quot;₹&quot;\ * &quot;-&quot;??_ ;_ @_ "/>
    <numFmt numFmtId="171" formatCode="dd/mm/yyyy\,hh:mm:ss"/>
    <numFmt numFmtId="172" formatCode="_ [$₹-4009]\ * #,##0_ ;_ [$₹-4009]\ * \-#,##0_ ;_ [$₹-4009]\ * &quot;-&quot;??_ ;_ @_ "/>
    <numFmt numFmtId="173" formatCode="0.0"/>
    <numFmt numFmtId="174" formatCode="dd/mm/yyyy\ hh:mm:ss"/>
    <numFmt numFmtId="175" formatCode="dd/mm/yy\,hh:mm:ss"/>
  </numFmts>
  <fonts count="5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1"/>
      <color rgb="FF0000CC"/>
      <name val="Calibri"/>
      <family val="2"/>
      <scheme val="minor"/>
    </font>
    <font>
      <b/>
      <sz val="11"/>
      <color rgb="FF000000"/>
      <name val="Calibri"/>
      <family val="2"/>
      <scheme val="minor"/>
    </font>
    <font>
      <sz val="11"/>
      <color rgb="FF000000"/>
      <name val="Calibri"/>
      <family val="2"/>
      <scheme val="minor"/>
    </font>
    <font>
      <b/>
      <sz val="11"/>
      <color rgb="FF002060"/>
      <name val="Calibri"/>
      <family val="2"/>
      <scheme val="minor"/>
    </font>
    <font>
      <b/>
      <sz val="11"/>
      <color rgb="FF3F3F3F"/>
      <name val="Calibri"/>
      <family val="2"/>
      <scheme val="minor"/>
    </font>
    <font>
      <sz val="18"/>
      <color theme="1"/>
      <name val="Calibri"/>
      <family val="2"/>
      <scheme val="minor"/>
    </font>
    <font>
      <b/>
      <sz val="14"/>
      <color theme="1"/>
      <name val="Calibri"/>
      <family val="2"/>
      <scheme val="minor"/>
    </font>
    <font>
      <b/>
      <sz val="11"/>
      <color theme="1"/>
      <name val="Calibri"/>
      <family val="2"/>
      <scheme val="minor"/>
    </font>
    <font>
      <sz val="10"/>
      <color theme="0"/>
      <name val="Arial"/>
      <family val="2"/>
    </font>
    <font>
      <sz val="11"/>
      <color theme="0"/>
      <name val="Calibri"/>
      <family val="2"/>
      <scheme val="minor"/>
    </font>
    <font>
      <sz val="11"/>
      <name val="Calibri"/>
      <family val="2"/>
      <scheme val="minor"/>
    </font>
    <font>
      <sz val="14"/>
      <color theme="1"/>
      <name val="Calibri"/>
      <family val="2"/>
      <scheme val="minor"/>
    </font>
    <font>
      <b/>
      <sz val="11"/>
      <name val="Calibri"/>
      <family val="2"/>
      <scheme val="minor"/>
    </font>
    <font>
      <sz val="11"/>
      <color theme="1"/>
      <name val="Calibri"/>
      <family val="2"/>
    </font>
    <font>
      <sz val="11"/>
      <color indexed="8"/>
      <name val="Calibri"/>
      <family val="2"/>
    </font>
    <font>
      <b/>
      <u/>
      <sz val="11"/>
      <color theme="1"/>
      <name val="Calibri"/>
      <family val="2"/>
      <scheme val="minor"/>
    </font>
    <font>
      <sz val="11"/>
      <color rgb="FFFF0000"/>
      <name val="Calibri"/>
      <family val="2"/>
      <scheme val="minor"/>
    </font>
    <font>
      <sz val="20"/>
      <color theme="1"/>
      <name val="Calibri"/>
      <family val="2"/>
    </font>
    <font>
      <sz val="11"/>
      <color rgb="FF2F2E2E"/>
      <name val="Calibri"/>
      <family val="2"/>
      <scheme val="minor"/>
    </font>
    <font>
      <b/>
      <sz val="11"/>
      <color rgb="FF333333"/>
      <name val="Calibri"/>
      <family val="2"/>
      <scheme val="minor"/>
    </font>
    <font>
      <sz val="11"/>
      <color rgb="FF333333"/>
      <name val="Calibri"/>
      <family val="2"/>
      <scheme val="minor"/>
    </font>
    <font>
      <b/>
      <sz val="18"/>
      <color theme="0"/>
      <name val="Calibri"/>
      <family val="2"/>
      <scheme val="minor"/>
    </font>
    <font>
      <sz val="9"/>
      <color theme="1"/>
      <name val="Arial"/>
      <family val="2"/>
    </font>
    <font>
      <sz val="11"/>
      <color theme="1"/>
      <name val="Arial"/>
      <family val="2"/>
    </font>
    <font>
      <sz val="11"/>
      <color theme="7" tint="-0.249977111117893"/>
      <name val="Calibri"/>
      <family val="2"/>
      <scheme val="minor"/>
    </font>
    <font>
      <sz val="11"/>
      <color rgb="FF0070C0"/>
      <name val="Calibri"/>
      <family val="2"/>
      <scheme val="minor"/>
    </font>
    <font>
      <sz val="20"/>
      <color theme="1"/>
      <name val="Calibri"/>
      <family val="2"/>
      <scheme val="minor"/>
    </font>
    <font>
      <b/>
      <sz val="16"/>
      <color theme="1"/>
      <name val="Calibri"/>
      <family val="2"/>
    </font>
    <font>
      <b/>
      <sz val="11"/>
      <color theme="1"/>
      <name val="Calibri"/>
      <family val="2"/>
    </font>
    <font>
      <sz val="11"/>
      <color theme="1"/>
      <name val="Calibri"/>
      <family val="2"/>
    </font>
    <font>
      <b/>
      <sz val="11"/>
      <color theme="1"/>
      <name val="Symbol"/>
      <family val="1"/>
      <charset val="2"/>
    </font>
    <font>
      <sz val="11"/>
      <color theme="1"/>
      <name val="Calibri"/>
      <family val="2"/>
      <scheme val="minor"/>
    </font>
    <font>
      <sz val="11"/>
      <color theme="1"/>
      <name val="Symbol"/>
      <family val="1"/>
      <charset val="2"/>
    </font>
    <font>
      <sz val="14"/>
      <color theme="0"/>
      <name val="Calibri"/>
      <family val="2"/>
      <scheme val="minor"/>
    </font>
    <font>
      <b/>
      <sz val="11"/>
      <color rgb="FFFF0000"/>
      <name val="Calibri"/>
      <family val="2"/>
      <scheme val="minor"/>
    </font>
    <font>
      <b/>
      <sz val="36"/>
      <name val="Ebrima"/>
    </font>
    <font>
      <sz val="24"/>
      <name val="Ebrima"/>
    </font>
    <font>
      <b/>
      <sz val="24"/>
      <name val="Ebrima"/>
    </font>
    <font>
      <sz val="22"/>
      <color rgb="FF000000"/>
      <name val="Arial"/>
      <family val="2"/>
    </font>
    <font>
      <b/>
      <sz val="24"/>
      <color rgb="FFFF0000"/>
      <name val="Ebrima"/>
    </font>
    <font>
      <b/>
      <sz val="28"/>
      <name val="Ebrima"/>
    </font>
    <font>
      <sz val="24"/>
      <color rgb="FFFF0000"/>
      <name val="Ebrima"/>
    </font>
    <font>
      <b/>
      <sz val="48"/>
      <name val="Ebrima"/>
    </font>
    <font>
      <sz val="26"/>
      <color theme="1"/>
      <name val="Calibri"/>
      <family val="2"/>
      <scheme val="minor"/>
    </font>
  </fonts>
  <fills count="38">
    <fill>
      <patternFill patternType="none"/>
    </fill>
    <fill>
      <patternFill patternType="gray125"/>
    </fill>
    <fill>
      <patternFill patternType="solid">
        <fgColor theme="9" tint="0.79995117038483843"/>
        <bgColor indexed="64"/>
      </patternFill>
    </fill>
    <fill>
      <patternFill patternType="solid">
        <fgColor theme="5" tint="0.59999389629810485"/>
        <bgColor rgb="FF000000"/>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9" tint="0.399945066682943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7" tint="0.59999389629810485"/>
        <bgColor theme="6"/>
      </patternFill>
    </fill>
    <fill>
      <patternFill patternType="solid">
        <fgColor theme="7" tint="0.59999389629810485"/>
        <bgColor theme="6" tint="0.79995117038483843"/>
      </patternFill>
    </fill>
    <fill>
      <patternFill patternType="solid">
        <fgColor theme="4" tint="0.79995117038483843"/>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FFFF"/>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7" tint="0.7999511703848384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theme="1"/>
        <bgColor indexed="64"/>
      </patternFill>
    </fill>
    <fill>
      <patternFill patternType="solid">
        <fgColor theme="9" tint="0.79998168889431442"/>
        <bgColor indexed="64"/>
      </patternFill>
    </fill>
    <fill>
      <patternFill patternType="solid">
        <fgColor theme="9" tint="0.39997558519241921"/>
        <bgColor indexed="64"/>
      </patternFill>
    </fill>
  </fills>
  <borders count="9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thin">
        <color indexed="64"/>
      </left>
      <right style="thin">
        <color indexed="64"/>
      </right>
      <top style="medium">
        <color indexed="64"/>
      </top>
      <bottom style="thin">
        <color indexed="64"/>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auto="1"/>
      </left>
      <right/>
      <top style="medium">
        <color auto="1"/>
      </top>
      <bottom style="thin">
        <color indexed="64"/>
      </bottom>
      <diagonal/>
    </border>
    <border>
      <left style="thin">
        <color auto="1"/>
      </left>
      <right/>
      <top/>
      <bottom style="thin">
        <color indexed="64"/>
      </bottom>
      <diagonal/>
    </border>
    <border>
      <left/>
      <right style="thin">
        <color auto="1"/>
      </right>
      <top style="medium">
        <color indexed="64"/>
      </top>
      <bottom style="thin">
        <color auto="1"/>
      </bottom>
      <diagonal/>
    </border>
    <border>
      <left style="medium">
        <color auto="1"/>
      </left>
      <right style="thin">
        <color indexed="64"/>
      </right>
      <top style="medium">
        <color auto="1"/>
      </top>
      <bottom style="medium">
        <color indexed="64"/>
      </bottom>
      <diagonal/>
    </border>
    <border>
      <left/>
      <right style="thin">
        <color indexed="64"/>
      </right>
      <top style="medium">
        <color auto="1"/>
      </top>
      <bottom/>
      <diagonal/>
    </border>
    <border>
      <left style="medium">
        <color auto="1"/>
      </left>
      <right/>
      <top/>
      <bottom style="medium">
        <color indexed="64"/>
      </bottom>
      <diagonal/>
    </border>
  </borders>
  <cellStyleXfs count="10">
    <xf numFmtId="0" fontId="0" fillId="0" borderId="0"/>
    <xf numFmtId="43" fontId="43" fillId="0" borderId="0"/>
    <xf numFmtId="44" fontId="43" fillId="0" borderId="0"/>
    <xf numFmtId="9" fontId="43" fillId="0" borderId="0"/>
    <xf numFmtId="0" fontId="43" fillId="32" borderId="0"/>
    <xf numFmtId="0" fontId="16" fillId="8" borderId="4"/>
    <xf numFmtId="0" fontId="11" fillId="0" borderId="0"/>
    <xf numFmtId="0" fontId="43" fillId="29" borderId="0"/>
    <xf numFmtId="43" fontId="43" fillId="0" borderId="0"/>
    <xf numFmtId="43" fontId="11" fillId="0" borderId="0"/>
  </cellStyleXfs>
  <cellXfs count="574">
    <xf numFmtId="0" fontId="0" fillId="0" borderId="0" xfId="0"/>
    <xf numFmtId="0" fontId="11" fillId="0" borderId="1" xfId="0" applyFont="1" applyBorder="1"/>
    <xf numFmtId="0" fontId="11" fillId="0" borderId="1" xfId="0" applyFont="1" applyBorder="1" applyAlignment="1">
      <alignment horizontal="center"/>
    </xf>
    <xf numFmtId="2" fontId="11" fillId="0" borderId="1" xfId="0" applyNumberFormat="1" applyFont="1" applyBorder="1"/>
    <xf numFmtId="0" fontId="11" fillId="2" borderId="1" xfId="0" applyFont="1" applyFill="1" applyBorder="1"/>
    <xf numFmtId="0" fontId="0" fillId="2" borderId="1" xfId="0" applyFill="1" applyBorder="1"/>
    <xf numFmtId="0" fontId="12" fillId="0" borderId="0" xfId="0" applyFont="1" applyAlignment="1">
      <alignment horizontal="left"/>
    </xf>
    <xf numFmtId="0" fontId="13" fillId="3" borderId="2" xfId="0" applyFont="1" applyFill="1" applyBorder="1" applyAlignment="1">
      <alignment horizontal="center" vertical="center" wrapText="1"/>
    </xf>
    <xf numFmtId="0" fontId="14" fillId="0" borderId="0" xfId="0" applyFont="1"/>
    <xf numFmtId="0" fontId="0" fillId="4" borderId="1" xfId="0" applyFill="1" applyBorder="1" applyAlignment="1">
      <alignment horizontal="center" vertical="center"/>
    </xf>
    <xf numFmtId="0" fontId="0" fillId="5" borderId="1" xfId="4" applyFont="1" applyFill="1" applyBorder="1" applyAlignment="1">
      <alignment horizontal="center" vertical="center"/>
    </xf>
    <xf numFmtId="0" fontId="43" fillId="5" borderId="1" xfId="4" applyFill="1" applyBorder="1" applyAlignment="1">
      <alignment horizontal="center" vertical="center"/>
    </xf>
    <xf numFmtId="0" fontId="0" fillId="5" borderId="1" xfId="4" applyFont="1" applyFill="1" applyBorder="1" applyAlignment="1">
      <alignment horizontal="center" vertical="center" wrapText="1"/>
    </xf>
    <xf numFmtId="0" fontId="13" fillId="3" borderId="3" xfId="0" applyFont="1" applyFill="1" applyBorder="1" applyAlignment="1">
      <alignment horizontal="center" vertical="center" wrapText="1"/>
    </xf>
    <xf numFmtId="0" fontId="43" fillId="6" borderId="1" xfId="4" applyFill="1" applyBorder="1" applyAlignment="1">
      <alignment horizontal="center" vertical="center"/>
    </xf>
    <xf numFmtId="0" fontId="14" fillId="7" borderId="1" xfId="0" applyFont="1" applyFill="1" applyBorder="1" applyAlignment="1">
      <alignment horizontal="center"/>
    </xf>
    <xf numFmtId="0" fontId="13" fillId="7" borderId="1" xfId="0" applyFont="1" applyFill="1" applyBorder="1" applyAlignment="1">
      <alignment horizontal="center"/>
    </xf>
    <xf numFmtId="0" fontId="15" fillId="7" borderId="1" xfId="0" applyFont="1" applyFill="1" applyBorder="1"/>
    <xf numFmtId="0" fontId="16" fillId="8" borderId="4" xfId="5"/>
    <xf numFmtId="0" fontId="16" fillId="8" borderId="4" xfId="5" applyAlignment="1">
      <alignment wrapText="1"/>
    </xf>
    <xf numFmtId="4" fontId="15" fillId="7" borderId="1" xfId="0" applyNumberFormat="1" applyFont="1" applyFill="1" applyBorder="1"/>
    <xf numFmtId="0" fontId="43" fillId="5" borderId="1" xfId="4" applyFill="1" applyBorder="1" applyAlignment="1">
      <alignment horizontal="center" vertical="center" wrapText="1"/>
    </xf>
    <xf numFmtId="2" fontId="0" fillId="0" borderId="0" xfId="0" applyNumberFormat="1"/>
    <xf numFmtId="0" fontId="0" fillId="0" borderId="0" xfId="0" applyAlignment="1">
      <alignment horizontal="left"/>
    </xf>
    <xf numFmtId="0" fontId="19" fillId="0" borderId="6" xfId="0" applyFont="1" applyBorder="1" applyAlignment="1">
      <alignment vertical="center"/>
    </xf>
    <xf numFmtId="0" fontId="20" fillId="11" borderId="3" xfId="0" applyFont="1" applyFill="1" applyBorder="1" applyAlignment="1" applyProtection="1">
      <alignment vertical="center"/>
      <protection locked="0"/>
    </xf>
    <xf numFmtId="0" fontId="19" fillId="0" borderId="3" xfId="0" applyFont="1" applyBorder="1" applyAlignment="1">
      <alignment horizontal="center" vertical="center"/>
    </xf>
    <xf numFmtId="0" fontId="19" fillId="0" borderId="3" xfId="0" applyFont="1" applyBorder="1" applyAlignment="1">
      <alignment horizontal="center" vertical="center" wrapText="1"/>
    </xf>
    <xf numFmtId="0" fontId="0" fillId="0" borderId="7" xfId="0" applyBorder="1" applyAlignment="1">
      <alignment vertical="center" wrapText="1"/>
    </xf>
    <xf numFmtId="0" fontId="11" fillId="12" borderId="1" xfId="0" applyFont="1" applyFill="1" applyBorder="1" applyAlignment="1" applyProtection="1">
      <alignment wrapText="1"/>
      <protection locked="0"/>
    </xf>
    <xf numFmtId="0" fontId="11" fillId="12" borderId="1" xfId="0" applyFont="1" applyFill="1" applyBorder="1" applyProtection="1">
      <protection locked="0"/>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0" fontId="0" fillId="9" borderId="7" xfId="0" applyFill="1" applyBorder="1" applyAlignment="1">
      <alignment vertical="center" wrapText="1"/>
    </xf>
    <xf numFmtId="0" fontId="11" fillId="9" borderId="1" xfId="0" applyFont="1" applyFill="1" applyBorder="1" applyAlignment="1" applyProtection="1">
      <alignment wrapText="1"/>
      <protection locked="0"/>
    </xf>
    <xf numFmtId="0" fontId="11" fillId="9" borderId="1" xfId="0" applyFont="1" applyFill="1" applyBorder="1" applyProtection="1">
      <protection locked="0"/>
    </xf>
    <xf numFmtId="0" fontId="0" fillId="9" borderId="1" xfId="0" applyFill="1" applyBorder="1" applyAlignment="1">
      <alignment horizontal="center" vertical="center"/>
    </xf>
    <xf numFmtId="2" fontId="0" fillId="9" borderId="1" xfId="0" applyNumberFormat="1" applyFill="1" applyBorder="1" applyAlignment="1">
      <alignment horizontal="center" vertical="center"/>
    </xf>
    <xf numFmtId="0" fontId="0" fillId="2" borderId="1" xfId="0" applyFill="1" applyBorder="1" applyAlignment="1">
      <alignment vertical="center" wrapText="1"/>
    </xf>
    <xf numFmtId="1" fontId="0" fillId="2" borderId="1" xfId="0" applyNumberForma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2" fontId="0" fillId="0" borderId="10" xfId="0" applyNumberFormat="1" applyBorder="1"/>
    <xf numFmtId="0" fontId="0" fillId="0" borderId="11" xfId="0" applyBorder="1" applyAlignment="1">
      <alignment vertical="center"/>
    </xf>
    <xf numFmtId="2" fontId="0" fillId="0" borderId="12" xfId="0" applyNumberFormat="1" applyBorder="1"/>
    <xf numFmtId="0" fontId="21" fillId="0" borderId="0" xfId="0" applyFont="1"/>
    <xf numFmtId="0" fontId="0" fillId="0" borderId="10" xfId="0" applyBorder="1" applyAlignment="1">
      <alignment vertical="center"/>
    </xf>
    <xf numFmtId="0" fontId="0" fillId="14" borderId="1" xfId="0" applyFill="1" applyBorder="1" applyAlignment="1">
      <alignment vertical="center"/>
    </xf>
    <xf numFmtId="0" fontId="11" fillId="11" borderId="3" xfId="0" applyFont="1" applyFill="1" applyBorder="1" applyProtection="1">
      <protection locked="0"/>
    </xf>
    <xf numFmtId="0" fontId="11" fillId="11" borderId="8" xfId="0" applyFont="1" applyFill="1" applyBorder="1" applyProtection="1">
      <protection locked="0"/>
    </xf>
    <xf numFmtId="1" fontId="0" fillId="0" borderId="10" xfId="0" applyNumberFormat="1" applyBorder="1"/>
    <xf numFmtId="0" fontId="0" fillId="9" borderId="1" xfId="0" applyFill="1" applyBorder="1"/>
    <xf numFmtId="1" fontId="0" fillId="9" borderId="10" xfId="0" applyNumberFormat="1" applyFill="1" applyBorder="1"/>
    <xf numFmtId="2" fontId="0" fillId="2" borderId="1" xfId="0" applyNumberFormat="1" applyFill="1" applyBorder="1" applyAlignment="1">
      <alignment horizontal="center" vertical="center"/>
    </xf>
    <xf numFmtId="2" fontId="0" fillId="0" borderId="1" xfId="0" applyNumberFormat="1" applyBorder="1" applyAlignment="1">
      <alignment vertical="center"/>
    </xf>
    <xf numFmtId="0" fontId="0" fillId="14" borderId="1" xfId="0" applyFill="1" applyBorder="1" applyAlignment="1">
      <alignment horizontal="right" vertical="center"/>
    </xf>
    <xf numFmtId="1" fontId="0" fillId="14" borderId="1" xfId="0" applyNumberFormat="1" applyFill="1" applyBorder="1" applyAlignment="1">
      <alignment vertical="center"/>
    </xf>
    <xf numFmtId="1" fontId="19" fillId="13" borderId="1" xfId="0" applyNumberFormat="1" applyFont="1" applyFill="1" applyBorder="1" applyAlignment="1">
      <alignment horizontal="center" vertical="center"/>
    </xf>
    <xf numFmtId="0" fontId="0" fillId="16" borderId="1" xfId="0" applyFill="1" applyBorder="1" applyAlignment="1">
      <alignment horizontal="center" vertical="center"/>
    </xf>
    <xf numFmtId="1" fontId="0" fillId="0" borderId="0" xfId="0" applyNumberFormat="1"/>
    <xf numFmtId="0" fontId="0" fillId="14" borderId="1" xfId="0" applyFill="1" applyBorder="1" applyAlignment="1">
      <alignment horizontal="center"/>
    </xf>
    <xf numFmtId="0" fontId="0" fillId="4" borderId="1" xfId="0" applyFill="1" applyBorder="1"/>
    <xf numFmtId="0" fontId="0" fillId="0" borderId="0" xfId="0" applyAlignment="1">
      <alignment vertical="center"/>
    </xf>
    <xf numFmtId="0" fontId="19" fillId="17" borderId="1" xfId="0" applyFont="1" applyFill="1" applyBorder="1" applyAlignment="1">
      <alignment vertical="center" wrapText="1"/>
    </xf>
    <xf numFmtId="0" fontId="19" fillId="17" borderId="1" xfId="0" applyFont="1" applyFill="1" applyBorder="1" applyAlignment="1">
      <alignment horizontal="center" vertical="center" wrapText="1"/>
    </xf>
    <xf numFmtId="0" fontId="0" fillId="17" borderId="1" xfId="0" applyFill="1" applyBorder="1"/>
    <xf numFmtId="0" fontId="23" fillId="0" borderId="1" xfId="0" applyFont="1" applyBorder="1" applyAlignment="1">
      <alignment vertical="center"/>
    </xf>
    <xf numFmtId="1" fontId="0" fillId="0" borderId="1" xfId="0" applyNumberFormat="1" applyBorder="1" applyAlignment="1">
      <alignment vertical="center"/>
    </xf>
    <xf numFmtId="9" fontId="0" fillId="0" borderId="9" xfId="0" applyNumberFormat="1" applyBorder="1" applyAlignment="1">
      <alignment horizontal="left" vertical="center"/>
    </xf>
    <xf numFmtId="0" fontId="21" fillId="0" borderId="9" xfId="0" applyFont="1" applyBorder="1" applyAlignment="1">
      <alignment horizontal="left" vertical="center"/>
    </xf>
    <xf numFmtId="0" fontId="0" fillId="0" borderId="1" xfId="0" applyBorder="1" applyAlignment="1">
      <alignment vertical="center"/>
    </xf>
    <xf numFmtId="0" fontId="22" fillId="0" borderId="9" xfId="0" applyFont="1" applyBorder="1" applyAlignment="1">
      <alignment horizontal="left" vertical="center"/>
    </xf>
    <xf numFmtId="0" fontId="0" fillId="17" borderId="1" xfId="0" applyFill="1" applyBorder="1" applyAlignment="1">
      <alignment vertical="center"/>
    </xf>
    <xf numFmtId="1" fontId="19" fillId="0" borderId="13" xfId="0" applyNumberFormat="1" applyFont="1" applyBorder="1" applyAlignment="1">
      <alignment vertical="center"/>
    </xf>
    <xf numFmtId="2" fontId="19" fillId="0" borderId="0" xfId="0" applyNumberFormat="1" applyFont="1" applyAlignment="1">
      <alignment horizontal="center" vertical="center"/>
    </xf>
    <xf numFmtId="0" fontId="19" fillId="18" borderId="6" xfId="0" applyFont="1" applyFill="1" applyBorder="1" applyAlignment="1">
      <alignment horizontal="center" vertical="center"/>
    </xf>
    <xf numFmtId="0" fontId="19" fillId="18" borderId="3" xfId="0" applyFont="1" applyFill="1" applyBorder="1" applyAlignment="1">
      <alignment horizontal="center" vertical="center"/>
    </xf>
    <xf numFmtId="0" fontId="19" fillId="18" borderId="3" xfId="0" applyFont="1" applyFill="1" applyBorder="1" applyAlignment="1">
      <alignment horizontal="center" vertical="center" wrapText="1"/>
    </xf>
    <xf numFmtId="2" fontId="0" fillId="0" borderId="1" xfId="0" applyNumberFormat="1" applyBorder="1"/>
    <xf numFmtId="0" fontId="0" fillId="0" borderId="2" xfId="0" applyBorder="1"/>
    <xf numFmtId="2" fontId="0" fillId="0" borderId="2" xfId="0" applyNumberFormat="1" applyBorder="1"/>
    <xf numFmtId="1" fontId="0" fillId="0" borderId="1" xfId="0" applyNumberFormat="1" applyBorder="1"/>
    <xf numFmtId="0" fontId="19" fillId="18" borderId="8" xfId="0" applyFont="1" applyFill="1" applyBorder="1" applyAlignment="1">
      <alignment horizontal="center" vertical="center" wrapText="1"/>
    </xf>
    <xf numFmtId="0" fontId="0" fillId="7" borderId="1" xfId="0" applyFill="1" applyBorder="1"/>
    <xf numFmtId="10" fontId="0" fillId="0" borderId="0" xfId="3" applyNumberFormat="1" applyFont="1"/>
    <xf numFmtId="0" fontId="19" fillId="18" borderId="8" xfId="0" applyFont="1" applyFill="1" applyBorder="1" applyAlignment="1">
      <alignment horizontal="center" vertical="center"/>
    </xf>
    <xf numFmtId="0" fontId="0" fillId="0" borderId="10" xfId="0" applyBorder="1"/>
    <xf numFmtId="0" fontId="0" fillId="0" borderId="12" xfId="0" applyBorder="1"/>
    <xf numFmtId="2" fontId="0" fillId="17" borderId="1" xfId="0" applyNumberFormat="1" applyFill="1" applyBorder="1"/>
    <xf numFmtId="2" fontId="0" fillId="17" borderId="10" xfId="0" applyNumberFormat="1" applyFill="1" applyBorder="1"/>
    <xf numFmtId="0" fontId="0" fillId="17" borderId="10" xfId="0" applyFill="1" applyBorder="1"/>
    <xf numFmtId="0" fontId="0" fillId="0" borderId="15" xfId="0" applyBorder="1"/>
    <xf numFmtId="0" fontId="0" fillId="0" borderId="17" xfId="0" applyBorder="1"/>
    <xf numFmtId="0" fontId="24" fillId="21" borderId="1" xfId="0" applyFont="1" applyFill="1" applyBorder="1" applyAlignment="1">
      <alignment horizontal="center" vertical="center"/>
    </xf>
    <xf numFmtId="0" fontId="0" fillId="22" borderId="1" xfId="0" applyFill="1" applyBorder="1" applyAlignment="1">
      <alignment horizontal="center" vertical="center"/>
    </xf>
    <xf numFmtId="0" fontId="0" fillId="20" borderId="1" xfId="0" applyFill="1" applyBorder="1"/>
    <xf numFmtId="2" fontId="0" fillId="4" borderId="1" xfId="0" applyNumberFormat="1" applyFill="1" applyBorder="1" applyAlignment="1">
      <alignment horizontal="left" vertical="center"/>
    </xf>
    <xf numFmtId="0" fontId="0" fillId="20" borderId="1" xfId="0" applyFill="1" applyBorder="1" applyAlignment="1">
      <alignment horizontal="center" vertical="center"/>
    </xf>
    <xf numFmtId="2" fontId="0" fillId="0" borderId="1" xfId="0" applyNumberFormat="1" applyBorder="1" applyAlignment="1">
      <alignment horizontal="left" vertical="center"/>
    </xf>
    <xf numFmtId="0" fontId="25" fillId="0" borderId="1" xfId="0" applyFont="1" applyBorder="1" applyAlignment="1">
      <alignment vertical="center"/>
    </xf>
    <xf numFmtId="0" fontId="0" fillId="23" borderId="1" xfId="0" applyFill="1" applyBorder="1" applyAlignment="1">
      <alignment horizontal="right" vertical="center"/>
    </xf>
    <xf numFmtId="2" fontId="0" fillId="23" borderId="1" xfId="0" applyNumberFormat="1" applyFill="1" applyBorder="1"/>
    <xf numFmtId="0" fontId="0" fillId="23" borderId="1" xfId="0" applyFill="1" applyBorder="1"/>
    <xf numFmtId="0" fontId="26" fillId="0" borderId="17" xfId="0" applyFont="1" applyBorder="1" applyAlignment="1">
      <alignment vertical="center"/>
    </xf>
    <xf numFmtId="0" fontId="0" fillId="23" borderId="1" xfId="0" applyFill="1" applyBorder="1" applyAlignment="1">
      <alignment horizontal="right"/>
    </xf>
    <xf numFmtId="0" fontId="19" fillId="0" borderId="0" xfId="0" applyFont="1" applyAlignment="1">
      <alignment horizontal="right" vertical="center"/>
    </xf>
    <xf numFmtId="2" fontId="28" fillId="14" borderId="1" xfId="0" applyNumberFormat="1" applyFont="1" applyFill="1" applyBorder="1" applyAlignment="1">
      <alignment horizontal="right" vertical="center"/>
    </xf>
    <xf numFmtId="0" fontId="0" fillId="0" borderId="1" xfId="0" applyBorder="1" applyAlignment="1">
      <alignment horizontal="right"/>
    </xf>
    <xf numFmtId="2" fontId="0" fillId="0" borderId="1" xfId="0" applyNumberFormat="1" applyBorder="1" applyAlignment="1">
      <alignment horizontal="right" vertical="center"/>
    </xf>
    <xf numFmtId="0" fontId="0" fillId="0" borderId="1" xfId="0" applyBorder="1" applyAlignment="1">
      <alignment horizontal="left"/>
    </xf>
    <xf numFmtId="0" fontId="0" fillId="0" borderId="1" xfId="0" applyBorder="1" applyAlignment="1">
      <alignment horizontal="right" vertical="center"/>
    </xf>
    <xf numFmtId="0" fontId="28" fillId="0" borderId="0" xfId="0" applyFont="1" applyAlignment="1">
      <alignment horizontal="right"/>
    </xf>
    <xf numFmtId="0" fontId="0" fillId="0" borderId="0" xfId="0" applyAlignment="1">
      <alignment horizontal="right"/>
    </xf>
    <xf numFmtId="0" fontId="22" fillId="0" borderId="0" xfId="0" applyFont="1"/>
    <xf numFmtId="2" fontId="22" fillId="0" borderId="0" xfId="0" applyNumberFormat="1" applyFont="1"/>
    <xf numFmtId="0" fontId="0" fillId="10" borderId="1" xfId="0" applyFill="1" applyBorder="1" applyAlignment="1">
      <alignment horizontal="center" wrapText="1"/>
    </xf>
    <xf numFmtId="0" fontId="0" fillId="4" borderId="1" xfId="0" applyFill="1" applyBorder="1" applyAlignment="1">
      <alignment horizontal="center" wrapText="1"/>
    </xf>
    <xf numFmtId="0" fontId="0" fillId="4" borderId="1" xfId="0" applyFill="1" applyBorder="1" applyAlignment="1">
      <alignment horizontal="center"/>
    </xf>
    <xf numFmtId="1" fontId="0" fillId="4" borderId="1" xfId="0" applyNumberFormat="1" applyFill="1" applyBorder="1" applyAlignment="1">
      <alignment horizontal="center"/>
    </xf>
    <xf numFmtId="0" fontId="0" fillId="10" borderId="1" xfId="0" applyFill="1" applyBorder="1"/>
    <xf numFmtId="2" fontId="0" fillId="0" borderId="1" xfId="0" applyNumberFormat="1" applyBorder="1" applyAlignment="1">
      <alignment horizontal="center"/>
    </xf>
    <xf numFmtId="2" fontId="0" fillId="0" borderId="1" xfId="0" applyNumberFormat="1" applyBorder="1" applyAlignment="1">
      <alignment horizontal="left"/>
    </xf>
    <xf numFmtId="0" fontId="0" fillId="0" borderId="10" xfId="0" applyBorder="1" applyAlignment="1">
      <alignment horizontal="right"/>
    </xf>
    <xf numFmtId="2" fontId="0" fillId="0" borderId="10" xfId="0" applyNumberFormat="1" applyBorder="1" applyAlignment="1">
      <alignment horizontal="right"/>
    </xf>
    <xf numFmtId="1" fontId="0" fillId="0" borderId="0" xfId="0" applyNumberFormat="1" applyAlignment="1">
      <alignment horizontal="center"/>
    </xf>
    <xf numFmtId="0" fontId="19" fillId="0" borderId="0" xfId="0" applyFont="1" applyAlignment="1">
      <alignment horizontal="center" vertical="center"/>
    </xf>
    <xf numFmtId="0" fontId="19" fillId="0" borderId="1" xfId="0" applyFont="1" applyBorder="1" applyAlignment="1">
      <alignment vertical="center"/>
    </xf>
    <xf numFmtId="0" fontId="29" fillId="0" borderId="0" xfId="0" applyFont="1" applyAlignment="1">
      <alignment horizontal="center"/>
    </xf>
    <xf numFmtId="0" fontId="0" fillId="20" borderId="1" xfId="0" applyFill="1" applyBorder="1" applyAlignment="1">
      <alignment vertical="center"/>
    </xf>
    <xf numFmtId="0" fontId="29" fillId="0" borderId="0" xfId="0" applyFont="1" applyAlignment="1">
      <alignment horizontal="right"/>
    </xf>
    <xf numFmtId="0" fontId="0" fillId="4" borderId="1" xfId="0" applyFill="1" applyBorder="1" applyAlignment="1">
      <alignment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19" fillId="10" borderId="1" xfId="0" applyFont="1" applyFill="1" applyBorder="1"/>
    <xf numFmtId="9" fontId="19" fillId="10" borderId="1" xfId="0" applyNumberFormat="1" applyFont="1" applyFill="1" applyBorder="1"/>
    <xf numFmtId="2" fontId="19" fillId="10" borderId="1" xfId="0" applyNumberFormat="1" applyFont="1" applyFill="1" applyBorder="1"/>
    <xf numFmtId="2" fontId="0" fillId="10" borderId="1" xfId="0" applyNumberFormat="1" applyFill="1" applyBorder="1"/>
    <xf numFmtId="1" fontId="0" fillId="10" borderId="1" xfId="0" applyNumberFormat="1" applyFill="1" applyBorder="1"/>
    <xf numFmtId="0" fontId="32" fillId="26" borderId="1" xfId="0" applyFont="1" applyFill="1" applyBorder="1" applyAlignment="1">
      <alignment vertical="center" wrapText="1"/>
    </xf>
    <xf numFmtId="0" fontId="32" fillId="26" borderId="1" xfId="0" applyFont="1" applyFill="1" applyBorder="1" applyAlignment="1">
      <alignment horizontal="center" vertical="center" wrapText="1"/>
    </xf>
    <xf numFmtId="2" fontId="19" fillId="18" borderId="1" xfId="0" applyNumberFormat="1" applyFont="1" applyFill="1" applyBorder="1"/>
    <xf numFmtId="0" fontId="19" fillId="0" borderId="2" xfId="0" applyFont="1" applyBorder="1" applyAlignment="1">
      <alignment horizontal="left"/>
    </xf>
    <xf numFmtId="0" fontId="0" fillId="18" borderId="2" xfId="0" applyFill="1" applyBorder="1"/>
    <xf numFmtId="2" fontId="0" fillId="14" borderId="1" xfId="0" applyNumberFormat="1" applyFill="1" applyBorder="1" applyAlignment="1">
      <alignment horizontal="right"/>
    </xf>
    <xf numFmtId="0" fontId="16" fillId="27" borderId="4" xfId="5" applyFill="1" applyAlignment="1">
      <alignment horizontal="center"/>
    </xf>
    <xf numFmtId="0" fontId="16" fillId="25" borderId="4" xfId="5" applyFill="1" applyAlignment="1">
      <alignment horizontal="center" vertical="center"/>
    </xf>
    <xf numFmtId="0" fontId="16" fillId="25" borderId="4" xfId="5" applyFill="1" applyAlignment="1">
      <alignment horizontal="center"/>
    </xf>
    <xf numFmtId="0" fontId="0" fillId="9" borderId="1" xfId="0" applyFill="1" applyBorder="1" applyAlignment="1">
      <alignment horizontal="right" vertical="center"/>
    </xf>
    <xf numFmtId="0" fontId="0" fillId="0" borderId="0" xfId="0" applyAlignment="1">
      <alignment horizontal="right" vertical="center"/>
    </xf>
    <xf numFmtId="0" fontId="0" fillId="28" borderId="1" xfId="0" applyFill="1" applyBorder="1" applyAlignment="1">
      <alignment horizontal="center" vertical="center"/>
    </xf>
    <xf numFmtId="1" fontId="0" fillId="0" borderId="1" xfId="0" applyNumberFormat="1" applyBorder="1" applyAlignment="1">
      <alignment horizontal="right" vertical="center"/>
    </xf>
    <xf numFmtId="2" fontId="0" fillId="0" borderId="23" xfId="0" applyNumberFormat="1" applyBorder="1" applyAlignment="1">
      <alignment horizontal="right" vertical="center"/>
    </xf>
    <xf numFmtId="0" fontId="0" fillId="29" borderId="1" xfId="7" applyFont="1" applyBorder="1"/>
    <xf numFmtId="0" fontId="43" fillId="29" borderId="1" xfId="7" applyBorder="1"/>
    <xf numFmtId="2" fontId="0" fillId="0" borderId="0" xfId="0" applyNumberFormat="1" applyAlignment="1">
      <alignment horizontal="right" vertical="center"/>
    </xf>
    <xf numFmtId="2" fontId="43" fillId="29" borderId="1" xfId="7" applyNumberFormat="1" applyBorder="1"/>
    <xf numFmtId="1" fontId="0" fillId="0" borderId="0" xfId="0" applyNumberFormat="1" applyAlignment="1">
      <alignment horizontal="right" vertical="center"/>
    </xf>
    <xf numFmtId="0" fontId="0" fillId="16" borderId="6" xfId="0" applyFill="1" applyBorder="1" applyAlignment="1">
      <alignment horizontal="center"/>
    </xf>
    <xf numFmtId="0" fontId="0" fillId="16" borderId="8" xfId="0" applyFill="1" applyBorder="1" applyAlignment="1">
      <alignment horizontal="center"/>
    </xf>
    <xf numFmtId="0" fontId="33" fillId="30" borderId="7" xfId="0" applyFont="1" applyFill="1" applyBorder="1"/>
    <xf numFmtId="0" fontId="33" fillId="30" borderId="10" xfId="0" applyFont="1" applyFill="1" applyBorder="1"/>
    <xf numFmtId="0" fontId="34" fillId="0" borderId="0" xfId="0" applyFont="1"/>
    <xf numFmtId="0" fontId="35" fillId="0" borderId="0" xfId="0" applyFont="1"/>
    <xf numFmtId="0" fontId="34" fillId="0" borderId="0" xfId="0" applyFont="1" applyAlignment="1">
      <alignment wrapText="1"/>
    </xf>
    <xf numFmtId="0" fontId="0" fillId="0" borderId="0" xfId="0" applyAlignment="1">
      <alignment vertical="center" wrapText="1"/>
    </xf>
    <xf numFmtId="0" fontId="0" fillId="2" borderId="1" xfId="0" applyFill="1" applyBorder="1" applyAlignment="1">
      <alignment wrapText="1"/>
    </xf>
    <xf numFmtId="0" fontId="0" fillId="6" borderId="1" xfId="0" applyFill="1" applyBorder="1" applyAlignment="1">
      <alignment vertical="center"/>
    </xf>
    <xf numFmtId="0" fontId="0" fillId="6" borderId="2" xfId="0" applyFill="1" applyBorder="1" applyAlignment="1">
      <alignment vertical="center"/>
    </xf>
    <xf numFmtId="0" fontId="19" fillId="11" borderId="6" xfId="0" applyFont="1" applyFill="1" applyBorder="1" applyAlignment="1">
      <alignment horizontal="center" vertical="center"/>
    </xf>
    <xf numFmtId="0" fontId="19" fillId="11" borderId="8" xfId="0" applyFont="1" applyFill="1" applyBorder="1" applyAlignment="1">
      <alignment horizontal="center" vertical="center" wrapText="1"/>
    </xf>
    <xf numFmtId="0" fontId="0" fillId="13" borderId="7" xfId="0" applyFill="1" applyBorder="1"/>
    <xf numFmtId="0" fontId="0" fillId="13" borderId="11" xfId="0" applyFill="1" applyBorder="1"/>
    <xf numFmtId="0" fontId="0" fillId="0" borderId="24" xfId="0" applyBorder="1"/>
    <xf numFmtId="0" fontId="0" fillId="11" borderId="26" xfId="0" applyFill="1" applyBorder="1" applyAlignment="1">
      <alignment horizontal="center"/>
    </xf>
    <xf numFmtId="0" fontId="0" fillId="0" borderId="27" xfId="0" applyBorder="1"/>
    <xf numFmtId="0" fontId="0" fillId="11" borderId="29" xfId="0" applyFill="1" applyBorder="1" applyAlignment="1">
      <alignment horizontal="center"/>
    </xf>
    <xf numFmtId="0" fontId="0" fillId="31" borderId="24" xfId="0" applyFill="1" applyBorder="1"/>
    <xf numFmtId="0" fontId="0" fillId="31" borderId="25" xfId="0" applyFill="1" applyBorder="1"/>
    <xf numFmtId="0" fontId="0" fillId="31" borderId="30" xfId="0" applyFill="1" applyBorder="1"/>
    <xf numFmtId="0" fontId="0" fillId="11" borderId="1" xfId="0" applyFill="1" applyBorder="1"/>
    <xf numFmtId="0" fontId="0" fillId="0" borderId="31" xfId="0" applyBorder="1"/>
    <xf numFmtId="0" fontId="36" fillId="0" borderId="1" xfId="0" applyFont="1" applyBorder="1"/>
    <xf numFmtId="0" fontId="37" fillId="0" borderId="32" xfId="0" applyFont="1" applyBorder="1"/>
    <xf numFmtId="0" fontId="11" fillId="14" borderId="1" xfId="0" applyFont="1" applyFill="1" applyBorder="1"/>
    <xf numFmtId="2" fontId="0" fillId="14" borderId="1" xfId="0" applyNumberFormat="1" applyFill="1" applyBorder="1"/>
    <xf numFmtId="0" fontId="21" fillId="0" borderId="1" xfId="0" applyFont="1" applyBorder="1"/>
    <xf numFmtId="0" fontId="36" fillId="0" borderId="1" xfId="0" applyFont="1" applyBorder="1" applyAlignment="1">
      <alignment horizontal="center"/>
    </xf>
    <xf numFmtId="0" fontId="0" fillId="0" borderId="0" xfId="0" applyAlignment="1">
      <alignment wrapText="1"/>
    </xf>
    <xf numFmtId="0" fontId="28" fillId="0" borderId="1" xfId="0" applyFont="1" applyBorder="1"/>
    <xf numFmtId="0" fontId="21" fillId="0" borderId="32" xfId="0" applyFont="1" applyBorder="1"/>
    <xf numFmtId="0" fontId="21" fillId="0" borderId="31" xfId="0" applyFont="1" applyBorder="1"/>
    <xf numFmtId="0" fontId="0" fillId="32" borderId="31" xfId="0" applyFill="1" applyBorder="1"/>
    <xf numFmtId="0" fontId="0" fillId="32" borderId="1" xfId="0" applyFill="1" applyBorder="1"/>
    <xf numFmtId="0" fontId="37" fillId="32" borderId="32" xfId="0" applyFont="1" applyFill="1" applyBorder="1"/>
    <xf numFmtId="0" fontId="0" fillId="0" borderId="28" xfId="0" applyBorder="1"/>
    <xf numFmtId="0" fontId="37" fillId="0" borderId="33" xfId="0" applyFont="1" applyBorder="1"/>
    <xf numFmtId="1" fontId="0" fillId="0" borderId="30" xfId="0" applyNumberFormat="1" applyBorder="1"/>
    <xf numFmtId="0" fontId="0" fillId="0" borderId="36" xfId="0" applyBorder="1"/>
    <xf numFmtId="0" fontId="0" fillId="0" borderId="37" xfId="0" applyBorder="1"/>
    <xf numFmtId="0" fontId="18" fillId="16" borderId="39" xfId="0" applyFont="1" applyFill="1" applyBorder="1" applyAlignment="1">
      <alignment vertical="center"/>
    </xf>
    <xf numFmtId="9" fontId="23" fillId="16" borderId="40" xfId="3" applyFont="1" applyFill="1" applyBorder="1" applyAlignment="1">
      <alignment vertical="center"/>
    </xf>
    <xf numFmtId="0" fontId="0" fillId="0" borderId="42" xfId="0" applyBorder="1" applyAlignment="1">
      <alignment vertical="center"/>
    </xf>
    <xf numFmtId="9" fontId="0" fillId="0" borderId="3" xfId="3" applyFont="1" applyBorder="1"/>
    <xf numFmtId="0" fontId="0" fillId="0" borderId="31" xfId="0" applyBorder="1" applyAlignment="1">
      <alignment vertical="center"/>
    </xf>
    <xf numFmtId="9" fontId="0" fillId="0" borderId="0" xfId="0" applyNumberFormat="1"/>
    <xf numFmtId="0" fontId="0" fillId="0" borderId="27" xfId="0" applyBorder="1" applyAlignment="1">
      <alignment vertical="center"/>
    </xf>
    <xf numFmtId="9" fontId="0" fillId="0" borderId="43" xfId="3" applyFont="1" applyBorder="1"/>
    <xf numFmtId="0" fontId="0" fillId="7" borderId="0" xfId="0" applyFill="1"/>
    <xf numFmtId="0" fontId="39" fillId="7" borderId="0" xfId="0" applyFont="1" applyFill="1"/>
    <xf numFmtId="0" fontId="40" fillId="7" borderId="0" xfId="0" applyFont="1" applyFill="1"/>
    <xf numFmtId="0" fontId="41" fillId="7" borderId="0" xfId="0" applyFont="1" applyFill="1"/>
    <xf numFmtId="0" fontId="42" fillId="7" borderId="0" xfId="0" applyFont="1" applyFill="1"/>
    <xf numFmtId="0" fontId="19" fillId="0" borderId="5" xfId="0" applyFont="1" applyBorder="1" applyAlignment="1">
      <alignment horizontal="center" vertical="center" wrapText="1"/>
    </xf>
    <xf numFmtId="1" fontId="0" fillId="0" borderId="13" xfId="0" applyNumberFormat="1" applyBorder="1"/>
    <xf numFmtId="0" fontId="10" fillId="0" borderId="0" xfId="0" applyFont="1"/>
    <xf numFmtId="0" fontId="44" fillId="7" borderId="0" xfId="0" applyFont="1" applyFill="1" applyAlignment="1">
      <alignment horizontal="left" vertical="center" wrapText="1"/>
    </xf>
    <xf numFmtId="0" fontId="44" fillId="7" borderId="17" xfId="0" applyFont="1" applyFill="1" applyBorder="1" applyAlignment="1">
      <alignment horizontal="left" vertical="center" wrapText="1"/>
    </xf>
    <xf numFmtId="0" fontId="44" fillId="7" borderId="21" xfId="0" applyFont="1" applyFill="1" applyBorder="1" applyAlignment="1">
      <alignment horizontal="left" vertical="center" wrapText="1"/>
    </xf>
    <xf numFmtId="0" fontId="44" fillId="7" borderId="17"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1" xfId="0" applyFont="1" applyFill="1" applyBorder="1" applyAlignment="1">
      <alignment horizontal="left" vertical="top" wrapText="1"/>
    </xf>
    <xf numFmtId="0" fontId="21" fillId="7" borderId="38" xfId="0" applyFont="1" applyFill="1" applyBorder="1" applyAlignment="1">
      <alignment horizontal="center" vertical="center"/>
    </xf>
    <xf numFmtId="0" fontId="9" fillId="0" borderId="0" xfId="0" applyFont="1"/>
    <xf numFmtId="0" fontId="8" fillId="0" borderId="0" xfId="0" applyFont="1" applyAlignment="1">
      <alignment vertical="center"/>
    </xf>
    <xf numFmtId="0" fontId="19" fillId="17" borderId="10" xfId="0" applyFont="1" applyFill="1" applyBorder="1" applyAlignment="1">
      <alignment horizontal="center" vertical="center" wrapText="1"/>
    </xf>
    <xf numFmtId="1" fontId="0" fillId="7" borderId="1" xfId="0" applyNumberFormat="1" applyFill="1" applyBorder="1" applyAlignment="1">
      <alignment horizontal="center"/>
    </xf>
    <xf numFmtId="0" fontId="46" fillId="0" borderId="0" xfId="0" applyFont="1"/>
    <xf numFmtId="0" fontId="48" fillId="0" borderId="21" xfId="6" applyFont="1" applyBorder="1"/>
    <xf numFmtId="0" fontId="49" fillId="0" borderId="17" xfId="6" applyFont="1" applyBorder="1" applyAlignment="1">
      <alignment horizontal="center"/>
    </xf>
    <xf numFmtId="0" fontId="49" fillId="0" borderId="15" xfId="6" applyFont="1" applyBorder="1" applyAlignment="1">
      <alignment horizontal="left" vertical="center"/>
    </xf>
    <xf numFmtId="0" fontId="48" fillId="0" borderId="16" xfId="6" applyFont="1" applyBorder="1"/>
    <xf numFmtId="0" fontId="49" fillId="0" borderId="28" xfId="6" applyFont="1" applyBorder="1" applyAlignment="1">
      <alignment horizontal="center" vertical="center"/>
    </xf>
    <xf numFmtId="0" fontId="48" fillId="0" borderId="42" xfId="6" applyFont="1" applyBorder="1" applyAlignment="1">
      <alignment horizontal="center"/>
    </xf>
    <xf numFmtId="0" fontId="48" fillId="0" borderId="3" xfId="6" applyFont="1" applyBorder="1"/>
    <xf numFmtId="0" fontId="48" fillId="0" borderId="31" xfId="6" applyFont="1" applyBorder="1" applyAlignment="1">
      <alignment horizontal="center"/>
    </xf>
    <xf numFmtId="0" fontId="48" fillId="0" borderId="1" xfId="6" applyFont="1" applyBorder="1"/>
    <xf numFmtId="1" fontId="48" fillId="0" borderId="1" xfId="6" applyNumberFormat="1" applyFont="1" applyBorder="1" applyAlignment="1">
      <alignment horizontal="center"/>
    </xf>
    <xf numFmtId="0" fontId="48" fillId="7" borderId="1" xfId="6" applyFont="1" applyFill="1" applyBorder="1"/>
    <xf numFmtId="1" fontId="48" fillId="0" borderId="21" xfId="6" applyNumberFormat="1" applyFont="1" applyBorder="1"/>
    <xf numFmtId="0" fontId="48" fillId="7" borderId="2" xfId="6" applyFont="1" applyFill="1" applyBorder="1"/>
    <xf numFmtId="0" fontId="48" fillId="0" borderId="2" xfId="6" applyFont="1" applyBorder="1"/>
    <xf numFmtId="0" fontId="48" fillId="0" borderId="2" xfId="6" applyFont="1" applyBorder="1" applyAlignment="1">
      <alignment horizontal="center" vertical="center"/>
    </xf>
    <xf numFmtId="0" fontId="49" fillId="0" borderId="40" xfId="6" applyFont="1" applyBorder="1" applyAlignment="1">
      <alignment horizontal="center"/>
    </xf>
    <xf numFmtId="0" fontId="49" fillId="0" borderId="21" xfId="6" applyFont="1" applyBorder="1"/>
    <xf numFmtId="0" fontId="48" fillId="0" borderId="17" xfId="6" applyFont="1" applyBorder="1" applyAlignment="1">
      <alignment horizontal="center"/>
    </xf>
    <xf numFmtId="0" fontId="49" fillId="0" borderId="17" xfId="6" applyFont="1" applyBorder="1" applyAlignment="1">
      <alignment horizontal="left"/>
    </xf>
    <xf numFmtId="0" fontId="49" fillId="0" borderId="7" xfId="6" applyFont="1" applyBorder="1" applyAlignment="1">
      <alignment horizontal="center"/>
    </xf>
    <xf numFmtId="0" fontId="49" fillId="0" borderId="11" xfId="6" applyFont="1" applyBorder="1" applyAlignment="1">
      <alignment horizontal="center"/>
    </xf>
    <xf numFmtId="0" fontId="48" fillId="0" borderId="36" xfId="6" applyFont="1" applyBorder="1" applyAlignment="1">
      <alignment horizontal="center"/>
    </xf>
    <xf numFmtId="0" fontId="48" fillId="0" borderId="32" xfId="6" applyFont="1" applyBorder="1" applyAlignment="1">
      <alignment horizontal="center"/>
    </xf>
    <xf numFmtId="0" fontId="48" fillId="0" borderId="0" xfId="6" applyFont="1"/>
    <xf numFmtId="0" fontId="49" fillId="0" borderId="0" xfId="6" applyFont="1"/>
    <xf numFmtId="0" fontId="48" fillId="0" borderId="16" xfId="6" applyFont="1" applyBorder="1" applyAlignment="1">
      <alignment horizontal="center"/>
    </xf>
    <xf numFmtId="0" fontId="48" fillId="0" borderId="19" xfId="6" applyFont="1" applyBorder="1" applyAlignment="1">
      <alignment horizontal="center"/>
    </xf>
    <xf numFmtId="0" fontId="49" fillId="0" borderId="25" xfId="6" applyFont="1" applyBorder="1"/>
    <xf numFmtId="0" fontId="49" fillId="0" borderId="28" xfId="6" applyFont="1" applyBorder="1"/>
    <xf numFmtId="0" fontId="0" fillId="34" borderId="0" xfId="0" applyFill="1"/>
    <xf numFmtId="0" fontId="7" fillId="34" borderId="0" xfId="0" applyFont="1" applyFill="1"/>
    <xf numFmtId="0" fontId="0" fillId="34" borderId="0" xfId="0" applyFill="1" applyAlignment="1">
      <alignment vertical="center"/>
    </xf>
    <xf numFmtId="0" fontId="7" fillId="0" borderId="7" xfId="0" applyFont="1" applyBorder="1"/>
    <xf numFmtId="1" fontId="48" fillId="7" borderId="3" xfId="6" applyNumberFormat="1" applyFont="1" applyFill="1" applyBorder="1" applyAlignment="1">
      <alignment horizontal="center"/>
    </xf>
    <xf numFmtId="0" fontId="49" fillId="7" borderId="1" xfId="6" applyFont="1" applyFill="1" applyBorder="1"/>
    <xf numFmtId="1" fontId="0" fillId="17" borderId="10" xfId="0" applyNumberFormat="1" applyFill="1" applyBorder="1" applyAlignment="1">
      <alignment vertical="center"/>
    </xf>
    <xf numFmtId="1" fontId="0" fillId="17" borderId="1" xfId="0" applyNumberFormat="1" applyFill="1" applyBorder="1"/>
    <xf numFmtId="1" fontId="0" fillId="17" borderId="1" xfId="0" applyNumberFormat="1" applyFill="1" applyBorder="1" applyAlignment="1">
      <alignment horizontal="center" vertical="center"/>
    </xf>
    <xf numFmtId="0" fontId="0" fillId="0" borderId="1" xfId="0" applyBorder="1"/>
    <xf numFmtId="0" fontId="0" fillId="0" borderId="0" xfId="0" applyProtection="1">
      <protection locked="0"/>
    </xf>
    <xf numFmtId="0" fontId="49" fillId="0" borderId="19" xfId="6" applyFont="1" applyBorder="1" applyAlignment="1">
      <alignment vertical="center"/>
    </xf>
    <xf numFmtId="0" fontId="49" fillId="0" borderId="19" xfId="6" applyFont="1" applyBorder="1" applyAlignment="1">
      <alignment horizontal="center" vertical="center"/>
    </xf>
    <xf numFmtId="0" fontId="48" fillId="0" borderId="1" xfId="6" applyFont="1" applyBorder="1" applyAlignment="1">
      <alignment horizontal="right" vertical="center"/>
    </xf>
    <xf numFmtId="0" fontId="49" fillId="0" borderId="1" xfId="6" applyFont="1" applyBorder="1"/>
    <xf numFmtId="0" fontId="49" fillId="0" borderId="20" xfId="6" applyFont="1" applyBorder="1" applyAlignment="1">
      <alignment horizontal="center"/>
    </xf>
    <xf numFmtId="0" fontId="0" fillId="0" borderId="25" xfId="0" applyBorder="1"/>
    <xf numFmtId="0" fontId="49" fillId="0" borderId="25" xfId="6" applyFont="1" applyBorder="1" applyAlignment="1">
      <alignment horizontal="center"/>
    </xf>
    <xf numFmtId="14" fontId="49" fillId="0" borderId="30" xfId="6" applyNumberFormat="1" applyFont="1" applyBorder="1"/>
    <xf numFmtId="0" fontId="49" fillId="0" borderId="31" xfId="6" applyFont="1" applyBorder="1"/>
    <xf numFmtId="0" fontId="49" fillId="7" borderId="32" xfId="6" applyFont="1" applyFill="1" applyBorder="1"/>
    <xf numFmtId="0" fontId="49" fillId="0" borderId="27" xfId="6" applyFont="1" applyBorder="1" applyAlignment="1">
      <alignment horizontal="center"/>
    </xf>
    <xf numFmtId="0" fontId="49" fillId="0" borderId="28" xfId="6" applyFont="1" applyBorder="1" applyAlignment="1">
      <alignment horizontal="left"/>
    </xf>
    <xf numFmtId="0" fontId="49" fillId="0" borderId="56" xfId="6" applyFont="1" applyBorder="1" applyAlignment="1">
      <alignment horizontal="center" vertical="center"/>
    </xf>
    <xf numFmtId="0" fontId="48" fillId="0" borderId="1" xfId="6" applyFont="1" applyBorder="1" applyAlignment="1">
      <alignment horizontal="center" wrapText="1"/>
    </xf>
    <xf numFmtId="0" fontId="48" fillId="0" borderId="1" xfId="6" applyFont="1" applyBorder="1" applyAlignment="1">
      <alignment horizontal="center" vertical="center" wrapText="1"/>
    </xf>
    <xf numFmtId="0" fontId="21" fillId="0" borderId="0" xfId="0" applyFont="1" applyAlignment="1">
      <alignment horizontal="center" vertical="center"/>
    </xf>
    <xf numFmtId="0" fontId="48" fillId="0" borderId="0" xfId="6" applyFont="1" applyAlignment="1">
      <alignment horizontal="left" vertical="center"/>
    </xf>
    <xf numFmtId="0" fontId="48" fillId="0" borderId="0" xfId="6" applyFont="1" applyAlignment="1">
      <alignment horizontal="center" vertical="center"/>
    </xf>
    <xf numFmtId="0" fontId="50" fillId="0" borderId="21" xfId="6" applyFont="1" applyBorder="1" applyAlignment="1">
      <alignment horizontal="left" readingOrder="1"/>
    </xf>
    <xf numFmtId="0" fontId="48" fillId="0" borderId="0" xfId="6" applyFont="1" applyAlignment="1">
      <alignment horizontal="center"/>
    </xf>
    <xf numFmtId="0" fontId="49" fillId="0" borderId="0" xfId="6" applyFont="1" applyAlignment="1">
      <alignment horizontal="center"/>
    </xf>
    <xf numFmtId="0" fontId="48" fillId="0" borderId="0" xfId="6" applyFont="1" applyAlignment="1">
      <alignment horizontal="left"/>
    </xf>
    <xf numFmtId="0" fontId="48" fillId="0" borderId="31" xfId="6" applyFont="1" applyBorder="1" applyAlignment="1">
      <alignment horizontal="center" vertical="center"/>
    </xf>
    <xf numFmtId="0" fontId="49" fillId="0" borderId="0" xfId="6" applyFont="1" applyAlignment="1">
      <alignment horizontal="left"/>
    </xf>
    <xf numFmtId="0" fontId="49" fillId="0" borderId="0" xfId="6" applyFont="1" applyAlignment="1">
      <alignment horizontal="center" vertical="center"/>
    </xf>
    <xf numFmtId="0" fontId="49" fillId="0" borderId="0" xfId="6" applyFont="1" applyAlignment="1">
      <alignment horizontal="center" vertical="top"/>
    </xf>
    <xf numFmtId="0" fontId="48" fillId="0" borderId="53" xfId="6" applyFont="1" applyBorder="1"/>
    <xf numFmtId="1" fontId="48" fillId="0" borderId="10" xfId="9" applyNumberFormat="1" applyFont="1" applyBorder="1" applyAlignment="1">
      <alignment horizontal="center" vertical="center"/>
    </xf>
    <xf numFmtId="14" fontId="49" fillId="0" borderId="20" xfId="6" applyNumberFormat="1" applyFont="1" applyBorder="1"/>
    <xf numFmtId="0" fontId="49" fillId="0" borderId="21" xfId="6" applyFont="1" applyBorder="1" applyAlignment="1">
      <alignment horizontal="center"/>
    </xf>
    <xf numFmtId="0" fontId="48" fillId="0" borderId="21" xfId="6" applyFont="1" applyBorder="1" applyAlignment="1">
      <alignment horizontal="center"/>
    </xf>
    <xf numFmtId="0" fontId="49" fillId="7" borderId="21" xfId="6" applyFont="1" applyFill="1" applyBorder="1"/>
    <xf numFmtId="0" fontId="51" fillId="0" borderId="0" xfId="6" applyFont="1" applyAlignment="1">
      <alignment horizontal="center"/>
    </xf>
    <xf numFmtId="1" fontId="48" fillId="7" borderId="8" xfId="6" applyNumberFormat="1" applyFont="1" applyFill="1" applyBorder="1" applyAlignment="1">
      <alignment horizontal="right"/>
    </xf>
    <xf numFmtId="1" fontId="48" fillId="0" borderId="10" xfId="6" applyNumberFormat="1" applyFont="1" applyBorder="1" applyAlignment="1">
      <alignment horizontal="right"/>
    </xf>
    <xf numFmtId="9" fontId="48" fillId="7" borderId="3" xfId="3" applyFont="1" applyFill="1" applyBorder="1" applyAlignment="1">
      <alignment horizontal="right"/>
    </xf>
    <xf numFmtId="9" fontId="49" fillId="0" borderId="57" xfId="3" applyFont="1" applyBorder="1" applyAlignment="1">
      <alignment horizontal="center"/>
    </xf>
    <xf numFmtId="0" fontId="49" fillId="0" borderId="34" xfId="6" applyFont="1" applyBorder="1" applyAlignment="1">
      <alignment horizontal="center" vertical="center"/>
    </xf>
    <xf numFmtId="9" fontId="48" fillId="0" borderId="61" xfId="3" applyFont="1" applyBorder="1" applyAlignment="1">
      <alignment horizontal="center"/>
    </xf>
    <xf numFmtId="10" fontId="48" fillId="0" borderId="61" xfId="3" applyNumberFormat="1" applyFont="1" applyBorder="1" applyAlignment="1">
      <alignment horizontal="center"/>
    </xf>
    <xf numFmtId="0" fontId="49" fillId="0" borderId="20" xfId="6" applyFont="1" applyBorder="1" applyAlignment="1">
      <alignment vertical="center"/>
    </xf>
    <xf numFmtId="0" fontId="5" fillId="0" borderId="0" xfId="0" applyFont="1" applyAlignment="1">
      <alignment horizontal="left"/>
    </xf>
    <xf numFmtId="0" fontId="38" fillId="0" borderId="0" xfId="0" applyFont="1" applyAlignment="1">
      <alignment vertical="center"/>
    </xf>
    <xf numFmtId="0" fontId="5" fillId="0" borderId="0" xfId="0" applyFont="1"/>
    <xf numFmtId="9" fontId="48" fillId="7" borderId="8" xfId="3" applyFont="1" applyFill="1" applyBorder="1" applyAlignment="1">
      <alignment horizontal="right"/>
    </xf>
    <xf numFmtId="0" fontId="49" fillId="0" borderId="62" xfId="6" applyFont="1" applyBorder="1" applyAlignment="1">
      <alignment horizontal="center"/>
    </xf>
    <xf numFmtId="9" fontId="48" fillId="7" borderId="1" xfId="3" applyFont="1" applyFill="1" applyBorder="1" applyAlignment="1">
      <alignment horizontal="right"/>
    </xf>
    <xf numFmtId="1" fontId="16" fillId="8" borderId="4" xfId="5" applyNumberFormat="1"/>
    <xf numFmtId="1" fontId="49" fillId="0" borderId="28" xfId="6" applyNumberFormat="1" applyFont="1" applyBorder="1" applyAlignment="1">
      <alignment horizontal="left"/>
    </xf>
    <xf numFmtId="0" fontId="4" fillId="0" borderId="1" xfId="0" applyFont="1" applyBorder="1" applyAlignment="1">
      <alignment horizontal="center" vertical="center"/>
    </xf>
    <xf numFmtId="0" fontId="0" fillId="17" borderId="0" xfId="0" applyFill="1"/>
    <xf numFmtId="10" fontId="0" fillId="0" borderId="0" xfId="0" applyNumberFormat="1"/>
    <xf numFmtId="0" fontId="3" fillId="0" borderId="0" xfId="0" applyFont="1"/>
    <xf numFmtId="9" fontId="48" fillId="0" borderId="0" xfId="3" applyFont="1" applyAlignment="1">
      <alignment horizontal="left" vertical="center"/>
    </xf>
    <xf numFmtId="0" fontId="22" fillId="17" borderId="1" xfId="0" applyFont="1" applyFill="1" applyBorder="1"/>
    <xf numFmtId="9" fontId="22" fillId="0" borderId="0" xfId="0" applyNumberFormat="1" applyFont="1"/>
    <xf numFmtId="0" fontId="22" fillId="0" borderId="1" xfId="0" applyFont="1" applyBorder="1"/>
    <xf numFmtId="0" fontId="22" fillId="36" borderId="1" xfId="0" applyFont="1" applyFill="1" applyBorder="1"/>
    <xf numFmtId="9" fontId="22" fillId="36" borderId="1" xfId="0" applyNumberFormat="1" applyFont="1" applyFill="1" applyBorder="1"/>
    <xf numFmtId="10" fontId="22" fillId="36" borderId="1" xfId="0" applyNumberFormat="1" applyFont="1" applyFill="1" applyBorder="1"/>
    <xf numFmtId="0" fontId="22" fillId="37" borderId="1" xfId="0" applyFont="1" applyFill="1" applyBorder="1"/>
    <xf numFmtId="9" fontId="22" fillId="37" borderId="1" xfId="0" applyNumberFormat="1" applyFont="1" applyFill="1" applyBorder="1"/>
    <xf numFmtId="10" fontId="22" fillId="37" borderId="1" xfId="0" applyNumberFormat="1" applyFont="1" applyFill="1" applyBorder="1"/>
    <xf numFmtId="0" fontId="22" fillId="33" borderId="1" xfId="0" applyFont="1" applyFill="1" applyBorder="1"/>
    <xf numFmtId="9" fontId="22" fillId="33" borderId="1" xfId="0" applyNumberFormat="1" applyFont="1" applyFill="1" applyBorder="1"/>
    <xf numFmtId="10" fontId="22" fillId="33" borderId="1" xfId="0" applyNumberFormat="1" applyFont="1" applyFill="1" applyBorder="1"/>
    <xf numFmtId="2" fontId="0" fillId="0" borderId="0" xfId="3" applyNumberFormat="1" applyFont="1"/>
    <xf numFmtId="0" fontId="48" fillId="0" borderId="52" xfId="6" applyFont="1" applyBorder="1" applyAlignment="1">
      <alignment horizontal="center"/>
    </xf>
    <xf numFmtId="0" fontId="49" fillId="0" borderId="52" xfId="6" applyFont="1" applyBorder="1" applyAlignment="1">
      <alignment horizontal="center"/>
    </xf>
    <xf numFmtId="0" fontId="0" fillId="0" borderId="0" xfId="0"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19" fillId="0" borderId="7" xfId="0" applyFont="1" applyBorder="1" applyAlignment="1">
      <alignment horizontal="center" vertical="center" wrapText="1"/>
    </xf>
    <xf numFmtId="0" fontId="0" fillId="0" borderId="10" xfId="0" applyBorder="1" applyAlignment="1">
      <alignment horizontal="center"/>
    </xf>
    <xf numFmtId="0" fontId="0" fillId="0" borderId="7" xfId="0" applyBorder="1" applyAlignment="1">
      <alignment horizontal="center"/>
    </xf>
    <xf numFmtId="0" fontId="28" fillId="0" borderId="32" xfId="0" applyFont="1" applyBorder="1"/>
    <xf numFmtId="2" fontId="36" fillId="0" borderId="1" xfId="0" applyNumberFormat="1" applyFont="1" applyBorder="1"/>
    <xf numFmtId="0" fontId="0" fillId="0" borderId="16" xfId="0" applyBorder="1"/>
    <xf numFmtId="0" fontId="0" fillId="0" borderId="20" xfId="0" applyBorder="1"/>
    <xf numFmtId="0" fontId="0" fillId="0" borderId="18" xfId="0" applyBorder="1"/>
    <xf numFmtId="0" fontId="0" fillId="0" borderId="19" xfId="0" applyBorder="1"/>
    <xf numFmtId="0" fontId="0" fillId="0" borderId="22" xfId="0" applyBorder="1"/>
    <xf numFmtId="0" fontId="0" fillId="0" borderId="21" xfId="0" applyBorder="1"/>
    <xf numFmtId="0" fontId="48" fillId="0" borderId="1" xfId="6" applyFont="1" applyBorder="1" applyAlignment="1">
      <alignment horizontal="center"/>
    </xf>
    <xf numFmtId="0" fontId="0" fillId="0" borderId="7" xfId="0" applyBorder="1"/>
    <xf numFmtId="0" fontId="49" fillId="0" borderId="25" xfId="6" applyFont="1" applyBorder="1" applyAlignment="1">
      <alignment horizontal="center" vertical="center"/>
    </xf>
    <xf numFmtId="0" fontId="0" fillId="0" borderId="3" xfId="0" applyBorder="1"/>
    <xf numFmtId="0" fontId="48" fillId="0" borderId="3" xfId="6" applyFont="1" applyBorder="1" applyAlignment="1">
      <alignment horizontal="center"/>
    </xf>
    <xf numFmtId="0" fontId="0" fillId="0" borderId="6" xfId="0" applyBorder="1"/>
    <xf numFmtId="0" fontId="0" fillId="0" borderId="0" xfId="0"/>
    <xf numFmtId="0" fontId="0" fillId="0" borderId="8" xfId="0" applyBorder="1"/>
    <xf numFmtId="0" fontId="0" fillId="0" borderId="14" xfId="0" applyBorder="1"/>
    <xf numFmtId="0" fontId="48" fillId="0" borderId="2" xfId="6" applyFont="1" applyBorder="1" applyAlignment="1">
      <alignment horizontal="center"/>
    </xf>
    <xf numFmtId="0" fontId="0" fillId="0" borderId="11" xfId="0" applyBorder="1"/>
    <xf numFmtId="0" fontId="0" fillId="0" borderId="13" xfId="0" applyBorder="1"/>
    <xf numFmtId="0" fontId="48" fillId="0" borderId="53" xfId="6" applyFont="1" applyBorder="1" applyAlignment="1">
      <alignment horizontal="center"/>
    </xf>
    <xf numFmtId="0" fontId="51" fillId="0" borderId="2" xfId="6" applyFont="1" applyBorder="1" applyAlignment="1">
      <alignment horizontal="center"/>
    </xf>
    <xf numFmtId="0" fontId="49" fillId="0" borderId="55" xfId="6" applyFont="1"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19" fillId="0" borderId="1" xfId="0" applyFont="1" applyBorder="1" applyAlignment="1">
      <alignment horizontal="center" vertical="center" wrapText="1"/>
    </xf>
    <xf numFmtId="2" fontId="19" fillId="13" borderId="1" xfId="0" applyNumberFormat="1" applyFont="1" applyFill="1" applyBorder="1" applyAlignment="1">
      <alignment horizontal="center" vertical="center"/>
    </xf>
    <xf numFmtId="0" fontId="0" fillId="17" borderId="1" xfId="0" applyFill="1" applyBorder="1" applyAlignment="1">
      <alignment horizontal="center" vertical="center"/>
    </xf>
    <xf numFmtId="0" fontId="31" fillId="26" borderId="1" xfId="0" applyFont="1" applyFill="1" applyBorder="1" applyAlignment="1">
      <alignment horizontal="center" vertical="center" wrapText="1"/>
    </xf>
    <xf numFmtId="0" fontId="19" fillId="10" borderId="1" xfId="0" applyFont="1" applyFill="1" applyBorder="1" applyAlignment="1">
      <alignment horizontal="center" vertical="center"/>
    </xf>
    <xf numFmtId="0" fontId="0" fillId="0" borderId="0" xfId="0" applyAlignment="1">
      <alignment horizontal="center"/>
    </xf>
    <xf numFmtId="0" fontId="0" fillId="10" borderId="1" xfId="0" applyFill="1" applyBorder="1" applyAlignment="1">
      <alignment horizontal="center"/>
    </xf>
    <xf numFmtId="0" fontId="0" fillId="0" borderId="1" xfId="0" applyBorder="1" applyAlignment="1">
      <alignment horizontal="center"/>
    </xf>
    <xf numFmtId="0" fontId="19" fillId="0" borderId="0" xfId="0" applyFont="1" applyAlignment="1">
      <alignment horizontal="left" vertical="center"/>
    </xf>
    <xf numFmtId="165" fontId="49" fillId="0" borderId="33" xfId="9" applyNumberFormat="1" applyFont="1" applyBorder="1" applyAlignment="1">
      <alignment horizontal="left"/>
    </xf>
    <xf numFmtId="165" fontId="49" fillId="0" borderId="22" xfId="9" applyNumberFormat="1" applyFont="1" applyBorder="1" applyAlignment="1">
      <alignment horizontal="left"/>
    </xf>
    <xf numFmtId="165" fontId="48" fillId="0" borderId="0" xfId="9" applyNumberFormat="1" applyFont="1" applyAlignment="1">
      <alignment horizontal="center" vertical="center"/>
    </xf>
    <xf numFmtId="165" fontId="48" fillId="0" borderId="20" xfId="9" applyNumberFormat="1" applyFont="1" applyBorder="1" applyAlignment="1">
      <alignment horizontal="center"/>
    </xf>
    <xf numFmtId="165" fontId="49" fillId="0" borderId="30" xfId="9" applyNumberFormat="1" applyFont="1" applyBorder="1" applyAlignment="1">
      <alignment horizontal="center" vertical="center"/>
    </xf>
    <xf numFmtId="165" fontId="49" fillId="0" borderId="52" xfId="9" applyNumberFormat="1" applyFont="1" applyBorder="1" applyAlignment="1">
      <alignment horizontal="center" vertical="center"/>
    </xf>
    <xf numFmtId="165" fontId="49" fillId="0" borderId="33" xfId="9" applyNumberFormat="1" applyFont="1" applyBorder="1" applyAlignment="1">
      <alignment horizontal="center" vertical="center"/>
    </xf>
    <xf numFmtId="168" fontId="48" fillId="0" borderId="8" xfId="9" applyNumberFormat="1" applyFont="1" applyBorder="1" applyAlignment="1">
      <alignment horizontal="center"/>
    </xf>
    <xf numFmtId="168" fontId="48" fillId="0" borderId="10" xfId="6" applyNumberFormat="1" applyFont="1" applyBorder="1" applyAlignment="1">
      <alignment horizontal="right"/>
    </xf>
    <xf numFmtId="168" fontId="48" fillId="0" borderId="1" xfId="9" applyNumberFormat="1" applyFont="1" applyBorder="1" applyAlignment="1">
      <alignment horizontal="center"/>
    </xf>
    <xf numFmtId="168" fontId="48" fillId="0" borderId="5" xfId="9" applyNumberFormat="1" applyFont="1" applyBorder="1" applyAlignment="1">
      <alignment horizontal="center"/>
    </xf>
    <xf numFmtId="168" fontId="48" fillId="0" borderId="2" xfId="9" applyNumberFormat="1" applyFont="1" applyBorder="1" applyAlignment="1">
      <alignment horizontal="center"/>
    </xf>
    <xf numFmtId="165" fontId="49" fillId="0" borderId="41" xfId="9" applyNumberFormat="1" applyFont="1" applyBorder="1" applyAlignment="1">
      <alignment horizontal="center"/>
    </xf>
    <xf numFmtId="165" fontId="48" fillId="0" borderId="0" xfId="9" applyNumberFormat="1" applyFont="1" applyAlignment="1">
      <alignment horizontal="center"/>
    </xf>
    <xf numFmtId="165" fontId="49" fillId="0" borderId="10" xfId="9" applyNumberFormat="1" applyFont="1" applyBorder="1" applyAlignment="1">
      <alignment horizontal="center"/>
    </xf>
    <xf numFmtId="165" fontId="49" fillId="0" borderId="35" xfId="9" applyNumberFormat="1" applyFont="1" applyBorder="1" applyAlignment="1">
      <alignment horizontal="center"/>
    </xf>
    <xf numFmtId="165" fontId="49" fillId="0" borderId="12" xfId="9" applyNumberFormat="1" applyFont="1" applyBorder="1" applyAlignment="1">
      <alignment horizontal="center"/>
    </xf>
    <xf numFmtId="165" fontId="49" fillId="0" borderId="60" xfId="9" applyNumberFormat="1" applyFont="1" applyBorder="1" applyAlignment="1">
      <alignment horizontal="center"/>
    </xf>
    <xf numFmtId="43" fontId="48" fillId="0" borderId="1" xfId="6" applyNumberFormat="1" applyFont="1" applyBorder="1" applyAlignment="1">
      <alignment horizontal="center"/>
    </xf>
    <xf numFmtId="168" fontId="48" fillId="0" borderId="10" xfId="9" applyNumberFormat="1" applyFont="1" applyBorder="1" applyAlignment="1">
      <alignment horizontal="center"/>
    </xf>
    <xf numFmtId="166" fontId="48" fillId="0" borderId="61" xfId="3" applyNumberFormat="1" applyFont="1" applyBorder="1" applyAlignment="1">
      <alignment horizontal="center"/>
    </xf>
    <xf numFmtId="167" fontId="48" fillId="0" borderId="61" xfId="3" applyNumberFormat="1" applyFont="1" applyBorder="1" applyAlignment="1">
      <alignment horizontal="center"/>
    </xf>
    <xf numFmtId="165" fontId="49" fillId="0" borderId="54" xfId="9" applyNumberFormat="1" applyFont="1" applyBorder="1" applyAlignment="1">
      <alignment horizontal="center"/>
    </xf>
    <xf numFmtId="168" fontId="49" fillId="0" borderId="53" xfId="9" applyNumberFormat="1" applyFont="1" applyBorder="1" applyAlignment="1">
      <alignment horizontal="center"/>
    </xf>
    <xf numFmtId="168" fontId="49" fillId="0" borderId="60" xfId="9" applyNumberFormat="1" applyFont="1" applyBorder="1" applyAlignment="1">
      <alignment horizontal="center"/>
    </xf>
    <xf numFmtId="165" fontId="49" fillId="0" borderId="0" xfId="9" applyNumberFormat="1" applyFont="1" applyAlignment="1">
      <alignment horizontal="center"/>
    </xf>
    <xf numFmtId="168" fontId="49" fillId="0" borderId="0" xfId="9" applyNumberFormat="1" applyFont="1" applyAlignment="1">
      <alignment horizontal="left" vertical="center"/>
    </xf>
    <xf numFmtId="168" fontId="49" fillId="0" borderId="0" xfId="9" applyNumberFormat="1" applyFont="1" applyAlignment="1">
      <alignment horizontal="right" vertical="center"/>
    </xf>
    <xf numFmtId="168" fontId="49" fillId="0" borderId="17" xfId="9" applyNumberFormat="1" applyFont="1" applyBorder="1" applyAlignment="1">
      <alignment horizontal="center"/>
    </xf>
    <xf numFmtId="165" fontId="49" fillId="0" borderId="57" xfId="9" applyNumberFormat="1" applyFont="1" applyBorder="1" applyAlignment="1">
      <alignment horizontal="center"/>
    </xf>
    <xf numFmtId="168" fontId="52" fillId="17" borderId="21" xfId="9" applyNumberFormat="1" applyFont="1" applyFill="1" applyBorder="1" applyAlignment="1">
      <alignment horizontal="center" vertical="center"/>
    </xf>
    <xf numFmtId="169" fontId="0" fillId="9" borderId="1" xfId="0" applyNumberFormat="1" applyFill="1" applyBorder="1" applyAlignment="1">
      <alignment horizontal="center" vertical="center"/>
    </xf>
    <xf numFmtId="43" fontId="0" fillId="0" borderId="1" xfId="1" applyFont="1" applyBorder="1" applyAlignment="1">
      <alignment horizontal="center" vertical="center"/>
    </xf>
    <xf numFmtId="43" fontId="0" fillId="17" borderId="1" xfId="1" applyFont="1" applyFill="1" applyBorder="1" applyAlignment="1">
      <alignment horizontal="center" vertical="center"/>
    </xf>
    <xf numFmtId="43" fontId="0" fillId="4" borderId="1" xfId="0" applyNumberFormat="1" applyFill="1" applyBorder="1"/>
    <xf numFmtId="43" fontId="0" fillId="0" borderId="0" xfId="0" applyNumberFormat="1"/>
    <xf numFmtId="43" fontId="0" fillId="0" borderId="1" xfId="0" applyNumberFormat="1" applyBorder="1"/>
    <xf numFmtId="170" fontId="0" fillId="0" borderId="0" xfId="0" applyNumberFormat="1"/>
    <xf numFmtId="170" fontId="0" fillId="0" borderId="0" xfId="2" applyNumberFormat="1" applyFont="1"/>
    <xf numFmtId="171" fontId="0" fillId="0" borderId="0" xfId="0" applyNumberFormat="1"/>
    <xf numFmtId="44" fontId="0" fillId="0" borderId="0" xfId="2" applyFont="1"/>
    <xf numFmtId="170" fontId="23" fillId="16" borderId="40" xfId="2" applyNumberFormat="1" applyFont="1" applyFill="1" applyBorder="1" applyAlignment="1">
      <alignment vertical="center"/>
    </xf>
    <xf numFmtId="44" fontId="45" fillId="7" borderId="41" xfId="0" applyNumberFormat="1" applyFont="1" applyFill="1" applyBorder="1" applyAlignment="1">
      <alignment vertical="center"/>
    </xf>
    <xf numFmtId="44" fontId="0" fillId="0" borderId="0" xfId="0" applyNumberFormat="1"/>
    <xf numFmtId="172" fontId="0" fillId="0" borderId="3" xfId="0" applyNumberFormat="1" applyBorder="1"/>
    <xf numFmtId="44" fontId="21" fillId="7" borderId="41" xfId="0" applyNumberFormat="1" applyFont="1" applyFill="1" applyBorder="1" applyAlignment="1">
      <alignment vertical="center"/>
    </xf>
    <xf numFmtId="172" fontId="0" fillId="0" borderId="1" xfId="0" applyNumberFormat="1" applyBorder="1"/>
    <xf numFmtId="172" fontId="21" fillId="7" borderId="1" xfId="0" applyNumberFormat="1" applyFont="1" applyFill="1" applyBorder="1"/>
    <xf numFmtId="172" fontId="0" fillId="0" borderId="28" xfId="0" applyNumberFormat="1" applyBorder="1"/>
    <xf numFmtId="172" fontId="21" fillId="7" borderId="28" xfId="0" applyNumberFormat="1" applyFont="1" applyFill="1" applyBorder="1"/>
    <xf numFmtId="173" fontId="32" fillId="26" borderId="1" xfId="0" applyNumberFormat="1" applyFont="1" applyFill="1" applyBorder="1" applyAlignment="1">
      <alignment horizontal="center" vertical="center" wrapText="1"/>
    </xf>
    <xf numFmtId="164" fontId="0" fillId="20" borderId="1" xfId="0" applyNumberFormat="1" applyFill="1" applyBorder="1" applyAlignment="1">
      <alignment vertical="center"/>
    </xf>
    <xf numFmtId="173" fontId="0" fillId="7" borderId="1" xfId="0" applyNumberFormat="1" applyFill="1" applyBorder="1" applyAlignment="1">
      <alignment horizontal="center"/>
    </xf>
    <xf numFmtId="164" fontId="0" fillId="0" borderId="0" xfId="0" applyNumberFormat="1" applyAlignment="1">
      <alignment horizontal="center"/>
    </xf>
    <xf numFmtId="170" fontId="16" fillId="8" borderId="4" xfId="2" applyNumberFormat="1" applyFont="1" applyFill="1" applyBorder="1"/>
    <xf numFmtId="0" fontId="2" fillId="0" borderId="0" xfId="0" applyFont="1"/>
    <xf numFmtId="0" fontId="48" fillId="0" borderId="2" xfId="6" applyFont="1" applyBorder="1" applyAlignment="1">
      <alignment horizontal="center"/>
    </xf>
    <xf numFmtId="0" fontId="0" fillId="0" borderId="11" xfId="0" applyBorder="1"/>
    <xf numFmtId="9" fontId="48" fillId="7" borderId="65" xfId="3" applyFont="1" applyFill="1" applyBorder="1" applyAlignment="1">
      <alignment horizontal="center"/>
    </xf>
    <xf numFmtId="0" fontId="0" fillId="0" borderId="55" xfId="0" applyBorder="1"/>
    <xf numFmtId="0" fontId="49" fillId="0" borderId="1" xfId="6" applyFont="1" applyBorder="1" applyAlignment="1">
      <alignment horizontal="center"/>
    </xf>
    <xf numFmtId="0" fontId="0" fillId="0" borderId="9" xfId="0" applyBorder="1"/>
    <xf numFmtId="0" fontId="0" fillId="0" borderId="7" xfId="0" applyBorder="1"/>
    <xf numFmtId="0" fontId="49" fillId="0" borderId="18" xfId="6" applyFont="1" applyBorder="1" applyAlignment="1">
      <alignment horizontal="center"/>
    </xf>
    <xf numFmtId="0" fontId="0" fillId="0" borderId="19" xfId="0" applyBorder="1"/>
    <xf numFmtId="9" fontId="48" fillId="0" borderId="1" xfId="3" applyFont="1" applyBorder="1" applyAlignment="1">
      <alignment horizontal="center"/>
    </xf>
    <xf numFmtId="0" fontId="49" fillId="0" borderId="55" xfId="6" applyFont="1" applyBorder="1" applyAlignment="1">
      <alignment horizontal="center" vertical="center"/>
    </xf>
    <xf numFmtId="0" fontId="48" fillId="0" borderId="1" xfId="6" applyFont="1" applyBorder="1" applyAlignment="1">
      <alignment horizontal="center"/>
    </xf>
    <xf numFmtId="0" fontId="48" fillId="0" borderId="53" xfId="6" applyFont="1" applyBorder="1" applyAlignment="1">
      <alignment horizontal="center"/>
    </xf>
    <xf numFmtId="0" fontId="0" fillId="0" borderId="53" xfId="0" applyBorder="1"/>
    <xf numFmtId="0" fontId="48" fillId="0" borderId="57" xfId="6" applyFont="1" applyBorder="1" applyAlignment="1">
      <alignment horizontal="center"/>
    </xf>
    <xf numFmtId="0" fontId="0" fillId="0" borderId="54" xfId="0" applyBorder="1"/>
    <xf numFmtId="0" fontId="49" fillId="0" borderId="25" xfId="6" applyFont="1" applyBorder="1" applyAlignment="1">
      <alignment horizontal="center" vertical="top" wrapText="1"/>
    </xf>
    <xf numFmtId="0" fontId="0" fillId="0" borderId="68" xfId="0" applyBorder="1"/>
    <xf numFmtId="0" fontId="0" fillId="0" borderId="3" xfId="0" applyBorder="1"/>
    <xf numFmtId="0" fontId="49" fillId="0" borderId="25" xfId="6" applyFont="1" applyBorder="1" applyAlignment="1">
      <alignment horizontal="center" vertical="center"/>
    </xf>
    <xf numFmtId="0" fontId="0" fillId="0" borderId="16" xfId="0" applyBorder="1"/>
    <xf numFmtId="0" fontId="0" fillId="0" borderId="63" xfId="0" applyBorder="1"/>
    <xf numFmtId="0" fontId="0" fillId="0" borderId="5" xfId="0" applyBorder="1"/>
    <xf numFmtId="0" fontId="0" fillId="0" borderId="0" xfId="0"/>
    <xf numFmtId="0" fontId="0" fillId="0" borderId="64" xfId="0" applyBorder="1"/>
    <xf numFmtId="0" fontId="0" fillId="0" borderId="8" xfId="0" applyBorder="1"/>
    <xf numFmtId="0" fontId="0" fillId="0" borderId="14" xfId="0" applyBorder="1"/>
    <xf numFmtId="0" fontId="0" fillId="0" borderId="6" xfId="0" applyBorder="1"/>
    <xf numFmtId="0" fontId="49" fillId="0" borderId="33" xfId="6" applyFont="1" applyBorder="1" applyAlignment="1">
      <alignment horizontal="left" vertical="center"/>
    </xf>
    <xf numFmtId="0" fontId="0" fillId="0" borderId="13" xfId="0" applyBorder="1"/>
    <xf numFmtId="0" fontId="0" fillId="0" borderId="38" xfId="0" applyBorder="1"/>
    <xf numFmtId="0" fontId="0" fillId="0" borderId="81" xfId="0" applyBorder="1"/>
    <xf numFmtId="0" fontId="0" fillId="0" borderId="22" xfId="0" applyBorder="1"/>
    <xf numFmtId="0" fontId="53" fillId="35" borderId="89" xfId="6" applyFont="1" applyFill="1" applyBorder="1" applyAlignment="1">
      <alignment horizontal="right" vertical="center"/>
    </xf>
    <xf numFmtId="0" fontId="0" fillId="0" borderId="90" xfId="0" applyBorder="1"/>
    <xf numFmtId="0" fontId="48" fillId="0" borderId="3" xfId="6" applyFont="1" applyBorder="1" applyAlignment="1">
      <alignment horizontal="center"/>
    </xf>
    <xf numFmtId="0" fontId="51" fillId="0" borderId="2" xfId="6" applyFont="1" applyBorder="1" applyAlignment="1">
      <alignment horizontal="center"/>
    </xf>
    <xf numFmtId="0" fontId="48" fillId="0" borderId="22" xfId="6" applyFont="1" applyBorder="1" applyAlignment="1">
      <alignment horizontal="center" vertical="center"/>
    </xf>
    <xf numFmtId="9" fontId="48" fillId="0" borderId="1" xfId="6" applyNumberFormat="1" applyFont="1" applyBorder="1" applyAlignment="1">
      <alignment horizontal="center"/>
    </xf>
    <xf numFmtId="168" fontId="48" fillId="0" borderId="51" xfId="6" applyNumberFormat="1" applyFont="1" applyBorder="1" applyAlignment="1">
      <alignment horizontal="center"/>
    </xf>
    <xf numFmtId="0" fontId="0" fillId="0" borderId="51" xfId="0" applyBorder="1"/>
    <xf numFmtId="0" fontId="49" fillId="0" borderId="50" xfId="6" applyFont="1" applyBorder="1" applyAlignment="1">
      <alignment horizontal="center" vertical="center" wrapText="1"/>
    </xf>
    <xf numFmtId="0" fontId="0" fillId="0" borderId="74" xfId="0" applyBorder="1"/>
    <xf numFmtId="1" fontId="48" fillId="7" borderId="65" xfId="6" applyNumberFormat="1" applyFont="1" applyFill="1" applyBorder="1" applyAlignment="1">
      <alignment horizontal="center"/>
    </xf>
    <xf numFmtId="0" fontId="49" fillId="0" borderId="76" xfId="6" applyFont="1" applyBorder="1" applyAlignment="1">
      <alignment horizontal="left" vertical="center"/>
    </xf>
    <xf numFmtId="0" fontId="0" fillId="0" borderId="77" xfId="0" applyBorder="1"/>
    <xf numFmtId="0" fontId="0" fillId="0" borderId="78" xfId="0" applyBorder="1"/>
    <xf numFmtId="0" fontId="0" fillId="0" borderId="79" xfId="0" applyBorder="1"/>
    <xf numFmtId="0" fontId="0" fillId="0" borderId="80" xfId="0" applyBorder="1"/>
    <xf numFmtId="0" fontId="0" fillId="0" borderId="58" xfId="0" applyBorder="1"/>
    <xf numFmtId="0" fontId="49" fillId="0" borderId="18" xfId="6" applyFont="1" applyBorder="1" applyAlignment="1">
      <alignment horizontal="left" vertical="center" wrapText="1"/>
    </xf>
    <xf numFmtId="0" fontId="54" fillId="32" borderId="24" xfId="6" applyFont="1" applyFill="1" applyBorder="1" applyAlignment="1">
      <alignment horizontal="center" vertical="center"/>
    </xf>
    <xf numFmtId="0" fontId="0" fillId="0" borderId="70" xfId="0" applyBorder="1"/>
    <xf numFmtId="168" fontId="49" fillId="17" borderId="75" xfId="9" applyNumberFormat="1" applyFont="1" applyFill="1" applyBorder="1" applyAlignment="1">
      <alignment horizontal="center" vertical="center"/>
    </xf>
    <xf numFmtId="0" fontId="0" fillId="0" borderId="20" xfId="0" applyBorder="1"/>
    <xf numFmtId="0" fontId="0" fillId="0" borderId="18" xfId="0" applyBorder="1"/>
    <xf numFmtId="168" fontId="49" fillId="0" borderId="57" xfId="9" applyNumberFormat="1" applyFont="1" applyBorder="1" applyAlignment="1">
      <alignment horizontal="center"/>
    </xf>
    <xf numFmtId="174" fontId="53" fillId="35" borderId="91" xfId="6" applyNumberFormat="1" applyFont="1" applyFill="1" applyBorder="1" applyAlignment="1">
      <alignment horizontal="left" vertical="center"/>
    </xf>
    <xf numFmtId="0" fontId="49" fillId="0" borderId="24" xfId="6" applyFont="1" applyBorder="1" applyAlignment="1">
      <alignment horizontal="center" vertical="center"/>
    </xf>
    <xf numFmtId="0" fontId="0" fillId="0" borderId="71" xfId="0" applyBorder="1"/>
    <xf numFmtId="0" fontId="0" fillId="0" borderId="42" xfId="0" applyBorder="1"/>
    <xf numFmtId="0" fontId="48" fillId="0" borderId="66" xfId="6" applyFont="1" applyBorder="1" applyAlignment="1">
      <alignment horizontal="center"/>
    </xf>
    <xf numFmtId="0" fontId="0" fillId="0" borderId="67" xfId="0" applyBorder="1"/>
    <xf numFmtId="168" fontId="49" fillId="0" borderId="3" xfId="9" applyNumberFormat="1" applyFont="1" applyBorder="1" applyAlignment="1">
      <alignment horizontal="left" vertical="center"/>
    </xf>
    <xf numFmtId="0" fontId="48" fillId="0" borderId="39" xfId="6" applyFont="1" applyBorder="1" applyAlignment="1">
      <alignment horizontal="center"/>
    </xf>
    <xf numFmtId="0" fontId="0" fillId="0" borderId="59" xfId="0" applyBorder="1"/>
    <xf numFmtId="0" fontId="48" fillId="0" borderId="54" xfId="6" applyFont="1" applyBorder="1" applyAlignment="1">
      <alignment horizontal="center"/>
    </xf>
    <xf numFmtId="168" fontId="52" fillId="17" borderId="69" xfId="9" applyNumberFormat="1" applyFont="1" applyFill="1" applyBorder="1" applyAlignment="1">
      <alignment horizontal="center" vertical="center"/>
    </xf>
    <xf numFmtId="168" fontId="49" fillId="0" borderId="1" xfId="9" applyNumberFormat="1" applyFont="1" applyBorder="1" applyAlignment="1">
      <alignment horizontal="left" vertical="center"/>
    </xf>
    <xf numFmtId="168" fontId="49" fillId="0" borderId="1" xfId="9" applyNumberFormat="1" applyFont="1" applyBorder="1" applyAlignment="1">
      <alignment horizontal="right" vertical="center"/>
    </xf>
    <xf numFmtId="0" fontId="49" fillId="17" borderId="82" xfId="6" applyFont="1" applyFill="1" applyBorder="1" applyAlignment="1">
      <alignment horizontal="center" vertical="center"/>
    </xf>
    <xf numFmtId="0" fontId="49" fillId="0" borderId="57" xfId="6" applyFont="1" applyBorder="1" applyAlignment="1">
      <alignment horizontal="center"/>
    </xf>
    <xf numFmtId="9" fontId="48" fillId="0" borderId="3" xfId="6" applyNumberFormat="1" applyFont="1" applyBorder="1" applyAlignment="1">
      <alignment horizontal="center"/>
    </xf>
    <xf numFmtId="0" fontId="47" fillId="0" borderId="75" xfId="6" applyFont="1" applyBorder="1" applyAlignment="1">
      <alignment horizontal="center" vertical="center"/>
    </xf>
    <xf numFmtId="0" fontId="49" fillId="0" borderId="72" xfId="6" applyFont="1" applyBorder="1" applyAlignment="1">
      <alignment horizontal="center" vertical="center"/>
    </xf>
    <xf numFmtId="0" fontId="0" fillId="0" borderId="73" xfId="0" applyBorder="1"/>
    <xf numFmtId="0" fontId="48" fillId="0" borderId="69" xfId="6" applyFont="1" applyBorder="1" applyAlignment="1">
      <alignment horizontal="center" wrapText="1"/>
    </xf>
    <xf numFmtId="0" fontId="0" fillId="0" borderId="21" xfId="0" applyBorder="1"/>
    <xf numFmtId="1" fontId="49" fillId="0" borderId="19" xfId="6" applyNumberFormat="1" applyFont="1" applyBorder="1" applyAlignment="1">
      <alignment horizontal="center" vertical="center"/>
    </xf>
    <xf numFmtId="0" fontId="3" fillId="0" borderId="0" xfId="0" applyFont="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18" fillId="0" borderId="5" xfId="0" applyFont="1" applyBorder="1" applyAlignment="1">
      <alignment horizontal="center" vertical="center"/>
    </xf>
    <xf numFmtId="0" fontId="22" fillId="15" borderId="1" xfId="0" applyFont="1" applyFill="1" applyBorder="1" applyAlignment="1">
      <alignment horizontal="center" vertical="center"/>
    </xf>
    <xf numFmtId="0" fontId="0" fillId="17" borderId="1" xfId="0" applyFill="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horizontal="left" vertical="center"/>
    </xf>
    <xf numFmtId="0" fontId="0" fillId="0" borderId="1" xfId="0" applyBorder="1" applyAlignment="1">
      <alignment horizontal="left" vertical="center"/>
    </xf>
    <xf numFmtId="0" fontId="17" fillId="10" borderId="0" xfId="0" applyFont="1" applyFill="1" applyAlignment="1">
      <alignment horizontal="center"/>
    </xf>
    <xf numFmtId="0" fontId="0" fillId="0" borderId="9" xfId="0" applyBorder="1" applyAlignment="1">
      <alignment horizontal="center"/>
    </xf>
    <xf numFmtId="0" fontId="19" fillId="13" borderId="1" xfId="0" applyFont="1" applyFill="1" applyBorder="1" applyAlignment="1">
      <alignment horizontal="center" vertical="center"/>
    </xf>
    <xf numFmtId="2" fontId="19" fillId="13" borderId="1" xfId="0" applyNumberFormat="1" applyFont="1" applyFill="1" applyBorder="1" applyAlignment="1">
      <alignment horizontal="center" vertical="center"/>
    </xf>
    <xf numFmtId="0" fontId="0" fillId="17" borderId="1" xfId="0" applyFill="1" applyBorder="1" applyAlignment="1">
      <alignment horizontal="left" vertical="center"/>
    </xf>
    <xf numFmtId="0" fontId="19" fillId="17" borderId="1" xfId="0" applyFont="1" applyFill="1" applyBorder="1" applyAlignment="1">
      <alignment horizontal="center" vertical="center"/>
    </xf>
    <xf numFmtId="0" fontId="6" fillId="0" borderId="10" xfId="0" applyFont="1" applyBorder="1" applyAlignment="1">
      <alignment horizontal="left" vertical="center"/>
    </xf>
    <xf numFmtId="0" fontId="19" fillId="0" borderId="1" xfId="0" applyFont="1" applyBorder="1" applyAlignment="1">
      <alignment horizontal="center" vertical="center" wrapText="1"/>
    </xf>
    <xf numFmtId="0" fontId="0" fillId="14" borderId="1" xfId="0" applyFill="1" applyBorder="1" applyAlignment="1">
      <alignment horizontal="center" vertical="center"/>
    </xf>
    <xf numFmtId="0" fontId="19" fillId="17" borderId="7" xfId="0" applyFont="1" applyFill="1" applyBorder="1" applyAlignment="1">
      <alignment horizontal="center" vertical="center" wrapText="1"/>
    </xf>
    <xf numFmtId="0" fontId="55" fillId="9" borderId="92" xfId="0" applyFont="1" applyFill="1" applyBorder="1" applyAlignment="1">
      <alignment horizontal="center" vertical="center"/>
    </xf>
    <xf numFmtId="0" fontId="0" fillId="0" borderId="93" xfId="0" applyBorder="1"/>
    <xf numFmtId="0" fontId="0" fillId="0" borderId="94" xfId="0" applyBorder="1"/>
    <xf numFmtId="0" fontId="8" fillId="0" borderId="34" xfId="0" applyFont="1" applyBorder="1" applyAlignment="1">
      <alignment horizontal="center" vertical="center"/>
    </xf>
    <xf numFmtId="0" fontId="0" fillId="0" borderId="83" xfId="0" applyBorder="1"/>
    <xf numFmtId="0" fontId="0" fillId="0" borderId="61" xfId="0" applyBorder="1"/>
    <xf numFmtId="0" fontId="21" fillId="7" borderId="20" xfId="0" applyFont="1" applyFill="1" applyBorder="1" applyAlignment="1">
      <alignment horizontal="center"/>
    </xf>
    <xf numFmtId="175" fontId="46" fillId="0" borderId="0" xfId="0" applyNumberFormat="1" applyFont="1" applyAlignment="1">
      <alignment horizontal="center"/>
    </xf>
    <xf numFmtId="0" fontId="19" fillId="18" borderId="1" xfId="0" applyFont="1" applyFill="1" applyBorder="1" applyAlignment="1">
      <alignment horizontal="center" vertical="center" wrapText="1"/>
    </xf>
    <xf numFmtId="0" fontId="0" fillId="11" borderId="1" xfId="0" applyFill="1" applyBorder="1" applyAlignment="1">
      <alignment horizontal="center" vertical="center"/>
    </xf>
    <xf numFmtId="0" fontId="30" fillId="0" borderId="1" xfId="0" applyFont="1" applyBorder="1" applyAlignment="1">
      <alignment horizontal="left" vertical="center" readingOrder="1"/>
    </xf>
    <xf numFmtId="0" fontId="31" fillId="26" borderId="1" xfId="0" applyFont="1" applyFill="1" applyBorder="1" applyAlignment="1">
      <alignment horizontal="center" vertical="center" wrapText="1"/>
    </xf>
    <xf numFmtId="0" fontId="19" fillId="0" borderId="1" xfId="0" applyFont="1" applyBorder="1" applyAlignment="1">
      <alignment horizontal="center" vertical="center"/>
    </xf>
    <xf numFmtId="0" fontId="0" fillId="2" borderId="1" xfId="0" applyFill="1" applyBorder="1" applyAlignment="1">
      <alignment horizontal="center" vertical="center"/>
    </xf>
    <xf numFmtId="0" fontId="10" fillId="0" borderId="60" xfId="0" applyFont="1" applyBorder="1" applyAlignment="1">
      <alignment horizontal="center" vertical="center" wrapText="1"/>
    </xf>
    <xf numFmtId="0" fontId="0" fillId="0" borderId="48" xfId="0" applyBorder="1"/>
    <xf numFmtId="0" fontId="0" fillId="0" borderId="49" xfId="0" applyBorder="1"/>
    <xf numFmtId="0" fontId="19" fillId="7" borderId="84" xfId="0" applyFont="1" applyFill="1" applyBorder="1" applyAlignment="1">
      <alignment horizontal="left" vertical="center"/>
    </xf>
    <xf numFmtId="0" fontId="0" fillId="0" borderId="46" xfId="0" applyBorder="1"/>
    <xf numFmtId="0" fontId="44" fillId="7" borderId="86" xfId="0" applyFont="1" applyFill="1" applyBorder="1" applyAlignment="1">
      <alignment horizontal="left" vertical="top" wrapText="1"/>
    </xf>
    <xf numFmtId="0" fontId="0" fillId="0" borderId="47" xfId="0" applyBorder="1"/>
    <xf numFmtId="0" fontId="18" fillId="7" borderId="85" xfId="0" applyFont="1" applyFill="1" applyBorder="1" applyAlignment="1">
      <alignment horizontal="center" vertical="center"/>
    </xf>
    <xf numFmtId="0" fontId="0" fillId="0" borderId="44" xfId="0" applyBorder="1"/>
    <xf numFmtId="0" fontId="0" fillId="0" borderId="45" xfId="0" applyBorder="1"/>
    <xf numFmtId="0" fontId="19" fillId="10" borderId="1" xfId="0" applyFont="1" applyFill="1" applyBorder="1" applyAlignment="1">
      <alignment horizontal="center" vertical="center"/>
    </xf>
    <xf numFmtId="0" fontId="0" fillId="0" borderId="1" xfId="0"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xf>
    <xf numFmtId="0" fontId="19" fillId="16" borderId="0" xfId="0" applyFont="1" applyFill="1" applyAlignment="1">
      <alignment horizontal="center"/>
    </xf>
    <xf numFmtId="0" fontId="0" fillId="0" borderId="0" xfId="0" applyAlignment="1">
      <alignment horizontal="center"/>
    </xf>
    <xf numFmtId="0" fontId="27" fillId="0" borderId="1" xfId="0" applyFont="1" applyBorder="1" applyAlignment="1">
      <alignment horizontal="center"/>
    </xf>
    <xf numFmtId="0" fontId="0" fillId="0" borderId="1" xfId="0" applyBorder="1" applyAlignment="1">
      <alignment horizontal="center"/>
    </xf>
    <xf numFmtId="0" fontId="19" fillId="19" borderId="1" xfId="0" applyFont="1" applyFill="1" applyBorder="1" applyAlignment="1">
      <alignment horizontal="center"/>
    </xf>
    <xf numFmtId="0" fontId="19" fillId="20" borderId="1" xfId="0" applyFont="1" applyFill="1" applyBorder="1" applyAlignment="1">
      <alignment horizontal="center"/>
    </xf>
    <xf numFmtId="0" fontId="0" fillId="13" borderId="1" xfId="0" applyFill="1" applyBorder="1" applyAlignment="1">
      <alignment horizontal="center" vertical="center"/>
    </xf>
    <xf numFmtId="0" fontId="0" fillId="13" borderId="1" xfId="0" applyFill="1" applyBorder="1" applyAlignment="1">
      <alignment horizontal="center" wrapText="1"/>
    </xf>
    <xf numFmtId="0" fontId="19" fillId="11" borderId="1" xfId="0" applyFont="1" applyFill="1" applyBorder="1" applyAlignment="1">
      <alignment horizontal="center"/>
    </xf>
    <xf numFmtId="0" fontId="19" fillId="0" borderId="0" xfId="0" applyFont="1" applyAlignment="1">
      <alignment horizontal="left" vertical="center"/>
    </xf>
    <xf numFmtId="0" fontId="16" fillId="8" borderId="4" xfId="5" applyAlignment="1">
      <alignment horizontal="center"/>
    </xf>
    <xf numFmtId="0" fontId="0" fillId="0" borderId="87" xfId="0" applyBorder="1"/>
    <xf numFmtId="0" fontId="0" fillId="0" borderId="88" xfId="0" applyBorder="1"/>
    <xf numFmtId="0" fontId="1" fillId="0" borderId="0" xfId="0" applyFont="1"/>
  </cellXfs>
  <cellStyles count="10">
    <cellStyle name="20% - Accent4" xfId="7" builtinId="42"/>
    <cellStyle name="40% - Accent2" xfId="4" builtinId="35"/>
    <cellStyle name="Comma" xfId="1" builtinId="3"/>
    <cellStyle name="Comma 2" xfId="8"/>
    <cellStyle name="Comma 2 2" xfId="9"/>
    <cellStyle name="Currency" xfId="2" builtinId="4"/>
    <cellStyle name="Normal" xfId="0" builtinId="0"/>
    <cellStyle name="Normal 2" xfId="6"/>
    <cellStyle name="Output" xfId="5" builtinId="21"/>
    <cellStyle name="Percent" xfId="3" builtinId="5"/>
  </cellStyles>
  <dxfs count="182">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strike val="0"/>
        <sz val="11"/>
        <color theme="1"/>
        <name val="Calibri"/>
      </font>
      <fill>
        <patternFill patternType="solid">
          <bgColor theme="2" tint="-9.9978637043366805E-2"/>
        </patternFill>
      </fill>
      <border>
        <left style="thin">
          <color auto="1"/>
        </left>
        <right/>
        <top style="thin">
          <color auto="1"/>
        </top>
        <bottom style="thin">
          <color auto="1"/>
        </bottom>
      </border>
    </dxf>
    <dxf>
      <fill>
        <patternFill patternType="solid">
          <bgColor theme="2" tint="-9.9978637043366805E-2"/>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3"/>
        </patternFill>
      </fill>
      <alignment vertical="center"/>
      <border>
        <left style="thin">
          <color auto="1"/>
        </left>
        <right style="thin">
          <color auto="1"/>
        </right>
        <top style="thin">
          <color auto="1"/>
        </top>
        <bottom style="thin">
          <color auto="1"/>
        </bottom>
      </border>
    </dxf>
    <dxf>
      <fill>
        <patternFill patternType="solid">
          <bgColor theme="5" tint="0.79995117038483843"/>
        </patternFill>
      </fill>
      <alignment vertical="center"/>
      <border>
        <left style="thin">
          <color auto="1"/>
        </left>
        <right style="thin">
          <color auto="1"/>
        </right>
        <top style="thin">
          <color auto="1"/>
        </top>
        <bottom style="thin">
          <color auto="1"/>
        </bottom>
      </border>
    </dxf>
    <dxf>
      <fill>
        <patternFill patternType="solid">
          <bgColor theme="5" tint="0.79995117038483843"/>
        </patternFill>
      </fill>
      <alignment vertical="center"/>
      <border>
        <left style="thin">
          <color auto="1"/>
        </left>
        <right style="thin">
          <color auto="1"/>
        </right>
        <top style="thin">
          <color auto="1"/>
        </top>
        <bottom style="thin">
          <color auto="1"/>
        </bottom>
      </border>
    </dxf>
    <dxf>
      <numFmt numFmtId="0" formatCode="General"/>
      <fill>
        <patternFill patternType="solid">
          <bgColor theme="9" tint="0.79995117038483843"/>
        </patternFill>
      </fill>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strike val="0"/>
        <sz val="10"/>
        <color auto="1"/>
        <name val="Arial"/>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strike val="0"/>
        <sz val="10"/>
        <color auto="1"/>
        <name val="Arial"/>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906918546098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strike val="0"/>
        <sz val="10"/>
        <color auto="1"/>
        <name val="Arial"/>
      </font>
      <border>
        <left style="thin">
          <color auto="1"/>
        </left>
        <right style="thin">
          <color auto="1"/>
        </right>
        <top style="thin">
          <color auto="1"/>
        </top>
        <bottom style="thin">
          <color auto="1"/>
        </bottom>
      </border>
      <protection locked="0" hidden="0"/>
    </dxf>
    <dxf>
      <font>
        <strike val="0"/>
        <sz val="10"/>
        <color auto="1"/>
        <name val="Arial"/>
      </font>
      <border>
        <left style="thin">
          <color auto="1"/>
        </left>
        <right style="thin">
          <color auto="1"/>
        </right>
        <top style="thin">
          <color auto="1"/>
        </top>
        <bottom style="thin">
          <color auto="1"/>
        </bottom>
      </border>
      <protection locked="0" hidden="0"/>
    </dxf>
    <dxf>
      <font>
        <strike val="0"/>
        <sz val="10"/>
        <color auto="1"/>
        <name val="Arial"/>
      </font>
      <alignment horizontal="center" vertical="center"/>
      <border>
        <left style="thin">
          <color auto="1"/>
        </left>
        <right style="thin">
          <color auto="1"/>
        </right>
        <top style="thin">
          <color auto="1"/>
        </top>
        <bottom style="thin">
          <color auto="1"/>
        </bottom>
      </border>
      <protection locked="0" hidden="0"/>
    </dxf>
    <dxf>
      <font>
        <strike val="0"/>
        <sz val="10"/>
        <color auto="1"/>
        <name val="Arial"/>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strike val="0"/>
        <sz val="10"/>
        <color auto="1"/>
        <name val="Arial"/>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strike val="0"/>
        <sz val="10"/>
        <color auto="1"/>
        <name val="Arial"/>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strike val="0"/>
        <sz val="11"/>
        <color theme="1"/>
        <name val="Calibri"/>
      </font>
      <alignment vertical="center"/>
      <border>
        <left/>
        <right/>
        <top style="thin">
          <color auto="1"/>
        </top>
        <bottom style="thin">
          <color auto="1"/>
        </bottom>
      </border>
    </dxf>
    <dxf>
      <numFmt numFmtId="0" formatCode="General"/>
    </dxf>
    <dxf>
      <fill>
        <patternFill patternType="solid">
          <bgColor theme="1" tint="4.9989318521683403E-2"/>
        </patternFill>
      </fill>
    </dxf>
    <dxf>
      <fill>
        <patternFill patternType="solid">
          <bgColor theme="9" tint="0.39991454817346722"/>
        </patternFill>
      </fill>
    </dxf>
    <dxf>
      <fill>
        <patternFill patternType="solid">
          <bgColor theme="9" tint="0.39991454817346722"/>
        </patternFill>
      </fill>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4" formatCode="0.0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numFmt numFmtId="13" formatCode="0%"/>
    </dxf>
    <dxf>
      <font>
        <strike val="0"/>
        <outline val="0"/>
        <shadow val="0"/>
        <vertAlign val="baseline"/>
        <sz val="11"/>
        <color auto="1"/>
        <name val="Calibri"/>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Calibri"/>
        <scheme val="minor"/>
      </font>
    </dxf>
    <dxf>
      <font>
        <strike val="0"/>
        <outline val="0"/>
        <shadow val="0"/>
        <vertAlign val="baseline"/>
        <sz val="11"/>
        <color auto="1"/>
        <name val="Calibri"/>
        <scheme val="minor"/>
      </font>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2EFDA"/>
          <bgColor rgb="FF000000"/>
        </patternFill>
      </fill>
    </dxf>
    <dxf>
      <font>
        <strike val="0"/>
        <outline val="0"/>
        <shadow val="0"/>
        <vertAlign val="baseline"/>
        <sz val="11"/>
        <color auto="1"/>
        <name val="Calibri"/>
        <scheme val="minor"/>
      </font>
    </dxf>
    <dxf>
      <font>
        <strike val="0"/>
        <outline val="0"/>
        <shadow val="0"/>
        <vertAlign val="baseline"/>
        <sz val="11"/>
        <color auto="1"/>
        <name val="Calibri"/>
        <scheme val="minor"/>
      </font>
      <fill>
        <patternFill patternType="solid">
          <fgColor indexed="64"/>
          <bgColor rgb="FFFFFF00"/>
        </patternFill>
      </fill>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spc="100" baseline="0">
                <a:solidFill>
                  <a:schemeClr val="lt1">
                    <a:lumMod val="95000"/>
                  </a:schemeClr>
                </a:solidFill>
                <a:latin typeface="+mn-lt"/>
                <a:ea typeface="+mn-ea"/>
                <a:cs typeface="+mn-cs"/>
              </a:defRPr>
            </a:pPr>
            <a:r>
              <a:rPr lang="en-IN"/>
              <a:t>Cost</a:t>
            </a:r>
            <a:r>
              <a:rPr lang="en-IN" baseline="0"/>
              <a:t> % vs Components</a:t>
            </a:r>
            <a:endParaRPr lang="en-IN"/>
          </a:p>
        </c:rich>
      </c:tx>
      <c:overlay val="0"/>
      <c:spPr>
        <a:noFill/>
        <a:ln>
          <a:noFill/>
          <a:prstDash val="solid"/>
        </a:ln>
      </c:spPr>
    </c:title>
    <c:autoTitleDeleted val="0"/>
    <c:plotArea>
      <c:layout/>
      <c:barChart>
        <c:barDir val="col"/>
        <c:grouping val="stacked"/>
        <c:varyColors val="0"/>
        <c:ser>
          <c:idx val="0"/>
          <c:order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errBars>
            <c:errBarType val="both"/>
            <c:errValType val="stdErr"/>
            <c:noEndCap val="0"/>
            <c:spPr>
              <a:noFill/>
              <a:ln w="9525" cap="flat" cmpd="sng" algn="ctr">
                <a:solidFill>
                  <a:schemeClr val="lt1">
                    <a:lumMod val="95000"/>
                  </a:schemeClr>
                </a:solidFill>
                <a:prstDash val="solid"/>
                <a:round/>
              </a:ln>
            </c:spPr>
          </c:errBars>
          <c:cat>
            <c:strRef>
              <c:f>Sheet1!$B$3:$B$32</c:f>
              <c:strCache>
                <c:ptCount val="30"/>
                <c:pt idx="0">
                  <c:v>CORE </c:v>
                </c:pt>
                <c:pt idx="1">
                  <c:v>CAVITY</c:v>
                </c:pt>
                <c:pt idx="2">
                  <c:v>MOULD BASE</c:v>
                </c:pt>
                <c:pt idx="3">
                  <c:v>HRS</c:v>
                </c:pt>
                <c:pt idx="4">
                  <c:v>SPACER BLOCK</c:v>
                </c:pt>
                <c:pt idx="5">
                  <c:v>EJECTOR PLATE</c:v>
                </c:pt>
                <c:pt idx="6">
                  <c:v>CLAMPING PLATE</c:v>
                </c:pt>
                <c:pt idx="7">
                  <c:v>STANDARD ITEMS</c:v>
                </c:pt>
                <c:pt idx="8">
                  <c:v>TEXTURING</c:v>
                </c:pt>
                <c:pt idx="9">
                  <c:v>HARDENING + POLISHING</c:v>
                </c:pt>
                <c:pt idx="10">
                  <c:v>ELECTRODES</c:v>
                </c:pt>
                <c:pt idx="11">
                  <c:v>OTHER PARTS</c:v>
                </c:pt>
                <c:pt idx="12">
                  <c:v>Surface Grinding</c:v>
                </c:pt>
                <c:pt idx="13">
                  <c:v>Conv Milling - Facing</c:v>
                </c:pt>
                <c:pt idx="14">
                  <c:v>CNC Milling</c:v>
                </c:pt>
                <c:pt idx="15">
                  <c:v>CNC Lathe</c:v>
                </c:pt>
                <c:pt idx="16">
                  <c:v>Radial Drilling - Hole drilling</c:v>
                </c:pt>
                <c:pt idx="17">
                  <c:v>CNC EDM</c:v>
                </c:pt>
                <c:pt idx="18">
                  <c:v>Radial Drilling - Reaming / Tapping</c:v>
                </c:pt>
                <c:pt idx="19">
                  <c:v>Conv Milling - End Milling</c:v>
                </c:pt>
                <c:pt idx="20">
                  <c:v>Gun Drilling</c:v>
                </c:pt>
                <c:pt idx="21">
                  <c:v>Bench Work</c:v>
                </c:pt>
                <c:pt idx="22">
                  <c:v>Conv Lathe - Facing / Turning</c:v>
                </c:pt>
                <c:pt idx="23">
                  <c:v>Cylindrical Grinding</c:v>
                </c:pt>
                <c:pt idx="24">
                  <c:v>Pillar Drilling</c:v>
                </c:pt>
                <c:pt idx="25">
                  <c:v>NC EDM</c:v>
                </c:pt>
                <c:pt idx="26">
                  <c:v>Wirecut EDM</c:v>
                </c:pt>
                <c:pt idx="27">
                  <c:v>Jig Boring</c:v>
                </c:pt>
                <c:pt idx="28">
                  <c:v>Design Cost</c:v>
                </c:pt>
                <c:pt idx="29">
                  <c:v>Other Cost</c:v>
                </c:pt>
              </c:strCache>
            </c:strRef>
          </c:cat>
          <c:val>
            <c:numRef>
              <c:f>Sheet1!$K$3:$K$30</c:f>
              <c:numCache>
                <c:formatCode>0.00%</c:formatCode>
                <c:ptCount val="28"/>
                <c:pt idx="0">
                  <c:v>6.0581005142889173E-2</c:v>
                </c:pt>
                <c:pt idx="1">
                  <c:v>5.8568607401404932E-2</c:v>
                </c:pt>
                <c:pt idx="2">
                  <c:v>4.6150104479646376E-2</c:v>
                </c:pt>
                <c:pt idx="3">
                  <c:v>4.16516403520567E-2</c:v>
                </c:pt>
                <c:pt idx="4">
                  <c:v>2.6701189376393743E-2</c:v>
                </c:pt>
                <c:pt idx="5">
                  <c:v>1.6335654136611345E-2</c:v>
                </c:pt>
                <c:pt idx="6">
                  <c:v>1.6582634699717658E-2</c:v>
                </c:pt>
                <c:pt idx="7">
                  <c:v>1.2486472871818269E-2</c:v>
                </c:pt>
                <c:pt idx="8">
                  <c:v>9.4280842183498068E-3</c:v>
                </c:pt>
                <c:pt idx="9">
                  <c:v>7.4921658298285803E-3</c:v>
                </c:pt>
                <c:pt idx="10">
                  <c:v>5.0047109348723357E-3</c:v>
                </c:pt>
                <c:pt idx="11">
                  <c:v>4.3747776988787828E-3</c:v>
                </c:pt>
                <c:pt idx="12">
                  <c:v>0.10721766958636433</c:v>
                </c:pt>
                <c:pt idx="13">
                  <c:v>9.5179490118251553E-2</c:v>
                </c:pt>
                <c:pt idx="14">
                  <c:v>8.046655977489145E-2</c:v>
                </c:pt>
                <c:pt idx="15">
                  <c:v>6.3437725931484237E-2</c:v>
                </c:pt>
                <c:pt idx="16">
                  <c:v>1.672181189172612E-2</c:v>
                </c:pt>
                <c:pt idx="17">
                  <c:v>9.5607176060017712E-3</c:v>
                </c:pt>
                <c:pt idx="18">
                  <c:v>6.0912001107993989E-3</c:v>
                </c:pt>
                <c:pt idx="19">
                  <c:v>3.1741468358302462E-3</c:v>
                </c:pt>
                <c:pt idx="20">
                  <c:v>2.2257370216007093E-3</c:v>
                </c:pt>
                <c:pt idx="21">
                  <c:v>1.8954824397694704E-3</c:v>
                </c:pt>
                <c:pt idx="22">
                  <c:v>0</c:v>
                </c:pt>
                <c:pt idx="23">
                  <c:v>0</c:v>
                </c:pt>
                <c:pt idx="24">
                  <c:v>0</c:v>
                </c:pt>
                <c:pt idx="25">
                  <c:v>0</c:v>
                </c:pt>
                <c:pt idx="26">
                  <c:v>0</c:v>
                </c:pt>
                <c:pt idx="27">
                  <c:v>0</c:v>
                </c:pt>
              </c:numCache>
            </c:numRef>
          </c:val>
          <c:extLst>
            <c:ext xmlns:c16="http://schemas.microsoft.com/office/drawing/2014/chart" uri="{C3380CC4-5D6E-409C-BE32-E72D297353CC}">
              <c16:uniqueId val="{00000000-BD3A-4922-AFD0-53090548277E}"/>
            </c:ext>
          </c:extLst>
        </c:ser>
        <c:dLbls>
          <c:showLegendKey val="0"/>
          <c:showVal val="0"/>
          <c:showCatName val="0"/>
          <c:showSerName val="0"/>
          <c:showPercent val="0"/>
          <c:showBubbleSize val="0"/>
        </c:dLbls>
        <c:gapWidth val="150"/>
        <c:overlap val="100"/>
        <c:axId val="1943646880"/>
        <c:axId val="1943637312"/>
      </c:barChart>
      <c:catAx>
        <c:axId val="1943646880"/>
        <c:scaling>
          <c:orientation val="minMax"/>
        </c:scaling>
        <c:delete val="0"/>
        <c:axPos val="b"/>
        <c:numFmt formatCode="General" sourceLinked="1"/>
        <c:majorTickMark val="none"/>
        <c:minorTickMark val="none"/>
        <c:tickLblPos val="nextTo"/>
        <c:spPr>
          <a:noFill/>
          <a:ln w="12700" cap="flat" cmpd="sng" algn="ctr">
            <a:solidFill>
              <a:schemeClr val="lt1">
                <a:alpha val="54000"/>
                <a:lumMod val="95000"/>
              </a:schemeClr>
            </a:solidFill>
            <a:prstDash val="solid"/>
            <a:round/>
          </a:ln>
        </c:spPr>
        <c: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endParaRPr lang="en-US"/>
          </a:p>
        </c:txPr>
        <c:crossAx val="1943637312"/>
        <c:crosses val="autoZero"/>
        <c:auto val="1"/>
        <c:lblAlgn val="ctr"/>
        <c:lblOffset val="100"/>
        <c:noMultiLvlLbl val="0"/>
      </c:catAx>
      <c:valAx>
        <c:axId val="1943637312"/>
        <c:scaling>
          <c:orientation val="minMax"/>
        </c:scaling>
        <c:delete val="0"/>
        <c:axPos val="l"/>
        <c:majorGridlines>
          <c:spPr>
            <a:ln w="9525" cap="flat" cmpd="sng" algn="ctr">
              <a:solidFill>
                <a:schemeClr val="lt1">
                  <a:alpha val="10000"/>
                  <a:lumMod val="9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endParaRPr lang="en-US"/>
          </a:p>
        </c:txPr>
        <c:crossAx val="1943646880"/>
        <c:crosses val="autoZero"/>
        <c:crossBetween val="between"/>
      </c:valAx>
    </c:plotArea>
    <c:plotVisOnly val="1"/>
    <c:dispBlanksAs val="gap"/>
    <c:showDLblsOverMax val="0"/>
  </c:chart>
  <c:spPr>
    <a:gradFill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mOULD </a:t>
            </a:r>
            <a:r>
              <a:rPr lang="en-IN" baseline="0"/>
              <a:t>- RAW MATERIAL </a:t>
            </a:r>
            <a:endParaRPr lang="en-IN"/>
          </a:p>
        </c:rich>
      </c:tx>
      <c:overlay val="0"/>
      <c:spPr>
        <a:noFill/>
        <a:ln>
          <a:noFill/>
          <a:prstDash val="solid"/>
        </a:ln>
      </c:spPr>
    </c:title>
    <c:autoTitleDeleted val="0"/>
    <c:plotArea>
      <c:layout/>
      <c:barChart>
        <c:barDir val="col"/>
        <c:grouping val="clustered"/>
        <c:varyColors val="0"/>
        <c:ser>
          <c:idx val="0"/>
          <c:order val="0"/>
          <c:tx>
            <c:strRef>
              <c:f>DASHBOARD!$B$14</c:f>
              <c:strCache>
                <c:ptCount val="1"/>
                <c:pt idx="0">
                  <c:v>MOULD BASE</c:v>
                </c:pt>
              </c:strCache>
            </c:strRef>
          </c:tx>
          <c:spPr>
            <a:solidFill>
              <a:schemeClr val="accent1"/>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DASHBOARD!$I$14</c:f>
              <c:numCache>
                <c:formatCode>0%</c:formatCode>
                <c:ptCount val="1"/>
                <c:pt idx="0">
                  <c:v>0.141352714716098</c:v>
                </c:pt>
              </c:numCache>
            </c:numRef>
          </c:val>
          <c:extLst>
            <c:ext xmlns:c16="http://schemas.microsoft.com/office/drawing/2014/chart" uri="{C3380CC4-5D6E-409C-BE32-E72D297353CC}">
              <c16:uniqueId val="{00000000-2B3A-4EA7-A356-57A1436E718E}"/>
            </c:ext>
          </c:extLst>
        </c:ser>
        <c:ser>
          <c:idx val="1"/>
          <c:order val="1"/>
          <c:tx>
            <c:strRef>
              <c:f>DASHBOARD!$B$15</c:f>
              <c:strCache>
                <c:ptCount val="1"/>
                <c:pt idx="0">
                  <c:v>CORE </c:v>
                </c:pt>
              </c:strCache>
            </c:strRef>
          </c:tx>
          <c:spPr>
            <a:solidFill>
              <a:schemeClr val="accent2"/>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DASHBOARD!$I$15</c:f>
              <c:numCache>
                <c:formatCode>0%</c:formatCode>
                <c:ptCount val="1"/>
                <c:pt idx="0">
                  <c:v>0.18572025602363496</c:v>
                </c:pt>
              </c:numCache>
            </c:numRef>
          </c:val>
          <c:extLst>
            <c:ext xmlns:c16="http://schemas.microsoft.com/office/drawing/2014/chart" uri="{C3380CC4-5D6E-409C-BE32-E72D297353CC}">
              <c16:uniqueId val="{00000001-2B3A-4EA7-A356-57A1436E718E}"/>
            </c:ext>
          </c:extLst>
        </c:ser>
        <c:ser>
          <c:idx val="2"/>
          <c:order val="2"/>
          <c:tx>
            <c:strRef>
              <c:f>DASHBOARD!$B$16</c:f>
              <c:strCache>
                <c:ptCount val="1"/>
                <c:pt idx="0">
                  <c:v>CAVITY</c:v>
                </c:pt>
              </c:strCache>
            </c:strRef>
          </c:tx>
          <c:spPr>
            <a:solidFill>
              <a:schemeClr val="accent3"/>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DASHBOARD!$I$16</c:f>
              <c:numCache>
                <c:formatCode>0%</c:formatCode>
                <c:ptCount val="1"/>
                <c:pt idx="0">
                  <c:v>0.17917611381815859</c:v>
                </c:pt>
              </c:numCache>
            </c:numRef>
          </c:val>
          <c:extLst>
            <c:ext xmlns:c16="http://schemas.microsoft.com/office/drawing/2014/chart" uri="{C3380CC4-5D6E-409C-BE32-E72D297353CC}">
              <c16:uniqueId val="{00000002-2B3A-4EA7-A356-57A1436E718E}"/>
            </c:ext>
          </c:extLst>
        </c:ser>
        <c:ser>
          <c:idx val="3"/>
          <c:order val="3"/>
          <c:tx>
            <c:strRef>
              <c:f>DASHBOARD!$B$17</c:f>
              <c:strCache>
                <c:ptCount val="1"/>
                <c:pt idx="0">
                  <c:v>ELECTRODES</c:v>
                </c:pt>
              </c:strCache>
            </c:strRef>
          </c:tx>
          <c:spPr>
            <a:solidFill>
              <a:schemeClr val="accent4"/>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DASHBOARD!$I$17</c:f>
              <c:numCache>
                <c:formatCode>0%</c:formatCode>
                <c:ptCount val="1"/>
                <c:pt idx="0">
                  <c:v>1.1483650537103155E-2</c:v>
                </c:pt>
              </c:numCache>
            </c:numRef>
          </c:val>
          <c:extLst>
            <c:ext xmlns:c16="http://schemas.microsoft.com/office/drawing/2014/chart" uri="{C3380CC4-5D6E-409C-BE32-E72D297353CC}">
              <c16:uniqueId val="{00000003-2B3A-4EA7-A356-57A1436E718E}"/>
            </c:ext>
          </c:extLst>
        </c:ser>
        <c:ser>
          <c:idx val="4"/>
          <c:order val="4"/>
          <c:tx>
            <c:strRef>
              <c:f>DASHBOARD!$B$18</c:f>
              <c:strCache>
                <c:ptCount val="1"/>
                <c:pt idx="0">
                  <c:v>SPACER BLOCK</c:v>
                </c:pt>
              </c:strCache>
            </c:strRef>
          </c:tx>
          <c:spPr>
            <a:solidFill>
              <a:schemeClr val="accent5"/>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DASHBOARD!$I$18</c:f>
              <c:numCache>
                <c:formatCode>0%</c:formatCode>
                <c:ptCount val="1"/>
                <c:pt idx="0">
                  <c:v>8.1563063270388342E-2</c:v>
                </c:pt>
              </c:numCache>
            </c:numRef>
          </c:val>
          <c:extLst>
            <c:ext xmlns:c16="http://schemas.microsoft.com/office/drawing/2014/chart" uri="{C3380CC4-5D6E-409C-BE32-E72D297353CC}">
              <c16:uniqueId val="{00000004-2B3A-4EA7-A356-57A1436E718E}"/>
            </c:ext>
          </c:extLst>
        </c:ser>
        <c:ser>
          <c:idx val="5"/>
          <c:order val="5"/>
          <c:tx>
            <c:strRef>
              <c:f>DASHBOARD!$B$19</c:f>
              <c:strCache>
                <c:ptCount val="1"/>
                <c:pt idx="0">
                  <c:v>EJECTOR PLATE</c:v>
                </c:pt>
              </c:strCache>
            </c:strRef>
          </c:tx>
          <c:spPr>
            <a:solidFill>
              <a:schemeClr val="accent6"/>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DASHBOARD!$I$19</c:f>
              <c:numCache>
                <c:formatCode>0%</c:formatCode>
                <c:ptCount val="1"/>
                <c:pt idx="0">
                  <c:v>2.097686984391613E-2</c:v>
                </c:pt>
              </c:numCache>
            </c:numRef>
          </c:val>
          <c:extLst>
            <c:ext xmlns:c16="http://schemas.microsoft.com/office/drawing/2014/chart" uri="{C3380CC4-5D6E-409C-BE32-E72D297353CC}">
              <c16:uniqueId val="{00000005-2B3A-4EA7-A356-57A1436E718E}"/>
            </c:ext>
          </c:extLst>
        </c:ser>
        <c:ser>
          <c:idx val="6"/>
          <c:order val="6"/>
          <c:tx>
            <c:strRef>
              <c:f>DASHBOARD!$B$20</c:f>
              <c:strCache>
                <c:ptCount val="1"/>
                <c:pt idx="0">
                  <c:v>OTHER PARTS</c:v>
                </c:pt>
              </c:strCache>
            </c:strRef>
          </c:tx>
          <c:spPr>
            <a:solidFill>
              <a:schemeClr val="accent1">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DASHBOARD!$I$20</c:f>
              <c:numCache>
                <c:formatCode>0%</c:formatCode>
                <c:ptCount val="1"/>
                <c:pt idx="0">
                  <c:v>1.4226396098861714E-2</c:v>
                </c:pt>
              </c:numCache>
            </c:numRef>
          </c:val>
          <c:extLst>
            <c:ext xmlns:c16="http://schemas.microsoft.com/office/drawing/2014/chart" uri="{C3380CC4-5D6E-409C-BE32-E72D297353CC}">
              <c16:uniqueId val="{00000006-2B3A-4EA7-A356-57A1436E718E}"/>
            </c:ext>
          </c:extLst>
        </c:ser>
        <c:ser>
          <c:idx val="7"/>
          <c:order val="7"/>
          <c:tx>
            <c:strRef>
              <c:f>DASHBOARD!$B$21</c:f>
              <c:strCache>
                <c:ptCount val="1"/>
                <c:pt idx="0">
                  <c:v>STANDARD ITEMS</c:v>
                </c:pt>
              </c:strCache>
            </c:strRef>
          </c:tx>
          <c:spPr>
            <a:solidFill>
              <a:schemeClr val="accent2">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DASHBOARD!$I$21</c:f>
              <c:numCache>
                <c:formatCode>0%</c:formatCode>
                <c:ptCount val="1"/>
                <c:pt idx="0">
                  <c:v>3.5030933961668211E-2</c:v>
                </c:pt>
              </c:numCache>
            </c:numRef>
          </c:val>
          <c:extLst>
            <c:ext xmlns:c16="http://schemas.microsoft.com/office/drawing/2014/chart" uri="{C3380CC4-5D6E-409C-BE32-E72D297353CC}">
              <c16:uniqueId val="{00000007-2B3A-4EA7-A356-57A1436E718E}"/>
            </c:ext>
          </c:extLst>
        </c:ser>
        <c:ser>
          <c:idx val="8"/>
          <c:order val="8"/>
          <c:tx>
            <c:strRef>
              <c:f>DASHBOARD!$B$22</c:f>
              <c:strCache>
                <c:ptCount val="1"/>
                <c:pt idx="0">
                  <c:v>TEXTURING</c:v>
                </c:pt>
              </c:strCache>
            </c:strRef>
          </c:tx>
          <c:spPr>
            <a:solidFill>
              <a:schemeClr val="accent3">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DASHBOARD!$I$22</c:f>
              <c:numCache>
                <c:formatCode>0%</c:formatCode>
                <c:ptCount val="1"/>
                <c:pt idx="0">
                  <c:v>0</c:v>
                </c:pt>
              </c:numCache>
            </c:numRef>
          </c:val>
          <c:extLst>
            <c:ext xmlns:c16="http://schemas.microsoft.com/office/drawing/2014/chart" uri="{C3380CC4-5D6E-409C-BE32-E72D297353CC}">
              <c16:uniqueId val="{00000008-2B3A-4EA7-A356-57A1436E718E}"/>
            </c:ext>
          </c:extLst>
        </c:ser>
        <c:ser>
          <c:idx val="9"/>
          <c:order val="9"/>
          <c:tx>
            <c:strRef>
              <c:f>DASHBOARD!$B$23</c:f>
              <c:strCache>
                <c:ptCount val="1"/>
                <c:pt idx="0">
                  <c:v>CLAMPING PLATE</c:v>
                </c:pt>
              </c:strCache>
            </c:strRef>
          </c:tx>
          <c:spPr>
            <a:solidFill>
              <a:schemeClr val="accent4">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DASHBOARD!$I$23</c:f>
              <c:numCache>
                <c:formatCode>0%</c:formatCode>
                <c:ptCount val="1"/>
                <c:pt idx="0">
                  <c:v>5.2078473557973293E-2</c:v>
                </c:pt>
              </c:numCache>
            </c:numRef>
          </c:val>
          <c:extLst>
            <c:ext xmlns:c16="http://schemas.microsoft.com/office/drawing/2014/chart" uri="{C3380CC4-5D6E-409C-BE32-E72D297353CC}">
              <c16:uniqueId val="{00000009-2B3A-4EA7-A356-57A1436E718E}"/>
            </c:ext>
          </c:extLst>
        </c:ser>
        <c:ser>
          <c:idx val="10"/>
          <c:order val="10"/>
          <c:tx>
            <c:strRef>
              <c:f>DASHBOARD!$B$24</c:f>
              <c:strCache>
                <c:ptCount val="1"/>
                <c:pt idx="0">
                  <c:v>HRS</c:v>
                </c:pt>
              </c:strCache>
            </c:strRef>
          </c:tx>
          <c:spPr>
            <a:solidFill>
              <a:schemeClr val="accent5">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DASHBOARD!$I$24</c:f>
              <c:numCache>
                <c:formatCode>0%</c:formatCode>
                <c:ptCount val="1"/>
                <c:pt idx="0">
                  <c:v>0.2783915281721977</c:v>
                </c:pt>
              </c:numCache>
            </c:numRef>
          </c:val>
          <c:extLst>
            <c:ext xmlns:c16="http://schemas.microsoft.com/office/drawing/2014/chart" uri="{C3380CC4-5D6E-409C-BE32-E72D297353CC}">
              <c16:uniqueId val="{0000000A-2B3A-4EA7-A356-57A1436E718E}"/>
            </c:ext>
          </c:extLst>
        </c:ser>
        <c:ser>
          <c:idx val="11"/>
          <c:order val="11"/>
          <c:tx>
            <c:strRef>
              <c:f>DASHBOARD!$B$25</c:f>
              <c:strCache>
                <c:ptCount val="1"/>
                <c:pt idx="0">
                  <c:v>HARDENING + POLISHING</c:v>
                </c:pt>
              </c:strCache>
            </c:strRef>
          </c:tx>
          <c:spPr>
            <a:solidFill>
              <a:schemeClr val="accent6">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DASHBOARD!$I$25</c:f>
              <c:numCache>
                <c:formatCode>0%</c:formatCode>
                <c:ptCount val="1"/>
                <c:pt idx="0">
                  <c:v>0</c:v>
                </c:pt>
              </c:numCache>
            </c:numRef>
          </c:val>
          <c:extLst>
            <c:ext xmlns:c16="http://schemas.microsoft.com/office/drawing/2014/chart" uri="{C3380CC4-5D6E-409C-BE32-E72D297353CC}">
              <c16:uniqueId val="{0000000B-2B3A-4EA7-A356-57A1436E718E}"/>
            </c:ext>
          </c:extLst>
        </c:ser>
        <c:dLbls>
          <c:dLblPos val="outEnd"/>
          <c:showLegendKey val="0"/>
          <c:showVal val="1"/>
          <c:showCatName val="0"/>
          <c:showSerName val="0"/>
          <c:showPercent val="0"/>
          <c:showBubbleSize val="0"/>
        </c:dLbls>
        <c:gapWidth val="444"/>
        <c:overlap val="-90"/>
        <c:axId val="872408624"/>
        <c:axId val="872414032"/>
      </c:barChart>
      <c:catAx>
        <c:axId val="87240862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endParaRPr lang="en-US"/>
          </a:p>
        </c:txPr>
        <c:crossAx val="872414032"/>
        <c:crosses val="autoZero"/>
        <c:auto val="1"/>
        <c:lblAlgn val="ctr"/>
        <c:lblOffset val="100"/>
        <c:noMultiLvlLbl val="0"/>
      </c:catAx>
      <c:valAx>
        <c:axId val="872414032"/>
        <c:scaling>
          <c:orientation val="minMax"/>
        </c:scaling>
        <c:delete val="1"/>
        <c:axPos val="l"/>
        <c:numFmt formatCode="0%" sourceLinked="1"/>
        <c:majorTickMark val="none"/>
        <c:minorTickMark val="none"/>
        <c:tickLblPos val="nextTo"/>
        <c:crossAx val="87240862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COST</a:t>
            </a:r>
            <a:endParaRPr lang="en-IN"/>
          </a:p>
        </c:rich>
      </c:tx>
      <c:overlay val="0"/>
      <c:spPr>
        <a:noFill/>
        <a:ln>
          <a:noFill/>
          <a:prstDash val="solid"/>
        </a:ln>
      </c:spPr>
    </c:title>
    <c:autoTitleDeleted val="0"/>
    <c:plotArea>
      <c:layout/>
      <c:barChart>
        <c:barDir val="col"/>
        <c:grouping val="clustered"/>
        <c:varyColors val="0"/>
        <c:ser>
          <c:idx val="0"/>
          <c:order val="0"/>
          <c:tx>
            <c:strRef>
              <c:f>DASHBOARD!$B$34</c:f>
              <c:strCache>
                <c:ptCount val="1"/>
                <c:pt idx="0">
                  <c:v>Conv Milling - Facing</c:v>
                </c:pt>
              </c:strCache>
            </c:strRef>
          </c:tx>
          <c:spPr>
            <a:solidFill>
              <a:schemeClr val="accent1"/>
            </a:solidFill>
            <a:ln w="19050">
              <a:solidFill>
                <a:schemeClr val="lt1"/>
              </a:solidFill>
              <a:prstDash val="solid"/>
            </a:ln>
          </c:spPr>
          <c:invertIfNegative val="0"/>
          <c:dPt>
            <c:idx val="0"/>
            <c:invertIfNegative val="0"/>
            <c:bubble3D val="0"/>
            <c:spPr>
              <a:ln>
                <a:prstDash val="solid"/>
              </a:ln>
            </c:spPr>
            <c:extLst>
              <c:ext xmlns:c16="http://schemas.microsoft.com/office/drawing/2014/chart" uri="{C3380CC4-5D6E-409C-BE32-E72D297353CC}">
                <c16:uniqueId val="{00000001-A7FD-4815-8C7E-896A09EB08A5}"/>
              </c:ext>
            </c:extLst>
          </c:dPt>
          <c:dPt>
            <c:idx val="1"/>
            <c:invertIfNegative val="0"/>
            <c:bubble3D val="0"/>
            <c:spPr>
              <a:ln>
                <a:prstDash val="solid"/>
              </a:ln>
            </c:spPr>
            <c:extLst>
              <c:ext xmlns:c16="http://schemas.microsoft.com/office/drawing/2014/chart" uri="{C3380CC4-5D6E-409C-BE32-E72D297353CC}">
                <c16:uniqueId val="{00000003-A7FD-4815-8C7E-896A09EB08A5}"/>
              </c:ext>
            </c:extLst>
          </c:dPt>
          <c:dPt>
            <c:idx val="2"/>
            <c:invertIfNegative val="0"/>
            <c:bubble3D val="0"/>
            <c:spPr>
              <a:ln>
                <a:prstDash val="solid"/>
              </a:ln>
            </c:spPr>
            <c:extLst>
              <c:ext xmlns:c16="http://schemas.microsoft.com/office/drawing/2014/chart" uri="{C3380CC4-5D6E-409C-BE32-E72D297353CC}">
                <c16:uniqueId val="{00000005-A7FD-4815-8C7E-896A09EB08A5}"/>
              </c:ext>
            </c:extLst>
          </c:dPt>
          <c:dPt>
            <c:idx val="3"/>
            <c:invertIfNegative val="0"/>
            <c:bubble3D val="0"/>
            <c:spPr>
              <a:ln>
                <a:prstDash val="solid"/>
              </a:ln>
            </c:spPr>
            <c:extLst>
              <c:ext xmlns:c16="http://schemas.microsoft.com/office/drawing/2014/chart" uri="{C3380CC4-5D6E-409C-BE32-E72D297353CC}">
                <c16:uniqueId val="{00000007-A7FD-4815-8C7E-896A09EB08A5}"/>
              </c:ext>
            </c:extLst>
          </c:dPt>
          <c:dPt>
            <c:idx val="4"/>
            <c:invertIfNegative val="0"/>
            <c:bubble3D val="0"/>
            <c:spPr>
              <a:ln>
                <a:prstDash val="solid"/>
              </a:ln>
            </c:spPr>
            <c:extLst>
              <c:ext xmlns:c16="http://schemas.microsoft.com/office/drawing/2014/chart" uri="{C3380CC4-5D6E-409C-BE32-E72D297353CC}">
                <c16:uniqueId val="{00000009-A7FD-4815-8C7E-896A09EB08A5}"/>
              </c:ext>
            </c:extLst>
          </c:dPt>
          <c:dPt>
            <c:idx val="5"/>
            <c:invertIfNegative val="0"/>
            <c:bubble3D val="0"/>
            <c:spPr>
              <a:ln>
                <a:prstDash val="solid"/>
              </a:ln>
            </c:spPr>
            <c:extLst>
              <c:ext xmlns:c16="http://schemas.microsoft.com/office/drawing/2014/chart" uri="{C3380CC4-5D6E-409C-BE32-E72D297353CC}">
                <c16:uniqueId val="{0000000B-A7FD-4815-8C7E-896A09EB08A5}"/>
              </c:ext>
            </c:extLst>
          </c:dPt>
          <c:dPt>
            <c:idx val="6"/>
            <c:invertIfNegative val="0"/>
            <c:bubble3D val="0"/>
            <c:spPr>
              <a:ln>
                <a:prstDash val="solid"/>
              </a:ln>
            </c:spPr>
            <c:extLst>
              <c:ext xmlns:c16="http://schemas.microsoft.com/office/drawing/2014/chart" uri="{C3380CC4-5D6E-409C-BE32-E72D297353CC}">
                <c16:uniqueId val="{0000000D-A7FD-4815-8C7E-896A09EB08A5}"/>
              </c:ext>
            </c:extLst>
          </c:dPt>
          <c:dPt>
            <c:idx val="7"/>
            <c:invertIfNegative val="0"/>
            <c:bubble3D val="0"/>
            <c:spPr>
              <a:ln>
                <a:prstDash val="solid"/>
              </a:ln>
            </c:spPr>
            <c:extLst>
              <c:ext xmlns:c16="http://schemas.microsoft.com/office/drawing/2014/chart" uri="{C3380CC4-5D6E-409C-BE32-E72D297353CC}">
                <c16:uniqueId val="{0000000F-A7FD-4815-8C7E-896A09EB08A5}"/>
              </c:ext>
            </c:extLst>
          </c:dPt>
          <c:dPt>
            <c:idx val="8"/>
            <c:invertIfNegative val="0"/>
            <c:bubble3D val="0"/>
            <c:spPr>
              <a:ln>
                <a:prstDash val="solid"/>
              </a:ln>
            </c:spPr>
            <c:extLst>
              <c:ext xmlns:c16="http://schemas.microsoft.com/office/drawing/2014/chart" uri="{C3380CC4-5D6E-409C-BE32-E72D297353CC}">
                <c16:uniqueId val="{00000011-A7FD-4815-8C7E-896A09EB08A5}"/>
              </c:ext>
            </c:extLst>
          </c:dPt>
          <c:dPt>
            <c:idx val="9"/>
            <c:invertIfNegative val="0"/>
            <c:bubble3D val="0"/>
            <c:spPr>
              <a:ln>
                <a:prstDash val="solid"/>
              </a:ln>
            </c:spPr>
            <c:extLst>
              <c:ext xmlns:c16="http://schemas.microsoft.com/office/drawing/2014/chart" uri="{C3380CC4-5D6E-409C-BE32-E72D297353CC}">
                <c16:uniqueId val="{00000013-A7FD-4815-8C7E-896A09EB08A5}"/>
              </c:ext>
            </c:extLst>
          </c:dPt>
          <c:dPt>
            <c:idx val="10"/>
            <c:invertIfNegative val="0"/>
            <c:bubble3D val="0"/>
            <c:spPr>
              <a:ln>
                <a:prstDash val="solid"/>
              </a:ln>
            </c:spPr>
            <c:extLst>
              <c:ext xmlns:c16="http://schemas.microsoft.com/office/drawing/2014/chart" uri="{C3380CC4-5D6E-409C-BE32-E72D297353CC}">
                <c16:uniqueId val="{00000015-A7FD-4815-8C7E-896A09EB08A5}"/>
              </c:ext>
            </c:extLst>
          </c:dPt>
          <c:dPt>
            <c:idx val="11"/>
            <c:invertIfNegative val="0"/>
            <c:bubble3D val="0"/>
            <c:spPr>
              <a:ln>
                <a:prstDash val="solid"/>
              </a:ln>
            </c:spPr>
            <c:extLst>
              <c:ext xmlns:c16="http://schemas.microsoft.com/office/drawing/2014/chart" uri="{C3380CC4-5D6E-409C-BE32-E72D297353CC}">
                <c16:uniqueId val="{00000017-A7FD-4815-8C7E-896A09EB08A5}"/>
              </c:ext>
            </c:extLst>
          </c:dPt>
          <c:dPt>
            <c:idx val="12"/>
            <c:invertIfNegative val="0"/>
            <c:bubble3D val="0"/>
            <c:spPr>
              <a:ln>
                <a:prstDash val="solid"/>
              </a:ln>
            </c:spPr>
            <c:extLst>
              <c:ext xmlns:c16="http://schemas.microsoft.com/office/drawing/2014/chart" uri="{C3380CC4-5D6E-409C-BE32-E72D297353CC}">
                <c16:uniqueId val="{00000019-A7FD-4815-8C7E-896A09EB08A5}"/>
              </c:ext>
            </c:extLst>
          </c:dPt>
          <c:dPt>
            <c:idx val="13"/>
            <c:invertIfNegative val="0"/>
            <c:bubble3D val="0"/>
            <c:spPr>
              <a:ln>
                <a:prstDash val="solid"/>
              </a:ln>
            </c:spPr>
            <c:extLst>
              <c:ext xmlns:c16="http://schemas.microsoft.com/office/drawing/2014/chart" uri="{C3380CC4-5D6E-409C-BE32-E72D297353CC}">
                <c16:uniqueId val="{0000001B-A7FD-4815-8C7E-896A09EB08A5}"/>
              </c:ext>
            </c:extLst>
          </c:dPt>
          <c:dPt>
            <c:idx val="14"/>
            <c:invertIfNegative val="0"/>
            <c:bubble3D val="0"/>
            <c:spPr>
              <a:ln>
                <a:prstDash val="solid"/>
              </a:ln>
            </c:spPr>
            <c:extLst>
              <c:ext xmlns:c16="http://schemas.microsoft.com/office/drawing/2014/chart" uri="{C3380CC4-5D6E-409C-BE32-E72D297353CC}">
                <c16:uniqueId val="{0000001D-A7FD-4815-8C7E-896A09EB08A5}"/>
              </c:ext>
            </c:extLst>
          </c:dPt>
          <c:dPt>
            <c:idx val="15"/>
            <c:invertIfNegative val="0"/>
            <c:bubble3D val="0"/>
            <c:spPr>
              <a:ln>
                <a:prstDash val="solid"/>
              </a:ln>
            </c:spPr>
            <c:extLst>
              <c:ext xmlns:c16="http://schemas.microsoft.com/office/drawing/2014/chart" uri="{C3380CC4-5D6E-409C-BE32-E72D297353CC}">
                <c16:uniqueId val="{0000001F-A7FD-4815-8C7E-896A09EB08A5}"/>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DASHBOARD!$I$34</c:f>
              <c:numCache>
                <c:formatCode>0%</c:formatCode>
                <c:ptCount val="1"/>
                <c:pt idx="0">
                  <c:v>0.21927030113602211</c:v>
                </c:pt>
              </c:numCache>
            </c:numRef>
          </c:val>
          <c:extLst>
            <c:ext xmlns:c16="http://schemas.microsoft.com/office/drawing/2014/chart" uri="{C3380CC4-5D6E-409C-BE32-E72D297353CC}">
              <c16:uniqueId val="{00000020-A7FD-4815-8C7E-896A09EB08A5}"/>
            </c:ext>
          </c:extLst>
        </c:ser>
        <c:ser>
          <c:idx val="1"/>
          <c:order val="1"/>
          <c:tx>
            <c:strRef>
              <c:f>DASHBOARD!$B$35</c:f>
              <c:strCache>
                <c:ptCount val="1"/>
                <c:pt idx="0">
                  <c:v>Conv Milling - End Milling</c:v>
                </c:pt>
              </c:strCache>
            </c:strRef>
          </c:tx>
          <c:spPr>
            <a:solidFill>
              <a:schemeClr val="accent2"/>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DASHBOARD!$I$35</c:f>
              <c:numCache>
                <c:formatCode>0.0%</c:formatCode>
                <c:ptCount val="1"/>
                <c:pt idx="0">
                  <c:v>7.6936947767025305E-3</c:v>
                </c:pt>
              </c:numCache>
            </c:numRef>
          </c:val>
          <c:extLst>
            <c:ext xmlns:c16="http://schemas.microsoft.com/office/drawing/2014/chart" uri="{C3380CC4-5D6E-409C-BE32-E72D297353CC}">
              <c16:uniqueId val="{00000021-A7FD-4815-8C7E-896A09EB08A5}"/>
            </c:ext>
          </c:extLst>
        </c:ser>
        <c:ser>
          <c:idx val="2"/>
          <c:order val="2"/>
          <c:tx>
            <c:strRef>
              <c:f>DASHBOARD!$B$36</c:f>
              <c:strCache>
                <c:ptCount val="1"/>
                <c:pt idx="0">
                  <c:v>Conv Lathe - Facing / Turning</c:v>
                </c:pt>
              </c:strCache>
            </c:strRef>
          </c:tx>
          <c:spPr>
            <a:solidFill>
              <a:schemeClr val="accent3"/>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DASHBOARD!$I$36</c:f>
              <c:numCache>
                <c:formatCode>0.0%</c:formatCode>
                <c:ptCount val="1"/>
                <c:pt idx="0">
                  <c:v>0</c:v>
                </c:pt>
              </c:numCache>
            </c:numRef>
          </c:val>
          <c:extLst>
            <c:ext xmlns:c16="http://schemas.microsoft.com/office/drawing/2014/chart" uri="{C3380CC4-5D6E-409C-BE32-E72D297353CC}">
              <c16:uniqueId val="{00000022-A7FD-4815-8C7E-896A09EB08A5}"/>
            </c:ext>
          </c:extLst>
        </c:ser>
        <c:ser>
          <c:idx val="3"/>
          <c:order val="3"/>
          <c:tx>
            <c:strRef>
              <c:f>DASHBOARD!$B$37</c:f>
              <c:strCache>
                <c:ptCount val="1"/>
                <c:pt idx="0">
                  <c:v>Surface Grinding</c:v>
                </c:pt>
              </c:strCache>
            </c:strRef>
          </c:tx>
          <c:spPr>
            <a:solidFill>
              <a:schemeClr val="accent4"/>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DASHBOARD!$I$37</c:f>
              <c:numCache>
                <c:formatCode>0%</c:formatCode>
                <c:ptCount val="1"/>
                <c:pt idx="0">
                  <c:v>0.28009857546432648</c:v>
                </c:pt>
              </c:numCache>
            </c:numRef>
          </c:val>
          <c:extLst>
            <c:ext xmlns:c16="http://schemas.microsoft.com/office/drawing/2014/chart" uri="{C3380CC4-5D6E-409C-BE32-E72D297353CC}">
              <c16:uniqueId val="{00000023-A7FD-4815-8C7E-896A09EB08A5}"/>
            </c:ext>
          </c:extLst>
        </c:ser>
        <c:ser>
          <c:idx val="4"/>
          <c:order val="4"/>
          <c:tx>
            <c:strRef>
              <c:f>DASHBOARD!$B$38</c:f>
              <c:strCache>
                <c:ptCount val="1"/>
                <c:pt idx="0">
                  <c:v>Cylindrical Grinding</c:v>
                </c:pt>
              </c:strCache>
            </c:strRef>
          </c:tx>
          <c:spPr>
            <a:solidFill>
              <a:schemeClr val="accent5"/>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DASHBOARD!$I$38</c:f>
              <c:numCache>
                <c:formatCode>0.00%</c:formatCode>
                <c:ptCount val="1"/>
                <c:pt idx="0">
                  <c:v>0</c:v>
                </c:pt>
              </c:numCache>
            </c:numRef>
          </c:val>
          <c:extLst>
            <c:ext xmlns:c16="http://schemas.microsoft.com/office/drawing/2014/chart" uri="{C3380CC4-5D6E-409C-BE32-E72D297353CC}">
              <c16:uniqueId val="{00000024-A7FD-4815-8C7E-896A09EB08A5}"/>
            </c:ext>
          </c:extLst>
        </c:ser>
        <c:ser>
          <c:idx val="5"/>
          <c:order val="5"/>
          <c:tx>
            <c:strRef>
              <c:f>DASHBOARD!$B$39</c:f>
              <c:strCache>
                <c:ptCount val="1"/>
                <c:pt idx="0">
                  <c:v>Radial Drilling - Hole drilling</c:v>
                </c:pt>
              </c:strCache>
            </c:strRef>
          </c:tx>
          <c:spPr>
            <a:solidFill>
              <a:schemeClr val="accent6"/>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DASHBOARD!$I$39</c:f>
              <c:numCache>
                <c:formatCode>0%</c:formatCode>
                <c:ptCount val="1"/>
                <c:pt idx="0">
                  <c:v>4.2074893310091961E-2</c:v>
                </c:pt>
              </c:numCache>
            </c:numRef>
          </c:val>
          <c:extLst>
            <c:ext xmlns:c16="http://schemas.microsoft.com/office/drawing/2014/chart" uri="{C3380CC4-5D6E-409C-BE32-E72D297353CC}">
              <c16:uniqueId val="{00000025-A7FD-4815-8C7E-896A09EB08A5}"/>
            </c:ext>
          </c:extLst>
        </c:ser>
        <c:ser>
          <c:idx val="6"/>
          <c:order val="6"/>
          <c:tx>
            <c:strRef>
              <c:f>DASHBOARD!$B$40</c:f>
              <c:strCache>
                <c:ptCount val="1"/>
                <c:pt idx="0">
                  <c:v>Radial Drilling - Reaming / Tapping</c:v>
                </c:pt>
              </c:strCache>
            </c:strRef>
          </c:tx>
          <c:spPr>
            <a:solidFill>
              <a:schemeClr val="accent1">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DASHBOARD!$I$40</c:f>
              <c:numCache>
                <c:formatCode>0.0%</c:formatCode>
                <c:ptCount val="1"/>
                <c:pt idx="0">
                  <c:v>1.4425677706317244E-2</c:v>
                </c:pt>
              </c:numCache>
            </c:numRef>
          </c:val>
          <c:extLst>
            <c:ext xmlns:c16="http://schemas.microsoft.com/office/drawing/2014/chart" uri="{C3380CC4-5D6E-409C-BE32-E72D297353CC}">
              <c16:uniqueId val="{00000026-A7FD-4815-8C7E-896A09EB08A5}"/>
            </c:ext>
          </c:extLst>
        </c:ser>
        <c:ser>
          <c:idx val="7"/>
          <c:order val="7"/>
          <c:tx>
            <c:strRef>
              <c:f>DASHBOARD!$B$41</c:f>
              <c:strCache>
                <c:ptCount val="1"/>
                <c:pt idx="0">
                  <c:v>Pillar Drilling</c:v>
                </c:pt>
              </c:strCache>
            </c:strRef>
          </c:tx>
          <c:spPr>
            <a:solidFill>
              <a:schemeClr val="accent2">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DASHBOARD!$I$41</c:f>
              <c:numCache>
                <c:formatCode>0.00%</c:formatCode>
                <c:ptCount val="1"/>
                <c:pt idx="0">
                  <c:v>0</c:v>
                </c:pt>
              </c:numCache>
            </c:numRef>
          </c:val>
          <c:extLst>
            <c:ext xmlns:c16="http://schemas.microsoft.com/office/drawing/2014/chart" uri="{C3380CC4-5D6E-409C-BE32-E72D297353CC}">
              <c16:uniqueId val="{00000027-A7FD-4815-8C7E-896A09EB08A5}"/>
            </c:ext>
          </c:extLst>
        </c:ser>
        <c:ser>
          <c:idx val="8"/>
          <c:order val="8"/>
          <c:tx>
            <c:strRef>
              <c:f>DASHBOARD!$B$42</c:f>
              <c:strCache>
                <c:ptCount val="1"/>
                <c:pt idx="0">
                  <c:v>Gun Drilling</c:v>
                </c:pt>
              </c:strCache>
            </c:strRef>
          </c:tx>
          <c:spPr>
            <a:solidFill>
              <a:schemeClr val="accent3">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DASHBOARD!$I$42</c:f>
              <c:numCache>
                <c:formatCode>0.000%</c:formatCode>
                <c:ptCount val="1"/>
                <c:pt idx="0">
                  <c:v>4.8085592354390819E-3</c:v>
                </c:pt>
              </c:numCache>
            </c:numRef>
          </c:val>
          <c:extLst>
            <c:ext xmlns:c16="http://schemas.microsoft.com/office/drawing/2014/chart" uri="{C3380CC4-5D6E-409C-BE32-E72D297353CC}">
              <c16:uniqueId val="{00000028-A7FD-4815-8C7E-896A09EB08A5}"/>
            </c:ext>
          </c:extLst>
        </c:ser>
        <c:ser>
          <c:idx val="9"/>
          <c:order val="9"/>
          <c:tx>
            <c:strRef>
              <c:f>DASHBOARD!$B$43</c:f>
              <c:strCache>
                <c:ptCount val="1"/>
                <c:pt idx="0">
                  <c:v>NC EDM</c:v>
                </c:pt>
              </c:strCache>
            </c:strRef>
          </c:tx>
          <c:spPr>
            <a:solidFill>
              <a:schemeClr val="accent4">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DASHBOARD!$I$43</c:f>
              <c:numCache>
                <c:formatCode>0.00%</c:formatCode>
                <c:ptCount val="1"/>
                <c:pt idx="0">
                  <c:v>0</c:v>
                </c:pt>
              </c:numCache>
            </c:numRef>
          </c:val>
          <c:extLst>
            <c:ext xmlns:c16="http://schemas.microsoft.com/office/drawing/2014/chart" uri="{C3380CC4-5D6E-409C-BE32-E72D297353CC}">
              <c16:uniqueId val="{00000029-A7FD-4815-8C7E-896A09EB08A5}"/>
            </c:ext>
          </c:extLst>
        </c:ser>
        <c:ser>
          <c:idx val="10"/>
          <c:order val="10"/>
          <c:tx>
            <c:strRef>
              <c:f>DASHBOARD!$B$44</c:f>
              <c:strCache>
                <c:ptCount val="1"/>
                <c:pt idx="0">
                  <c:v>Wirecut EDM</c:v>
                </c:pt>
              </c:strCache>
            </c:strRef>
          </c:tx>
          <c:spPr>
            <a:solidFill>
              <a:schemeClr val="accent5">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DASHBOARD!$I$44</c:f>
              <c:numCache>
                <c:formatCode>0.00%</c:formatCode>
                <c:ptCount val="1"/>
                <c:pt idx="0">
                  <c:v>0</c:v>
                </c:pt>
              </c:numCache>
            </c:numRef>
          </c:val>
          <c:extLst>
            <c:ext xmlns:c16="http://schemas.microsoft.com/office/drawing/2014/chart" uri="{C3380CC4-5D6E-409C-BE32-E72D297353CC}">
              <c16:uniqueId val="{0000002A-A7FD-4815-8C7E-896A09EB08A5}"/>
            </c:ext>
          </c:extLst>
        </c:ser>
        <c:ser>
          <c:idx val="11"/>
          <c:order val="11"/>
          <c:tx>
            <c:strRef>
              <c:f>DASHBOARD!$B$45</c:f>
              <c:strCache>
                <c:ptCount val="1"/>
                <c:pt idx="0">
                  <c:v>Jig Boring</c:v>
                </c:pt>
              </c:strCache>
            </c:strRef>
          </c:tx>
          <c:spPr>
            <a:solidFill>
              <a:schemeClr val="accent6">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DASHBOARD!$I$45</c:f>
              <c:numCache>
                <c:formatCode>0.00%</c:formatCode>
                <c:ptCount val="1"/>
                <c:pt idx="0">
                  <c:v>0</c:v>
                </c:pt>
              </c:numCache>
            </c:numRef>
          </c:val>
          <c:extLst>
            <c:ext xmlns:c16="http://schemas.microsoft.com/office/drawing/2014/chart" uri="{C3380CC4-5D6E-409C-BE32-E72D297353CC}">
              <c16:uniqueId val="{0000002B-A7FD-4815-8C7E-896A09EB08A5}"/>
            </c:ext>
          </c:extLst>
        </c:ser>
        <c:ser>
          <c:idx val="12"/>
          <c:order val="12"/>
          <c:tx>
            <c:strRef>
              <c:f>DASHBOARD!$B$46</c:f>
              <c:strCache>
                <c:ptCount val="1"/>
                <c:pt idx="0">
                  <c:v>CNC Lathe</c:v>
                </c:pt>
              </c:strCache>
            </c:strRef>
          </c:tx>
          <c:spPr>
            <a:solidFill>
              <a:schemeClr val="accent1">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DASHBOARD!$I$46</c:f>
              <c:numCache>
                <c:formatCode>0%</c:formatCode>
                <c:ptCount val="1"/>
                <c:pt idx="0">
                  <c:v>0.17887840355833384</c:v>
                </c:pt>
              </c:numCache>
            </c:numRef>
          </c:val>
          <c:extLst>
            <c:ext xmlns:c16="http://schemas.microsoft.com/office/drawing/2014/chart" uri="{C3380CC4-5D6E-409C-BE32-E72D297353CC}">
              <c16:uniqueId val="{0000002C-A7FD-4815-8C7E-896A09EB08A5}"/>
            </c:ext>
          </c:extLst>
        </c:ser>
        <c:ser>
          <c:idx val="13"/>
          <c:order val="13"/>
          <c:tx>
            <c:strRef>
              <c:f>DASHBOARD!$B$47</c:f>
              <c:strCache>
                <c:ptCount val="1"/>
                <c:pt idx="0">
                  <c:v>CNC Milling</c:v>
                </c:pt>
              </c:strCache>
            </c:strRef>
          </c:tx>
          <c:spPr>
            <a:solidFill>
              <a:schemeClr val="accent2">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DASHBOARD!$I$47</c:f>
              <c:numCache>
                <c:formatCode>0%</c:formatCode>
                <c:ptCount val="1"/>
                <c:pt idx="0">
                  <c:v>0.22504057221854901</c:v>
                </c:pt>
              </c:numCache>
            </c:numRef>
          </c:val>
          <c:extLst>
            <c:ext xmlns:c16="http://schemas.microsoft.com/office/drawing/2014/chart" uri="{C3380CC4-5D6E-409C-BE32-E72D297353CC}">
              <c16:uniqueId val="{0000002D-A7FD-4815-8C7E-896A09EB08A5}"/>
            </c:ext>
          </c:extLst>
        </c:ser>
        <c:ser>
          <c:idx val="14"/>
          <c:order val="14"/>
          <c:tx>
            <c:strRef>
              <c:f>DASHBOARD!$B$48</c:f>
              <c:strCache>
                <c:ptCount val="1"/>
                <c:pt idx="0">
                  <c:v>CNC EDM</c:v>
                </c:pt>
              </c:strCache>
            </c:strRef>
          </c:tx>
          <c:spPr>
            <a:solidFill>
              <a:schemeClr val="accent3">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DASHBOARD!$I$48</c:f>
              <c:numCache>
                <c:formatCode>0%</c:formatCode>
                <c:ptCount val="1"/>
                <c:pt idx="0">
                  <c:v>2.3081084330107592E-2</c:v>
                </c:pt>
              </c:numCache>
            </c:numRef>
          </c:val>
          <c:extLst>
            <c:ext xmlns:c16="http://schemas.microsoft.com/office/drawing/2014/chart" uri="{C3380CC4-5D6E-409C-BE32-E72D297353CC}">
              <c16:uniqueId val="{0000002E-A7FD-4815-8C7E-896A09EB08A5}"/>
            </c:ext>
          </c:extLst>
        </c:ser>
        <c:ser>
          <c:idx val="15"/>
          <c:order val="15"/>
          <c:tx>
            <c:strRef>
              <c:f>DASHBOARD!$B$49</c:f>
              <c:strCache>
                <c:ptCount val="1"/>
                <c:pt idx="0">
                  <c:v>Bench Work</c:v>
                </c:pt>
              </c:strCache>
            </c:strRef>
          </c:tx>
          <c:spPr>
            <a:solidFill>
              <a:schemeClr val="accent4">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DASHBOARD!$I$49</c:f>
              <c:numCache>
                <c:formatCode>0.00%</c:formatCode>
                <c:ptCount val="1"/>
                <c:pt idx="0">
                  <c:v>4.6282382641101164E-3</c:v>
                </c:pt>
              </c:numCache>
            </c:numRef>
          </c:val>
          <c:extLst>
            <c:ext xmlns:c16="http://schemas.microsoft.com/office/drawing/2014/chart" uri="{C3380CC4-5D6E-409C-BE32-E72D297353CC}">
              <c16:uniqueId val="{0000002F-A7FD-4815-8C7E-896A09EB08A5}"/>
            </c:ext>
          </c:extLst>
        </c:ser>
        <c:dLbls>
          <c:dLblPos val="inEnd"/>
          <c:showLegendKey val="0"/>
          <c:showVal val="1"/>
          <c:showCatName val="0"/>
          <c:showSerName val="0"/>
          <c:showPercent val="0"/>
          <c:showBubbleSize val="0"/>
        </c:dLbls>
        <c:gapWidth val="100"/>
        <c:axId val="872407792"/>
        <c:axId val="872412784"/>
      </c:barChart>
      <c:catAx>
        <c:axId val="872407792"/>
        <c:scaling>
          <c:orientation val="minMax"/>
        </c:scaling>
        <c:delete val="0"/>
        <c:axPos val="b"/>
        <c:majorTickMark val="out"/>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72412784"/>
        <c:crosses val="autoZero"/>
        <c:auto val="1"/>
        <c:lblAlgn val="ctr"/>
        <c:lblOffset val="100"/>
        <c:noMultiLvlLbl val="0"/>
      </c:catAx>
      <c:valAx>
        <c:axId val="8724127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7240779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COST BREAKUP</a:t>
            </a:r>
            <a:endParaRPr lang="en-IN"/>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6576-4223-9E7F-48437909A1A1}"/>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6576-4223-9E7F-48437909A1A1}"/>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6576-4223-9E7F-48437909A1A1}"/>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6576-4223-9E7F-48437909A1A1}"/>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6576-4223-9E7F-48437909A1A1}"/>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Infographics!$K$2:$K$6</c:f>
              <c:strCache>
                <c:ptCount val="5"/>
                <c:pt idx="0">
                  <c:v>I) DESIGN COST +MOULD FLOW   : </c:v>
                </c:pt>
                <c:pt idx="1">
                  <c:v>II) RAW MATERIAL COST :</c:v>
                </c:pt>
                <c:pt idx="2">
                  <c:v>III) PROCESS COST :</c:v>
                </c:pt>
                <c:pt idx="3">
                  <c:v>IV) PROFIT &amp; OVERHEADS COST :</c:v>
                </c:pt>
                <c:pt idx="4">
                  <c:v>V) OTHER EXPENSES :                         </c:v>
                </c:pt>
              </c:strCache>
            </c:strRef>
          </c:cat>
          <c:val>
            <c:numRef>
              <c:f>Infographics!$L$2:$L$6</c:f>
              <c:numCache>
                <c:formatCode>General</c:formatCode>
                <c:ptCount val="5"/>
                <c:pt idx="0" formatCode="0">
                  <c:v>179800</c:v>
                </c:pt>
                <c:pt idx="1">
                  <c:v>431047.5997163771</c:v>
                </c:pt>
                <c:pt idx="2">
                  <c:v>415925</c:v>
                </c:pt>
                <c:pt idx="3">
                  <c:v>160266.65</c:v>
                </c:pt>
                <c:pt idx="4">
                  <c:v>0</c:v>
                </c:pt>
              </c:numCache>
            </c:numRef>
          </c:val>
          <c:extLst>
            <c:ext xmlns:c16="http://schemas.microsoft.com/office/drawing/2014/chart" uri="{C3380CC4-5D6E-409C-BE32-E72D297353CC}">
              <c16:uniqueId val="{0000000A-6576-4223-9E7F-48437909A1A1}"/>
            </c:ext>
          </c:extLst>
        </c:ser>
        <c:dLbls>
          <c:dLblPos val="bestFit"/>
          <c:showLegendKey val="0"/>
          <c:showVal val="1"/>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c:rich>
      </c:tx>
      <c:overlay val="0"/>
      <c:spPr>
        <a:noFill/>
        <a:ln>
          <a:noFill/>
          <a:prstDash val="solid"/>
        </a:ln>
      </c:spPr>
    </c:title>
    <c:autoTitleDeleted val="0"/>
    <c:plotArea>
      <c:layout>
        <c:manualLayout>
          <c:layoutTarget val="inner"/>
          <c:xMode val="edge"/>
          <c:yMode val="edge"/>
          <c:x val="7.3617230788167398E-2"/>
          <c:y val="0.16245370370370399"/>
          <c:w val="0.46120669291338601"/>
          <c:h val="0.76867782152231001"/>
        </c:manualLayout>
      </c:layout>
      <c:doughnut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02EC-40AE-B167-507DF8845362}"/>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02EC-40AE-B167-507DF8845362}"/>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02EC-40AE-B167-507DF8845362}"/>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02EC-40AE-B167-507DF8845362}"/>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02EC-40AE-B167-507DF8845362}"/>
              </c:ext>
            </c:extLst>
          </c:dPt>
          <c:dPt>
            <c:idx val="5"/>
            <c:bubble3D val="0"/>
            <c:spPr>
              <a:solidFill>
                <a:schemeClr val="accent6"/>
              </a:solidFill>
              <a:ln w="19050">
                <a:solidFill>
                  <a:schemeClr val="lt1"/>
                </a:solidFill>
                <a:prstDash val="solid"/>
              </a:ln>
            </c:spPr>
            <c:extLst>
              <c:ext xmlns:c16="http://schemas.microsoft.com/office/drawing/2014/chart" uri="{C3380CC4-5D6E-409C-BE32-E72D297353CC}">
                <c16:uniqueId val="{0000000B-02EC-40AE-B167-507DF8845362}"/>
              </c:ext>
            </c:extLst>
          </c:dPt>
          <c:dPt>
            <c:idx val="6"/>
            <c:bubble3D val="0"/>
            <c:spPr>
              <a:solidFill>
                <a:schemeClr val="accent1">
                  <a:lumMod val="60000"/>
                </a:schemeClr>
              </a:solidFill>
              <a:ln w="19050">
                <a:solidFill>
                  <a:schemeClr val="lt1"/>
                </a:solidFill>
                <a:prstDash val="solid"/>
              </a:ln>
            </c:spPr>
            <c:extLst>
              <c:ext xmlns:c16="http://schemas.microsoft.com/office/drawing/2014/chart" uri="{C3380CC4-5D6E-409C-BE32-E72D297353CC}">
                <c16:uniqueId val="{0000000D-02EC-40AE-B167-507DF8845362}"/>
              </c:ext>
            </c:extLst>
          </c:dPt>
          <c:dPt>
            <c:idx val="7"/>
            <c:bubble3D val="0"/>
            <c:spPr>
              <a:solidFill>
                <a:schemeClr val="accent2">
                  <a:lumMod val="60000"/>
                </a:schemeClr>
              </a:solidFill>
              <a:ln w="19050">
                <a:solidFill>
                  <a:schemeClr val="lt1"/>
                </a:solidFill>
                <a:prstDash val="solid"/>
              </a:ln>
            </c:spPr>
            <c:extLst>
              <c:ext xmlns:c16="http://schemas.microsoft.com/office/drawing/2014/chart" uri="{C3380CC4-5D6E-409C-BE32-E72D297353CC}">
                <c16:uniqueId val="{0000000F-02EC-40AE-B167-507DF8845362}"/>
              </c:ext>
            </c:extLst>
          </c:dPt>
          <c:dPt>
            <c:idx val="8"/>
            <c:bubble3D val="0"/>
            <c:spPr>
              <a:solidFill>
                <a:schemeClr val="accent3">
                  <a:lumMod val="60000"/>
                </a:schemeClr>
              </a:solidFill>
              <a:ln w="19050">
                <a:solidFill>
                  <a:schemeClr val="lt1"/>
                </a:solidFill>
                <a:prstDash val="solid"/>
              </a:ln>
            </c:spPr>
            <c:extLst>
              <c:ext xmlns:c16="http://schemas.microsoft.com/office/drawing/2014/chart" uri="{C3380CC4-5D6E-409C-BE32-E72D297353CC}">
                <c16:uniqueId val="{00000011-02EC-40AE-B167-507DF8845362}"/>
              </c:ext>
            </c:extLst>
          </c:dPt>
          <c:dPt>
            <c:idx val="9"/>
            <c:bubble3D val="0"/>
            <c:spPr>
              <a:solidFill>
                <a:schemeClr val="accent4">
                  <a:lumMod val="60000"/>
                </a:schemeClr>
              </a:solidFill>
              <a:ln w="19050">
                <a:solidFill>
                  <a:schemeClr val="lt1"/>
                </a:solidFill>
                <a:prstDash val="solid"/>
              </a:ln>
            </c:spPr>
            <c:extLst>
              <c:ext xmlns:c16="http://schemas.microsoft.com/office/drawing/2014/chart" uri="{C3380CC4-5D6E-409C-BE32-E72D297353CC}">
                <c16:uniqueId val="{00000013-02EC-40AE-B167-507DF8845362}"/>
              </c:ext>
            </c:extLst>
          </c:dPt>
          <c:dLbls>
            <c:spPr>
              <a:noFill/>
              <a:ln>
                <a:noFill/>
                <a:prstDash val="solid"/>
              </a:ln>
            </c:spPr>
            <c: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'INJ. MOULDING ESTIMATION'!$B$26:$B$35</c:f>
              <c:strCache>
                <c:ptCount val="10"/>
                <c:pt idx="0">
                  <c:v>Material Cost</c:v>
                </c:pt>
                <c:pt idx="1">
                  <c:v>Conversion Cost</c:v>
                </c:pt>
                <c:pt idx="2">
                  <c:v>Standard Items</c:v>
                </c:pt>
                <c:pt idx="3">
                  <c:v>Hot Runner</c:v>
                </c:pt>
                <c:pt idx="4">
                  <c:v>Texturizing</c:v>
                </c:pt>
                <c:pt idx="5">
                  <c:v>Design &amp; Mould Flow</c:v>
                </c:pt>
                <c:pt idx="6">
                  <c:v>Polishing &amp; Treatment</c:v>
                </c:pt>
                <c:pt idx="7">
                  <c:v>Packaging &amp; Movement</c:v>
                </c:pt>
                <c:pt idx="8">
                  <c:v>Service Charges</c:v>
                </c:pt>
                <c:pt idx="9">
                  <c:v>Profit &amp; Overhead</c:v>
                </c:pt>
              </c:strCache>
            </c:strRef>
          </c:cat>
          <c:val>
            <c:numRef>
              <c:f>'INJ. MOULDING ESTIMATION'!$C$26:$C$35</c:f>
              <c:numCache>
                <c:formatCode>0%</c:formatCode>
                <c:ptCount val="10"/>
                <c:pt idx="0">
                  <c:v>0.2545521911004443</c:v>
                </c:pt>
                <c:pt idx="1">
                  <c:v>0.3479444341292478</c:v>
                </c:pt>
                <c:pt idx="2">
                  <c:v>1.2631991237246239E-2</c:v>
                </c:pt>
                <c:pt idx="3">
                  <c:v>0.10038668532910919</c:v>
                </c:pt>
                <c:pt idx="4">
                  <c:v>0</c:v>
                </c:pt>
                <c:pt idx="5">
                  <c:v>0.15041271685144858</c:v>
                </c:pt>
                <c:pt idx="6">
                  <c:v>0</c:v>
                </c:pt>
                <c:pt idx="7">
                  <c:v>4.1827785553795495E-3</c:v>
                </c:pt>
                <c:pt idx="8">
                  <c:v>0</c:v>
                </c:pt>
                <c:pt idx="9">
                  <c:v>0.1298892027971244</c:v>
                </c:pt>
              </c:numCache>
            </c:numRef>
          </c:val>
          <c:extLst>
            <c:ext xmlns:c16="http://schemas.microsoft.com/office/drawing/2014/chart" uri="{C3380CC4-5D6E-409C-BE32-E72D297353CC}">
              <c16:uniqueId val="{00000014-02EC-40AE-B167-507DF8845362}"/>
            </c:ext>
          </c:extLst>
        </c:ser>
        <c:dLbls>
          <c:showLegendKey val="0"/>
          <c:showVal val="1"/>
          <c:showCatName val="0"/>
          <c:showSerName val="0"/>
          <c:showPercent val="0"/>
          <c:showBubbleSize val="0"/>
          <c:showLeaderLines val="1"/>
        </c:dLbls>
        <c:firstSliceAng val="0"/>
        <c:holeSize val="50"/>
      </c:doughnutChart>
    </c:plotArea>
    <c:legend>
      <c:legendPos val="b"/>
      <c:layout>
        <c:manualLayout>
          <c:xMode val="edge"/>
          <c:yMode val="edge"/>
          <c:x val="0.59660542432195995"/>
          <c:y val="0.17187226596675401"/>
          <c:w val="0.35956692913385802"/>
          <c:h val="0.72627588218139405"/>
        </c:manualLayout>
      </c:layout>
      <c:overlay val="0"/>
      <c:spPr>
        <a:noFill/>
        <a:ln>
          <a:noFill/>
          <a:prstDash val="solid"/>
        </a:ln>
      </c:spPr>
      <c: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1</a:t>
            </a:r>
            <a:endParaRPr lang="en-IN"/>
          </a:p>
        </c:rich>
      </c:tx>
      <c:overlay val="0"/>
      <c:spPr>
        <a:noFill/>
        <a:ln>
          <a:noFill/>
          <a:prstDash val="solid"/>
        </a:ln>
      </c:spPr>
    </c:title>
    <c:autoTitleDeleted val="0"/>
    <c:plotArea>
      <c:layout/>
      <c:scatterChart>
        <c:scatterStyle val="lineMarker"/>
        <c:varyColors val="0"/>
        <c:ser>
          <c:idx val="0"/>
          <c:order val="0"/>
          <c:spPr>
            <a:ln w="19050" cap="rnd">
              <a:noFill/>
              <a:prstDash val="solid"/>
              <a:round/>
            </a:ln>
          </c:spPr>
          <c:marker>
            <c:symbol val="circle"/>
            <c:size val="5"/>
            <c:spPr>
              <a:solidFill>
                <a:schemeClr val="accent1"/>
              </a:solidFill>
              <a:ln w="9525">
                <a:solidFill>
                  <a:schemeClr val="accent1"/>
                </a:solidFill>
                <a:prstDash val="solid"/>
              </a:ln>
            </c:spPr>
          </c:marker>
          <c:trendline>
            <c:spPr>
              <a:ln w="19050" cap="rnd">
                <a:solidFill>
                  <a:schemeClr val="accent1"/>
                </a:solidFill>
                <a:prstDash val="sysDot"/>
              </a:ln>
            </c:spPr>
            <c:trendlineType val="linear"/>
            <c:dispRSqr val="0"/>
            <c:dispEq val="0"/>
          </c:trendline>
          <c:xVal>
            <c:numRef>
              <c:f>'No of Cavity'!$A$23:$A$29</c:f>
              <c:numCache>
                <c:formatCode>General</c:formatCode>
                <c:ptCount val="7"/>
                <c:pt idx="0">
                  <c:v>700</c:v>
                </c:pt>
                <c:pt idx="1">
                  <c:v>600</c:v>
                </c:pt>
                <c:pt idx="2">
                  <c:v>500</c:v>
                </c:pt>
                <c:pt idx="3">
                  <c:v>400</c:v>
                </c:pt>
                <c:pt idx="4">
                  <c:v>300</c:v>
                </c:pt>
                <c:pt idx="5">
                  <c:v>200</c:v>
                </c:pt>
                <c:pt idx="6">
                  <c:v>100</c:v>
                </c:pt>
              </c:numCache>
            </c:numRef>
          </c:xVal>
          <c:yVal>
            <c:numRef>
              <c:f>'No of Cavity'!$B$23:$B$29</c:f>
              <c:numCache>
                <c:formatCode>General</c:formatCode>
                <c:ptCount val="7"/>
                <c:pt idx="0">
                  <c:v>976</c:v>
                </c:pt>
                <c:pt idx="1">
                  <c:v>849</c:v>
                </c:pt>
                <c:pt idx="2">
                  <c:v>722</c:v>
                </c:pt>
                <c:pt idx="3">
                  <c:v>594</c:v>
                </c:pt>
                <c:pt idx="4">
                  <c:v>476</c:v>
                </c:pt>
                <c:pt idx="5">
                  <c:v>357</c:v>
                </c:pt>
                <c:pt idx="6">
                  <c:v>246</c:v>
                </c:pt>
              </c:numCache>
            </c:numRef>
          </c:yVal>
          <c:smooth val="0"/>
          <c:extLst>
            <c:ext xmlns:c16="http://schemas.microsoft.com/office/drawing/2014/chart" uri="{C3380CC4-5D6E-409C-BE32-E72D297353CC}">
              <c16:uniqueId val="{00000000-C035-4667-9A91-8689C5D21140}"/>
            </c:ext>
          </c:extLst>
        </c:ser>
        <c:dLbls>
          <c:showLegendKey val="0"/>
          <c:showVal val="0"/>
          <c:showCatName val="0"/>
          <c:showSerName val="0"/>
          <c:showPercent val="0"/>
          <c:showBubbleSize val="0"/>
        </c:dLbls>
        <c:axId val="999786928"/>
        <c:axId val="999782128"/>
      </c:scatterChart>
      <c:valAx>
        <c:axId val="99978692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999782128"/>
        <c:crosses val="autoZero"/>
        <c:crossBetween val="midCat"/>
      </c:valAx>
      <c:valAx>
        <c:axId val="999782128"/>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999786928"/>
        <c:crosses val="autoZero"/>
        <c:crossBetween val="midCat"/>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IN"/>
              <a:t>None</a:t>
            </a:r>
          </a:p>
        </c:rich>
      </c:tx>
      <c:overlay val="0"/>
      <c:spPr>
        <a:noFill/>
        <a:ln>
          <a:noFill/>
          <a:prstDash val="solid"/>
        </a:ln>
      </c:spPr>
    </c:title>
    <c:autoTitleDeleted val="0"/>
    <c:plotArea>
      <c:layout/>
      <c:barChart>
        <c:barDir val="col"/>
        <c:grouping val="clustered"/>
        <c:varyColors val="0"/>
        <c:ser>
          <c:idx val="0"/>
          <c:order val="0"/>
          <c:spPr>
            <a:solidFill>
              <a:schemeClr val="accent1"/>
            </a:solidFill>
            <a:ln w="19050" cap="rnd">
              <a:noFill/>
              <a:prstDash val="solid"/>
              <a:round/>
            </a:ln>
          </c:spPr>
          <c:invertIfNegative val="0"/>
          <c:cat>
            <c:numRef>
              <c:f>'Mould Layout'!$B$26:$F$26</c:f>
              <c:numCache>
                <c:formatCode>General</c:formatCode>
                <c:ptCount val="5"/>
                <c:pt idx="0">
                  <c:v>1</c:v>
                </c:pt>
                <c:pt idx="1">
                  <c:v>2</c:v>
                </c:pt>
                <c:pt idx="2">
                  <c:v>4</c:v>
                </c:pt>
                <c:pt idx="3">
                  <c:v>6</c:v>
                </c:pt>
                <c:pt idx="4">
                  <c:v>8</c:v>
                </c:pt>
              </c:numCache>
            </c:numRef>
          </c:cat>
          <c:val>
            <c:numRef>
              <c:f>'Mould Layout'!$B$30:$F$30</c:f>
              <c:numCache>
                <c:formatCode>General</c:formatCode>
                <c:ptCount val="5"/>
                <c:pt idx="0">
                  <c:v>464.86718601230632</c:v>
                </c:pt>
                <c:pt idx="1">
                  <c:v>464.86718601230632</c:v>
                </c:pt>
                <c:pt idx="2">
                  <c:v>714.86718601230632</c:v>
                </c:pt>
                <c:pt idx="3">
                  <c:v>964.86718601230632</c:v>
                </c:pt>
                <c:pt idx="4">
                  <c:v>714.86718601230632</c:v>
                </c:pt>
              </c:numCache>
            </c:numRef>
          </c:val>
          <c:extLst>
            <c:ext xmlns:c16="http://schemas.microsoft.com/office/drawing/2014/chart" uri="{C3380CC4-5D6E-409C-BE32-E72D297353CC}">
              <c16:uniqueId val="{00000000-27CA-4124-AC8C-AD1953629EDF}"/>
            </c:ext>
          </c:extLst>
        </c:ser>
        <c:dLbls>
          <c:showLegendKey val="0"/>
          <c:showVal val="0"/>
          <c:showCatName val="0"/>
          <c:showSerName val="0"/>
          <c:showPercent val="0"/>
          <c:showBubbleSize val="0"/>
        </c:dLbls>
        <c:gapWidth val="150"/>
        <c:axId val="1105768544"/>
        <c:axId val="1105769024"/>
      </c:barChart>
      <c:catAx>
        <c:axId val="110576854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endParaRPr lang="en-US"/>
          </a:p>
        </c:txPr>
        <c:crossAx val="1105769024"/>
        <c:crosses val="autoZero"/>
        <c:auto val="1"/>
        <c:lblAlgn val="ctr"/>
        <c:lblOffset val="100"/>
        <c:noMultiLvlLbl val="0"/>
      </c:catAx>
      <c:valAx>
        <c:axId val="1105769024"/>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110576854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22224</xdr:colOff>
      <xdr:row>36</xdr:row>
      <xdr:rowOff>25400</xdr:rowOff>
    </xdr:from>
    <xdr:to>
      <xdr:col>13</xdr:col>
      <xdr:colOff>95250</xdr:colOff>
      <xdr:row>59</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60475</xdr:colOff>
      <xdr:row>1</xdr:row>
      <xdr:rowOff>151189</xdr:rowOff>
    </xdr:from>
    <xdr:to>
      <xdr:col>9</xdr:col>
      <xdr:colOff>453570</xdr:colOff>
      <xdr:row>22</xdr:row>
      <xdr:rowOff>60476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70555</xdr:colOff>
      <xdr:row>23</xdr:row>
      <xdr:rowOff>60477</xdr:rowOff>
    </xdr:from>
    <xdr:to>
      <xdr:col>9</xdr:col>
      <xdr:colOff>524127</xdr:colOff>
      <xdr:row>53</xdr:row>
      <xdr:rowOff>124732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917347</xdr:colOff>
      <xdr:row>6</xdr:row>
      <xdr:rowOff>57150</xdr:rowOff>
    </xdr:from>
    <xdr:to>
      <xdr:col>16</xdr:col>
      <xdr:colOff>22678</xdr:colOff>
      <xdr:row>31</xdr:row>
      <xdr:rowOff>102053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6350</xdr:colOff>
      <xdr:row>21</xdr:row>
      <xdr:rowOff>11430</xdr:rowOff>
    </xdr:from>
    <xdr:to>
      <xdr:col>8</xdr:col>
      <xdr:colOff>3615055</xdr:colOff>
      <xdr:row>36</xdr:row>
      <xdr:rowOff>5715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799064</xdr:colOff>
      <xdr:row>19</xdr:row>
      <xdr:rowOff>220307</xdr:rowOff>
    </xdr:from>
    <xdr:to>
      <xdr:col>9</xdr:col>
      <xdr:colOff>300589</xdr:colOff>
      <xdr:row>29</xdr:row>
      <xdr:rowOff>2398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394980</xdr:colOff>
      <xdr:row>22</xdr:row>
      <xdr:rowOff>54544</xdr:rowOff>
    </xdr:from>
    <xdr:to>
      <xdr:col>19</xdr:col>
      <xdr:colOff>386829</xdr:colOff>
      <xdr:row>35</xdr:row>
      <xdr:rowOff>35494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5" displayName="Table5" ref="B2:K33" totalsRowCount="1" headerRowDxfId="181" dataDxfId="180">
  <autoFilter ref="B2:K32"/>
  <sortState ref="B3:K32">
    <sortCondition sortBy="cellColor" ref="K2:K32" dxfId="179"/>
  </sortState>
  <tableColumns count="10">
    <tableColumn id="1" name="Cost Component" dataDxfId="178" totalsRowDxfId="177"/>
    <tableColumn id="2" name="1" totalsRowFunction="custom" dataDxfId="176" totalsRowDxfId="175">
      <totalsRowFormula>SUM(Table5[1])</totalsRowFormula>
    </tableColumn>
    <tableColumn id="3" name="2" totalsRowFunction="custom" dataDxfId="174" totalsRowDxfId="173">
      <totalsRowFormula>SUM(Table5[2])</totalsRowFormula>
    </tableColumn>
    <tableColumn id="4" name="3" totalsRowFunction="custom" dataDxfId="172" totalsRowDxfId="171">
      <totalsRowFormula>SUM(Table5[3])</totalsRowFormula>
    </tableColumn>
    <tableColumn id="5" name="4" totalsRowFunction="custom" dataDxfId="170" totalsRowDxfId="169">
      <totalsRowFormula>SUM(Table5[4])</totalsRowFormula>
    </tableColumn>
    <tableColumn id="6" name="5" totalsRowFunction="custom" dataDxfId="168" totalsRowDxfId="167">
      <totalsRowFormula>SUM(Table5[5])</totalsRowFormula>
    </tableColumn>
    <tableColumn id="7" name="6" totalsRowFunction="custom" dataDxfId="166" totalsRowDxfId="165">
      <totalsRowFormula>SUM(Table5[6])</totalsRowFormula>
    </tableColumn>
    <tableColumn id="8" name="7" totalsRowFunction="custom" dataDxfId="164" totalsRowDxfId="163">
      <totalsRowFormula>SUM(Table5[7])</totalsRowFormula>
    </tableColumn>
    <tableColumn id="9" name="8" totalsRowFunction="custom" dataDxfId="162" totalsRowDxfId="161">
      <totalsRowFormula>SUM(Table5[8])</totalsRowFormula>
    </tableColumn>
    <tableColumn id="11" name="Average contribution" totalsRowFunction="custom" dataDxfId="160" totalsRowDxfId="159">
      <totalsRowFormula>SUM(Table5[Average contribution])</totalsRowFormula>
    </tableColumn>
  </tableColumns>
  <tableStyleInfo name="TableStyleLight11" showFirstColumn="0" showLastColumn="0" showRowStripes="1" showColumnStripes="0"/>
</table>
</file>

<file path=xl/tables/table2.xml><?xml version="1.0" encoding="utf-8"?>
<table xmlns="http://schemas.openxmlformats.org/spreadsheetml/2006/main" id="2" name="Table2" displayName="Table2" ref="A2:B5"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3.xml><?xml version="1.0" encoding="utf-8"?>
<table xmlns="http://schemas.openxmlformats.org/spreadsheetml/2006/main" id="3" name="Table3" displayName="Table3" ref="A23:D34"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4.xml><?xml version="1.0" encoding="utf-8"?>
<table xmlns="http://schemas.openxmlformats.org/spreadsheetml/2006/main" id="4" name="Table4" displayName="Table4" ref="A8:M2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5.xml><?xml version="1.0" encoding="utf-8"?>
<table xmlns="http://schemas.openxmlformats.org/spreadsheetml/2006/main" id="5" name="Table1" displayName="Table1" ref="A2:G16" totalsRowShown="0">
  <autoFilter ref="A2:G16"/>
  <tableColumns count="7">
    <tableColumn id="1" name="Various Tool Steel" dataDxfId="131"/>
    <tableColumn id="4" name="Density(g/cc3)" dataDxfId="130"/>
    <tableColumn id="2" name="Uses" dataDxfId="129"/>
    <tableColumn id="3" name="Price/Kg" dataDxfId="128">
      <calculatedColumnFormula>Table1[[#This Row],[Total]]</calculatedColumnFormula>
    </tableColumn>
    <tableColumn id="5" name="RM cost" dataDxfId="127"/>
    <tableColumn id="6" name="Extra cost" dataDxfId="126"/>
    <tableColumn id="7" name="Total" dataDxfId="125"/>
  </tableColumns>
  <tableStyleInfo name="TableStyleLight8" showFirstColumn="0" showLastColumn="0" showRowStripes="1" showColumnStripes="0"/>
</table>
</file>

<file path=xl/tables/table6.xml><?xml version="1.0" encoding="utf-8"?>
<table xmlns="http://schemas.openxmlformats.org/spreadsheetml/2006/main" id="6" name="Table11" displayName="Table11" ref="A19:E27" totalsRowShown="0">
  <autoFilter ref="A19:E27"/>
  <tableColumns count="5">
    <tableColumn id="1" name="Part Material" dataDxfId="124"/>
    <tableColumn id="2" name="Price/kg" dataDxfId="123"/>
    <tableColumn id="3" name="Tonnage Constant(/cm2)" dataDxfId="122"/>
    <tableColumn id="4" name="Density" dataDxfId="121"/>
    <tableColumn id="5" name="Young modulus" dataDxfId="120"/>
  </tableColumns>
  <tableStyleInfo name="TableStyleMedium4" showFirstColumn="0" showLastColumn="0" showRowStripes="1" showColumnStripes="0"/>
</table>
</file>

<file path=xl/tables/table7.xml><?xml version="1.0" encoding="utf-8"?>
<table xmlns="http://schemas.openxmlformats.org/spreadsheetml/2006/main" id="7" name="Table15" displayName="Table15" ref="I2:L17" totalsRowShown="0">
  <autoFilter ref="I2:L17"/>
  <tableColumns count="4">
    <tableColumn id="1" name="Machining Process" dataDxfId="119"/>
    <tableColumn id="2" name="MRR in cm3/min" dataDxfId="118"/>
    <tableColumn id="3" name="MHR"/>
    <tableColumn id="4" name="Column1"/>
  </tableColumns>
  <tableStyleInfo name="TableStyleMedium4" showFirstColumn="0" showLastColumn="0" showRowStripes="1" showColumnStripes="0"/>
</table>
</file>

<file path=xl/tables/table8.xml><?xml version="1.0" encoding="utf-8"?>
<table xmlns="http://schemas.openxmlformats.org/spreadsheetml/2006/main" id="8" name="Table7" displayName="Table7" ref="A1:C17" totalsRowShown="0">
  <autoFilter ref="A1:C17"/>
  <tableColumns count="3">
    <tableColumn id="1" name="Part " dataDxfId="117"/>
    <tableColumn id="2" name="Dimensions" dataDxfId="116"/>
    <tableColumn id="3" name="unit" dataDxfId="115"/>
  </tableColumns>
  <tableStyleInfo name="TableStyleLight8" showFirstColumn="0" showLastColumn="0" showRowStripes="1" showColumnStripes="0"/>
</table>
</file>

<file path=xl/tables/table9.xml><?xml version="1.0" encoding="utf-8"?>
<table xmlns="http://schemas.openxmlformats.org/spreadsheetml/2006/main" id="9" name="Table16" displayName="Table16" ref="A18:B24" totalsRowShown="0">
  <autoFilter ref="A18:B24"/>
  <tableColumns count="2">
    <tableColumn id="1" name="Output" dataDxfId="114"/>
    <tableColumn id="2" name="Price" dataDxfId="113"/>
  </tableColumns>
  <tableStyleInfo name="TableStyleMedium14" showFirstColumn="0" showLastColumn="0" showRowStripes="1" showColumnStripes="0"/>
</table>
</file>

<file path=xl/tables/table10.xml><?xml version="1.0" encoding="utf-8"?>
<table xmlns="http://schemas.openxmlformats.org/spreadsheetml/2006/main" id="10" name="Table6" displayName="Table6" ref="A1:B7" totalsRowShown="0">
  <autoFilter ref="A1:B7"/>
  <tableColumns count="2">
    <tableColumn id="1" name="Complexity index"/>
    <tableColumn id="2" name="Complexity factor" dataDxfId="111"/>
  </tableColumns>
  <tableStyleInfo name="TableStyleMedium4" showFirstColumn="0" showLastColumn="0" showRowStripes="1" showColumnStripes="0"/>
</table>
</file>

<file path=xl/tables/table11.xml><?xml version="1.0" encoding="utf-8"?>
<table xmlns="http://schemas.openxmlformats.org/spreadsheetml/2006/main" id="11" name="Table18" displayName="Table18" ref="A3:L19" totalsRowShown="0">
  <autoFilter ref="A3:L19"/>
  <tableColumns count="12">
    <tableColumn id="1" name="Opn No" dataDxfId="110"/>
    <tableColumn id="2" name="Operation Name" dataDxfId="109"/>
    <tableColumn id="3" name="M/c Selected" dataDxfId="108"/>
    <tableColumn id="4" name="Initial Volume in cm3" dataDxfId="107"/>
    <tableColumn id="5" name="Final Volume in cm3" dataDxfId="106"/>
    <tableColumn id="6" name="Material to be removed in cm3" dataDxfId="105"/>
    <tableColumn id="7" name="Standard MRR in cm3 per min" dataDxfId="104"/>
    <tableColumn id="8" name="Cycle Time in Mins" dataDxfId="103"/>
    <tableColumn id="9" name="Programming" dataDxfId="102"/>
    <tableColumn id="10" name="Tool Change Time" dataDxfId="101"/>
    <tableColumn id="11" name="Fixture Set-up time in mins" dataDxfId="100"/>
    <tableColumn id="12" name="M/c Time in Hrs" dataDxfId="99">
      <calculatedColumnFormula>ROUNDUP((K4+H4+I4+J4)/60,0)</calculatedColumnFormula>
    </tableColumn>
  </tableColumns>
  <tableStyleInfo name="TableStyleLight18" showFirstColumn="0" showLastColumn="0" showRowStripes="1" showColumnStripes="0"/>
</table>
</file>

<file path=xl/tables/table12.xml><?xml version="1.0" encoding="utf-8"?>
<table xmlns="http://schemas.openxmlformats.org/spreadsheetml/2006/main" id="12" name="Table19" displayName="Table19" ref="A41:L57" totalsRowShown="0">
  <autoFilter ref="A41:L57"/>
  <tableColumns count="12">
    <tableColumn id="1" name="Opn No" dataDxfId="98"/>
    <tableColumn id="2" name="Operation Name" dataDxfId="97"/>
    <tableColumn id="3" name="M/c Selected" dataDxfId="96"/>
    <tableColumn id="4" name="Initial Volume in cm3" dataDxfId="95"/>
    <tableColumn id="5" name="Final Volume in cm3" dataDxfId="94"/>
    <tableColumn id="6" name="Material to be removed in cm3" dataDxfId="93"/>
    <tableColumn id="7" name="Standard MRR in cm3 per min" dataDxfId="92"/>
    <tableColumn id="8" name="Cycle Time in Mins" dataDxfId="91"/>
    <tableColumn id="9" name="Programming" dataDxfId="90"/>
    <tableColumn id="10" name="Tool Change Time" dataDxfId="89"/>
    <tableColumn id="11" name="Fixture Set-up time in mins" dataDxfId="88"/>
    <tableColumn id="12" name="M/c Time" dataDxfId="87"/>
  </tableColumns>
  <tableStyleInfo name="TableStyleLight11" showFirstColumn="0" showLastColumn="0" showRowStripes="1" showColumnStripes="0"/>
</table>
</file>

<file path=xl/tables/table13.xml><?xml version="1.0" encoding="utf-8"?>
<table xmlns="http://schemas.openxmlformats.org/spreadsheetml/2006/main" id="13" name="Table20" displayName="Table20" ref="A22:L38" totalsRowShown="0">
  <autoFilter ref="A22:L38"/>
  <tableColumns count="12">
    <tableColumn id="1" name="Opn No" dataDxfId="86"/>
    <tableColumn id="2" name="Operation Name" dataDxfId="85"/>
    <tableColumn id="3" name="M/c Selected" dataDxfId="84"/>
    <tableColumn id="4" name="Initial Volume in cm3" dataDxfId="83"/>
    <tableColumn id="5" name="Final Volume in cm3" dataDxfId="82"/>
    <tableColumn id="6" name="Material to be removed in cm3" dataDxfId="81"/>
    <tableColumn id="7" name="Standard MRR in cm3 per min" dataDxfId="80"/>
    <tableColumn id="8" name="Cycle Time in Mins" dataDxfId="79"/>
    <tableColumn id="9" name="Programming" dataDxfId="78"/>
    <tableColumn id="10" name="Tool Change Time" dataDxfId="77"/>
    <tableColumn id="11" name="Fixture Set-up time in mins" dataDxfId="76"/>
    <tableColumn id="12" name="M/c Time in Hrs" dataDxfId="75">
      <calculatedColumnFormula>ROUNDUP((K23+H23+I23+J23)/60,0)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1" displayName="Table21" ref="A60:L76" totalsRowShown="0">
  <autoFilter ref="A60:L76"/>
  <tableColumns count="12">
    <tableColumn id="1" name="Opn No" dataDxfId="74"/>
    <tableColumn id="2" name="Operation Name" dataDxfId="73"/>
    <tableColumn id="3" name="M/c Selected" dataDxfId="72"/>
    <tableColumn id="4" name="Initial Volume in cm3" dataDxfId="71"/>
    <tableColumn id="5" name="Final Volume in cm3" dataDxfId="70"/>
    <tableColumn id="6" name="Material to be removed in cm3" dataDxfId="69">
      <calculatedColumnFormula>D61-E61</calculatedColumnFormula>
    </tableColumn>
    <tableColumn id="7" name="Standard MRR in cm3 per min" dataDxfId="68">
      <calculatedColumnFormula>VLOOKUP(C61,Table15[],2,FALSE)</calculatedColumnFormula>
    </tableColumn>
    <tableColumn id="8" name="Cycle Time in Mins" dataDxfId="67">
      <calculatedColumnFormula>F61/G61</calculatedColumnFormula>
    </tableColumn>
    <tableColumn id="9" name="Programming" dataDxfId="66"/>
    <tableColumn id="10" name="Tool Change Time" dataDxfId="65"/>
    <tableColumn id="11" name="Fixture Set-up time in mins" dataDxfId="64"/>
    <tableColumn id="12" name="M/c Time" dataDxfId="63">
      <calculatedColumnFormula>ROUNDUP((K61+H61+I61+J61)/60,0)</calculatedColumnFormula>
    </tableColumn>
  </tableColumns>
  <tableStyleInfo name="TableStyleLight18" showFirstColumn="0" showLastColumn="0" showRowStripes="1" showColumnStripes="0"/>
</table>
</file>

<file path=xl/tables/table15.xml><?xml version="1.0" encoding="utf-8"?>
<table xmlns="http://schemas.openxmlformats.org/spreadsheetml/2006/main" id="15" name="Table22" displayName="Table22" ref="A79:L95" totalsRowShown="0">
  <autoFilter ref="A79:L95"/>
  <tableColumns count="12">
    <tableColumn id="1" name="Opn No" dataDxfId="62"/>
    <tableColumn id="2" name="Operation Name" dataDxfId="61"/>
    <tableColumn id="3" name="M/c Selected" dataDxfId="60"/>
    <tableColumn id="4" name="Initial Volume in cm3" dataDxfId="59"/>
    <tableColumn id="5" name="Final Volume in cm3" dataDxfId="58"/>
    <tableColumn id="6" name="Material to be removed in m3" dataDxfId="57"/>
    <tableColumn id="7" name="Standard MRR in cm3 per min" dataDxfId="56"/>
    <tableColumn id="8" name="Cycle Time in Mins" dataDxfId="55"/>
    <tableColumn id="9" name="Programming" dataDxfId="54"/>
    <tableColumn id="10" name="Tool Change Time" dataDxfId="53"/>
    <tableColumn id="11" name="Fixture Set-up time in mins" dataDxfId="52"/>
    <tableColumn id="12" name="M/c Time" dataDxfId="51"/>
  </tableColumns>
  <tableStyleInfo name="TableStyleLight18" showFirstColumn="0" showLastColumn="0" showRowStripes="1" showColumnStripes="0"/>
</table>
</file>

<file path=xl/tables/table16.xml><?xml version="1.0" encoding="utf-8"?>
<table xmlns="http://schemas.openxmlformats.org/spreadsheetml/2006/main" id="16" name="Table23" displayName="Table23" ref="A98:L115" totalsRowShown="0">
  <autoFilter ref="A98:L115"/>
  <tableColumns count="12">
    <tableColumn id="1" name="Opn No" dataDxfId="50"/>
    <tableColumn id="2" name="Operation Name" dataDxfId="49"/>
    <tableColumn id="3" name="M/c Selected" dataDxfId="48"/>
    <tableColumn id="4" name="Initial Volume in cm3" dataDxfId="47"/>
    <tableColumn id="5" name="Final Volume in cm3" dataDxfId="46"/>
    <tableColumn id="6" name="Material to be removed in cm3" dataDxfId="45"/>
    <tableColumn id="7" name="Standard MRR in cm3 per min" dataDxfId="44"/>
    <tableColumn id="8" name="Cycle Time in Mins" dataDxfId="43"/>
    <tableColumn id="9" name="Programming" dataDxfId="42"/>
    <tableColumn id="10" name="Tool Change Time" dataDxfId="41"/>
    <tableColumn id="11" name="Fixture Set-up time in mins" dataDxfId="40"/>
    <tableColumn id="12" name="M/c Time" dataDxfId="39"/>
  </tableColumns>
  <tableStyleInfo name="TableStyleLight18" showFirstColumn="0" showLastColumn="0" showRowStripes="1" showColumnStripes="0"/>
</table>
</file>

<file path=xl/tables/table17.xml><?xml version="1.0" encoding="utf-8"?>
<table xmlns="http://schemas.openxmlformats.org/spreadsheetml/2006/main" id="17" name="Table24" displayName="Table24" ref="A119:L136" totalsRowShown="0">
  <autoFilter ref="A119:L136"/>
  <tableColumns count="12">
    <tableColumn id="1" name="Opn No" dataDxfId="38"/>
    <tableColumn id="2" name="Operation Name" dataDxfId="37"/>
    <tableColumn id="3" name="M/c Selected" dataDxfId="36"/>
    <tableColumn id="4" name="Initial Volume in cm3" dataDxfId="35"/>
    <tableColumn id="5" name="Final Volume in cm3" dataDxfId="34"/>
    <tableColumn id="6" name="Material to be removed in cm3" dataDxfId="33"/>
    <tableColumn id="7" name="Standard MRR in icm per min" dataDxfId="32"/>
    <tableColumn id="8" name="Cycle Time in Mins" dataDxfId="31"/>
    <tableColumn id="9" name="Programming" dataDxfId="30"/>
    <tableColumn id="10" name="Tool Change Time" dataDxfId="29"/>
    <tableColumn id="11" name="Fixture Set-up time in mins" dataDxfId="28"/>
    <tableColumn id="12" name="M/c Time" dataDxfId="27"/>
  </tableColumns>
  <tableStyleInfo name="TableStyleLight18" showFirstColumn="0" showLastColumn="0" showRowStripes="1" showColumnStripes="0"/>
</table>
</file>

<file path=xl/tables/table18.xml><?xml version="1.0" encoding="utf-8"?>
<table xmlns="http://schemas.openxmlformats.org/spreadsheetml/2006/main" id="18" name="Table25" displayName="Table25" ref="A139:L155" totalsRowShown="0">
  <autoFilter ref="A139:L155"/>
  <tableColumns count="12">
    <tableColumn id="1" name="Opn No" dataDxfId="26"/>
    <tableColumn id="2" name="Operation Name" dataDxfId="25"/>
    <tableColumn id="3" name="M/c Selected" dataDxfId="24"/>
    <tableColumn id="4" name="Initial Volume in cm3" dataDxfId="23"/>
    <tableColumn id="5" name="Final Volume in cm3" dataDxfId="22"/>
    <tableColumn id="6" name="Material to be removed in cm3" dataDxfId="21"/>
    <tableColumn id="7" name="Standard MRR in cm3 per min" dataDxfId="20"/>
    <tableColumn id="8" name="Cycle Time in Mins" dataDxfId="19"/>
    <tableColumn id="9" name="Programming" dataDxfId="18"/>
    <tableColumn id="10" name="Tool Change Time" dataDxfId="17"/>
    <tableColumn id="11" name="Fixture Set-up time in mins" dataDxfId="16"/>
    <tableColumn id="12" name="M/c Time" dataDxfId="15"/>
  </tableColumns>
  <tableStyleInfo name="TableStyleLight18" showFirstColumn="0" showLastColumn="0" showRowStripes="1" showColumnStripes="0"/>
</table>
</file>

<file path=xl/tables/table19.xml><?xml version="1.0" encoding="utf-8"?>
<table xmlns="http://schemas.openxmlformats.org/spreadsheetml/2006/main" id="19" name="Table26" displayName="Table26" ref="A158:L174" totalsRowShown="0">
  <autoFilter ref="A158:L174"/>
  <tableColumns count="12">
    <tableColumn id="1" name="Opn No" dataDxfId="14"/>
    <tableColumn id="2" name="Operation Name" dataDxfId="13"/>
    <tableColumn id="3" name="M/c Selected" dataDxfId="12"/>
    <tableColumn id="4" name="Initial Volume in cm3" dataDxfId="11"/>
    <tableColumn id="5" name="Final Volume in cm3" dataDxfId="10"/>
    <tableColumn id="6" name="Material to be removed in cm3" dataDxfId="9"/>
    <tableColumn id="7" name="Standard MRR in cm3 per min" dataDxfId="8"/>
    <tableColumn id="8" name="Cycle Time in Mins" dataDxfId="7"/>
    <tableColumn id="9" name="Programming" dataDxfId="6"/>
    <tableColumn id="10" name="Tool Change Time" dataDxfId="5"/>
    <tableColumn id="11" name="Fixture Set-up time in mins" dataDxfId="4"/>
    <tableColumn id="12" name="M/c Time" dataDxfId="3"/>
  </tableColumns>
  <tableStyleInfo name="TableStyleLight18" showFirstColumn="0" showLastColumn="0" showRowStripes="1" showColumnStripes="0"/>
</table>
</file>

<file path=xl/tables/table20.xml><?xml version="1.0" encoding="utf-8"?>
<table xmlns="http://schemas.openxmlformats.org/spreadsheetml/2006/main" id="20" name="Table1113" displayName="Table1113" ref="A26:C34" totalsRowShown="0">
  <autoFilter ref="A26:C34"/>
  <tableColumns count="3">
    <tableColumn id="1" name="Part Material" dataDxfId="2">
      <calculatedColumnFormula>Database!A20</calculatedColumnFormula>
    </tableColumn>
    <tableColumn id="2" name="Price/kg" dataDxfId="1">
      <calculatedColumnFormula>Database!B20</calculatedColumnFormula>
    </tableColumn>
    <tableColumn id="3" name="Tonnage Constant(/mm2)" dataDxfId="0">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 Id="rId9" Type="http://schemas.openxmlformats.org/officeDocument/2006/relationships/table" Target="../tables/table1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H8" sqref="H8"/>
    </sheetView>
  </sheetViews>
  <sheetFormatPr defaultRowHeight="14.5"/>
  <cols>
    <col min="1" max="1" width="31.36328125" style="357" customWidth="1"/>
  </cols>
  <sheetData>
    <row r="1" spans="1:6">
      <c r="A1" t="s">
        <v>0</v>
      </c>
      <c r="B1" t="s">
        <v>1</v>
      </c>
      <c r="F1" s="59">
        <f>DASHBOARD!C9</f>
        <v>179800</v>
      </c>
    </row>
    <row r="2" spans="1:6">
      <c r="A2" t="s">
        <v>2</v>
      </c>
      <c r="B2" t="s">
        <v>3</v>
      </c>
      <c r="F2">
        <f>DASHBOARD!H28</f>
        <v>431047.5997163771</v>
      </c>
    </row>
    <row r="3" spans="1:6">
      <c r="A3" t="s">
        <v>4</v>
      </c>
      <c r="B3" t="s">
        <v>5</v>
      </c>
      <c r="F3">
        <f>DASHBOARD!H52</f>
        <v>415925</v>
      </c>
    </row>
    <row r="4" spans="1:6">
      <c r="A4" t="s">
        <v>6</v>
      </c>
      <c r="B4" t="s">
        <v>7</v>
      </c>
      <c r="F4" s="573">
        <f>DASHBOARD!G61</f>
        <v>160266.65</v>
      </c>
    </row>
    <row r="5" spans="1:6">
      <c r="A5" t="s">
        <v>8</v>
      </c>
      <c r="B5" t="s">
        <v>9</v>
      </c>
      <c r="F5">
        <f>DASHBOARD!H65</f>
        <v>1187039.2497163771</v>
      </c>
    </row>
    <row r="6" spans="1:6">
      <c r="A6" t="s">
        <v>10</v>
      </c>
      <c r="B6" t="s">
        <v>11</v>
      </c>
    </row>
    <row r="7" spans="1:6">
      <c r="A7" s="433" t="s">
        <v>592</v>
      </c>
      <c r="B7" t="s">
        <v>12</v>
      </c>
    </row>
    <row r="8" spans="1:6">
      <c r="A8" t="s">
        <v>13</v>
      </c>
      <c r="B8" t="b">
        <v>1</v>
      </c>
    </row>
    <row r="9" spans="1:6">
      <c r="A9" t="s">
        <v>14</v>
      </c>
      <c r="B9" t="b">
        <v>0</v>
      </c>
    </row>
    <row r="10" spans="1:6">
      <c r="A10" t="s">
        <v>15</v>
      </c>
      <c r="B10" t="b">
        <v>0</v>
      </c>
    </row>
    <row r="11" spans="1:6">
      <c r="A11" t="s">
        <v>16</v>
      </c>
      <c r="B11" t="b">
        <v>0</v>
      </c>
    </row>
    <row r="15" spans="1:6">
      <c r="A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24"/>
  <sheetViews>
    <sheetView workbookViewId="0">
      <selection activeCell="D12" sqref="D12"/>
    </sheetView>
  </sheetViews>
  <sheetFormatPr defaultColWidth="8.7265625" defaultRowHeight="14.5"/>
  <cols>
    <col min="1" max="2" width="8.7265625" style="207" customWidth="1"/>
    <col min="3" max="16384" width="8.7265625" style="207"/>
  </cols>
  <sheetData>
    <row r="1" spans="1:1" ht="21" customHeight="1">
      <c r="A1" s="208" t="s">
        <v>18</v>
      </c>
    </row>
    <row r="2" spans="1:1" ht="21" customHeight="1">
      <c r="A2" s="208"/>
    </row>
    <row r="3" spans="1:1">
      <c r="A3" s="209" t="s">
        <v>19</v>
      </c>
    </row>
    <row r="4" spans="1:1">
      <c r="A4" s="209"/>
    </row>
    <row r="5" spans="1:1">
      <c r="A5" s="210" t="s">
        <v>20</v>
      </c>
    </row>
    <row r="6" spans="1:1">
      <c r="A6" s="210" t="s">
        <v>21</v>
      </c>
    </row>
    <row r="7" spans="1:1">
      <c r="A7" s="210" t="s">
        <v>22</v>
      </c>
    </row>
    <row r="8" spans="1:1">
      <c r="A8" s="210" t="s">
        <v>23</v>
      </c>
    </row>
    <row r="9" spans="1:1">
      <c r="A9" s="210" t="s">
        <v>24</v>
      </c>
    </row>
    <row r="10" spans="1:1">
      <c r="A10" s="210"/>
    </row>
    <row r="11" spans="1:1">
      <c r="A11" s="211" t="s">
        <v>25</v>
      </c>
    </row>
    <row r="12" spans="1:1">
      <c r="A12" s="210"/>
    </row>
    <row r="13" spans="1:1">
      <c r="A13" s="210" t="s">
        <v>26</v>
      </c>
    </row>
    <row r="14" spans="1:1">
      <c r="A14" s="210" t="s">
        <v>27</v>
      </c>
    </row>
    <row r="15" spans="1:1">
      <c r="A15" s="210"/>
    </row>
    <row r="16" spans="1:1">
      <c r="A16" s="211" t="s">
        <v>28</v>
      </c>
    </row>
    <row r="17" spans="1:1">
      <c r="A17" s="210"/>
    </row>
    <row r="18" spans="1:1">
      <c r="A18" s="210" t="s">
        <v>29</v>
      </c>
    </row>
    <row r="19" spans="1:1">
      <c r="A19" s="210" t="s">
        <v>30</v>
      </c>
    </row>
    <row r="20" spans="1:1">
      <c r="A20" s="210" t="s">
        <v>31</v>
      </c>
    </row>
    <row r="21" spans="1:1">
      <c r="A21" s="210" t="s">
        <v>32</v>
      </c>
    </row>
    <row r="22" spans="1:1">
      <c r="A22" s="210" t="s">
        <v>33</v>
      </c>
    </row>
    <row r="23" spans="1:1">
      <c r="A23" s="210" t="s">
        <v>34</v>
      </c>
    </row>
    <row r="24" spans="1:1">
      <c r="A24" s="210"/>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69"/>
  <sheetViews>
    <sheetView topLeftCell="A41" zoomScale="25" zoomScaleNormal="48" workbookViewId="0">
      <selection activeCell="H24" sqref="H24"/>
    </sheetView>
  </sheetViews>
  <sheetFormatPr defaultRowHeight="14.5"/>
  <cols>
    <col min="1" max="1" width="31.90625" style="357" customWidth="1"/>
    <col min="2" max="2" width="67.26953125" style="357" customWidth="1"/>
    <col min="3" max="3" width="52.453125" style="357" customWidth="1"/>
    <col min="4" max="5" width="53.6328125" style="357" customWidth="1"/>
    <col min="6" max="6" width="45.08984375" style="357" customWidth="1"/>
    <col min="7" max="8" width="40.90625" style="357" customWidth="1"/>
    <col min="9" max="9" width="17.81640625" style="357" customWidth="1"/>
    <col min="10" max="10" width="71.90625" style="357" customWidth="1"/>
  </cols>
  <sheetData>
    <row r="1" spans="1:10" ht="52" customHeight="1">
      <c r="A1" s="507" t="s">
        <v>35</v>
      </c>
      <c r="B1" s="454"/>
      <c r="C1" s="454"/>
      <c r="D1" s="454"/>
      <c r="E1" s="454"/>
      <c r="F1" s="454"/>
      <c r="G1" s="454"/>
      <c r="H1" s="454"/>
      <c r="I1" s="454"/>
      <c r="J1" s="488"/>
    </row>
    <row r="2" spans="1:10" ht="52.5" customHeight="1" thickBot="1">
      <c r="A2" s="489"/>
      <c r="B2" s="442"/>
      <c r="C2" s="442"/>
      <c r="D2" s="442"/>
      <c r="E2" s="442"/>
      <c r="F2" s="442"/>
      <c r="G2" s="442"/>
      <c r="H2" s="442"/>
      <c r="I2" s="442"/>
      <c r="J2" s="466"/>
    </row>
    <row r="3" spans="1:10" ht="35.5" customHeight="1" thickBot="1">
      <c r="A3" s="485" t="s">
        <v>36</v>
      </c>
      <c r="B3" s="455"/>
      <c r="C3" s="467" t="s">
        <v>37</v>
      </c>
      <c r="D3" s="491">
        <f ca="1">IF($D$4&lt;&gt;0,NOW(),NOW())</f>
        <v>45111.605760995371</v>
      </c>
      <c r="E3" s="272"/>
      <c r="F3" s="273"/>
      <c r="G3" s="254" t="s">
        <v>38</v>
      </c>
      <c r="H3" s="274">
        <f ca="1">TODAY()</f>
        <v>45111</v>
      </c>
      <c r="I3" s="295"/>
      <c r="J3" s="271" t="s">
        <v>39</v>
      </c>
    </row>
    <row r="4" spans="1:10" ht="35" customHeight="1" thickBot="1">
      <c r="A4" s="486"/>
      <c r="B4" s="461"/>
      <c r="C4" s="468"/>
      <c r="D4" s="461"/>
      <c r="E4" s="270" t="s">
        <v>40</v>
      </c>
      <c r="F4" s="438" t="s">
        <v>41</v>
      </c>
      <c r="G4" s="439"/>
      <c r="H4" s="440"/>
      <c r="I4" s="296"/>
      <c r="J4" s="510"/>
    </row>
    <row r="5" spans="1:10" ht="35" customHeight="1">
      <c r="A5" s="180"/>
      <c r="B5" s="269" t="s">
        <v>42</v>
      </c>
      <c r="C5" s="269" t="s">
        <v>43</v>
      </c>
      <c r="D5" s="269" t="s">
        <v>44</v>
      </c>
      <c r="E5" s="270" t="s">
        <v>45</v>
      </c>
      <c r="F5" s="438"/>
      <c r="G5" s="439"/>
      <c r="H5" s="440"/>
      <c r="I5" s="296"/>
      <c r="J5" s="511"/>
    </row>
    <row r="6" spans="1:10" ht="35" customHeight="1">
      <c r="A6" s="275" t="s">
        <v>46</v>
      </c>
      <c r="B6" s="270" t="str">
        <f>Website!B1</f>
        <v>200</v>
      </c>
      <c r="C6" s="270" t="str">
        <f>Website!B2</f>
        <v>100</v>
      </c>
      <c r="D6" s="270" t="str">
        <f>Website!B3</f>
        <v>50</v>
      </c>
      <c r="E6" s="265"/>
      <c r="F6" s="351" t="s">
        <v>47</v>
      </c>
      <c r="G6" s="351" t="s">
        <v>48</v>
      </c>
      <c r="H6" s="249" t="s">
        <v>49</v>
      </c>
      <c r="I6" s="297"/>
      <c r="J6" s="511"/>
    </row>
    <row r="7" spans="1:10" ht="35" customHeight="1">
      <c r="A7" s="275" t="s">
        <v>50</v>
      </c>
      <c r="B7" s="270" t="str">
        <f>Website!B4</f>
        <v>2</v>
      </c>
      <c r="C7" s="270" t="s">
        <v>51</v>
      </c>
      <c r="D7" s="261" t="str">
        <f>Website!B5</f>
        <v>1</v>
      </c>
      <c r="E7" s="270" t="s">
        <v>52</v>
      </c>
      <c r="F7" s="270">
        <v>1</v>
      </c>
      <c r="G7" s="261" t="str">
        <f>Website!B7</f>
        <v>120000</v>
      </c>
      <c r="H7" s="276">
        <f>G7*F7</f>
        <v>120000</v>
      </c>
      <c r="I7" s="298"/>
      <c r="J7" s="511"/>
    </row>
    <row r="8" spans="1:10" ht="35.5" customHeight="1" thickBot="1">
      <c r="A8" s="277" t="s">
        <v>53</v>
      </c>
      <c r="B8" s="315">
        <f>'INJ. MOULDING ESTIMATION'!D22</f>
        <v>664.86718601230632</v>
      </c>
      <c r="C8" s="315">
        <f>'INJ. MOULDING ESTIMATION'!D23</f>
        <v>614.86718601230632</v>
      </c>
      <c r="D8" s="278">
        <f>'INJ. MOULDING ESTIMATION'!D24</f>
        <v>412.77763404604082</v>
      </c>
      <c r="E8" s="255" t="s">
        <v>54</v>
      </c>
      <c r="F8" s="255"/>
      <c r="G8" s="278" t="s">
        <v>55</v>
      </c>
      <c r="H8" s="378"/>
      <c r="I8" s="379"/>
      <c r="J8" s="466"/>
    </row>
    <row r="9" spans="1:10" ht="35.5" customHeight="1" thickBot="1">
      <c r="A9" s="484" t="s">
        <v>56</v>
      </c>
      <c r="B9" s="442"/>
      <c r="C9" s="512">
        <f>'Mould Costing'!K60</f>
        <v>179800</v>
      </c>
      <c r="D9" s="442"/>
      <c r="E9" s="267" t="s">
        <v>57</v>
      </c>
      <c r="F9" s="268">
        <v>0</v>
      </c>
      <c r="G9" s="471" t="s">
        <v>58</v>
      </c>
      <c r="H9" s="466"/>
      <c r="I9" s="284"/>
      <c r="J9" s="307" t="s">
        <v>59</v>
      </c>
    </row>
    <row r="10" spans="1:10" ht="35.5" customHeight="1" thickBot="1">
      <c r="A10" s="228"/>
      <c r="B10" s="283"/>
      <c r="C10" s="320">
        <f>C9/H65</f>
        <v>0.15146929643898477</v>
      </c>
      <c r="D10" s="284"/>
      <c r="E10" s="251"/>
      <c r="F10" s="284"/>
      <c r="G10" s="284"/>
      <c r="H10" s="380"/>
      <c r="I10" s="380"/>
      <c r="J10" s="227"/>
    </row>
    <row r="11" spans="1:10" ht="35.5" customHeight="1" thickBot="1">
      <c r="A11" s="229" t="s">
        <v>60</v>
      </c>
      <c r="B11" s="230"/>
      <c r="C11" s="230"/>
      <c r="D11" s="252"/>
      <c r="E11" s="252"/>
      <c r="F11" s="252"/>
      <c r="G11" s="252"/>
      <c r="H11" s="381"/>
      <c r="I11" s="381"/>
      <c r="J11" s="312" t="s">
        <v>61</v>
      </c>
    </row>
    <row r="12" spans="1:10" ht="35.5" customHeight="1" thickBot="1">
      <c r="A12" s="492" t="s">
        <v>62</v>
      </c>
      <c r="B12" s="508" t="s">
        <v>63</v>
      </c>
      <c r="C12" s="475" t="s">
        <v>64</v>
      </c>
      <c r="D12" s="492" t="s">
        <v>65</v>
      </c>
      <c r="E12" s="455"/>
      <c r="F12" s="365" t="s">
        <v>66</v>
      </c>
      <c r="G12" s="353" t="s">
        <v>67</v>
      </c>
      <c r="H12" s="382" t="s">
        <v>68</v>
      </c>
      <c r="I12" s="383"/>
      <c r="J12" s="235"/>
    </row>
    <row r="13" spans="1:10" ht="35.5" customHeight="1" thickBot="1">
      <c r="A13" s="494"/>
      <c r="B13" s="509"/>
      <c r="C13" s="476"/>
      <c r="D13" s="486"/>
      <c r="E13" s="461"/>
      <c r="F13" s="279" t="s">
        <v>69</v>
      </c>
      <c r="G13" s="231" t="s">
        <v>70</v>
      </c>
      <c r="H13" s="384" t="s">
        <v>71</v>
      </c>
      <c r="I13" s="383"/>
      <c r="J13" s="235"/>
    </row>
    <row r="14" spans="1:10" ht="35.5" customHeight="1" thickBot="1">
      <c r="A14" s="232">
        <v>1</v>
      </c>
      <c r="B14" s="233" t="s">
        <v>72</v>
      </c>
      <c r="C14" s="355" t="str">
        <f>'Mould Costing'!B16</f>
        <v>C-45</v>
      </c>
      <c r="D14" s="436">
        <f t="shared" ref="D14:D25" si="0">H14/$H$65</f>
        <v>5.132917753673772E-2</v>
      </c>
      <c r="E14" s="437"/>
      <c r="F14" s="260">
        <f>'Mould Costing'!K16</f>
        <v>476.01365931068642</v>
      </c>
      <c r="G14" s="260">
        <f>'Mould Costing'!L16</f>
        <v>128</v>
      </c>
      <c r="H14" s="300">
        <f>'Mould Costing'!M16</f>
        <v>60929.748391767862</v>
      </c>
      <c r="I14" s="311">
        <f t="shared" ref="I14:I25" si="1">H14/$H$28</f>
        <v>0.141352714716098</v>
      </c>
      <c r="J14" s="313" t="s">
        <v>73</v>
      </c>
    </row>
    <row r="15" spans="1:10" ht="35.5" customHeight="1" thickBot="1">
      <c r="A15" s="234">
        <v>2</v>
      </c>
      <c r="B15" s="235" t="s">
        <v>74</v>
      </c>
      <c r="C15" s="355" t="str">
        <f>Table4[[#This Row],[Material]]</f>
        <v>P20</v>
      </c>
      <c r="D15" s="436">
        <f t="shared" si="0"/>
        <v>6.7440289440156662E-2</v>
      </c>
      <c r="E15" s="437"/>
      <c r="F15" s="236">
        <f>Table4[[#This Row],[Total weight]]</f>
        <v>348.06204598999511</v>
      </c>
      <c r="G15" s="236">
        <f>Table4[[#This Row],[Price/kg]]</f>
        <v>230</v>
      </c>
      <c r="H15" s="301">
        <f>Table4[[#This Row],[Total Price]]</f>
        <v>80054.270577698873</v>
      </c>
      <c r="I15" s="311">
        <f t="shared" si="1"/>
        <v>0.18572025602363496</v>
      </c>
      <c r="J15" s="313" t="s">
        <v>75</v>
      </c>
    </row>
    <row r="16" spans="1:10" ht="35.5" customHeight="1" thickBot="1">
      <c r="A16" s="234">
        <v>3</v>
      </c>
      <c r="B16" s="235" t="s">
        <v>76</v>
      </c>
      <c r="C16" s="355" t="str">
        <f>'Mould Costing'!B14</f>
        <v>P20</v>
      </c>
      <c r="D16" s="436">
        <f t="shared" si="0"/>
        <v>6.5063925903275116E-2</v>
      </c>
      <c r="E16" s="437"/>
      <c r="F16" s="236">
        <f>'Mould Costing'!K14</f>
        <v>335.79753820793758</v>
      </c>
      <c r="G16" s="236">
        <f>'Mould Costing'!L14</f>
        <v>230</v>
      </c>
      <c r="H16" s="301">
        <f>'Mould Costing'!M14</f>
        <v>77233.433787825648</v>
      </c>
      <c r="I16" s="311">
        <f t="shared" si="1"/>
        <v>0.17917611381815859</v>
      </c>
      <c r="J16" s="313" t="s">
        <v>77</v>
      </c>
    </row>
    <row r="17" spans="1:10" ht="35.5" customHeight="1" thickBot="1">
      <c r="A17" s="234">
        <v>4</v>
      </c>
      <c r="B17" s="237" t="s">
        <v>78</v>
      </c>
      <c r="C17" s="351" t="str">
        <f>'Mould Costing'!B17</f>
        <v>Graphite</v>
      </c>
      <c r="D17" s="436">
        <f t="shared" si="0"/>
        <v>4.1700390287707154E-3</v>
      </c>
      <c r="E17" s="437"/>
      <c r="F17" s="236">
        <f>'Mould Costing'!K17+'Mould Costing'!K18</f>
        <v>3.3000000000000003</v>
      </c>
      <c r="G17" s="236">
        <f>'Mould Costing'!L17</f>
        <v>1500</v>
      </c>
      <c r="H17" s="301">
        <f>'Mould Costing'!M17+'Mould Costing'!M18</f>
        <v>4950</v>
      </c>
      <c r="I17" s="311">
        <f t="shared" si="1"/>
        <v>1.1483650537103155E-2</v>
      </c>
      <c r="J17" s="313" t="s">
        <v>79</v>
      </c>
    </row>
    <row r="18" spans="1:10" ht="35.5" customHeight="1" thickBot="1">
      <c r="A18" s="234">
        <v>5</v>
      </c>
      <c r="B18" s="235" t="s">
        <v>80</v>
      </c>
      <c r="C18" s="351" t="str">
        <f>'Mould Costing'!B11</f>
        <v>C-45</v>
      </c>
      <c r="D18" s="436">
        <f t="shared" si="0"/>
        <v>2.9617860282729652E-2</v>
      </c>
      <c r="E18" s="437"/>
      <c r="F18" s="236">
        <f>'Mould Costing'!K11</f>
        <v>274.66845818918665</v>
      </c>
      <c r="G18" s="236">
        <f>'Mould Costing'!L11</f>
        <v>128</v>
      </c>
      <c r="H18" s="301">
        <f>'Mould Costing'!M11</f>
        <v>35157.562648215891</v>
      </c>
      <c r="I18" s="311">
        <f t="shared" si="1"/>
        <v>8.1563063270388342E-2</v>
      </c>
      <c r="J18" s="313" t="s">
        <v>81</v>
      </c>
    </row>
    <row r="19" spans="1:10" ht="35.5" customHeight="1" thickBot="1">
      <c r="A19" s="234">
        <v>6</v>
      </c>
      <c r="B19" s="235" t="s">
        <v>82</v>
      </c>
      <c r="C19" s="355" t="str">
        <f>'Mould Costing'!B12</f>
        <v>C-45</v>
      </c>
      <c r="D19" s="436">
        <f t="shared" si="0"/>
        <v>7.6172960565064219E-3</v>
      </c>
      <c r="E19" s="437"/>
      <c r="F19" s="236">
        <f>'Mould Costing'!K12+'Mould Costing'!K13</f>
        <v>35.32042732727696</v>
      </c>
      <c r="G19" s="236">
        <f>'Mould Costing'!L12+'Mould Costing'!L13</f>
        <v>256</v>
      </c>
      <c r="H19" s="385">
        <f>F19*G19</f>
        <v>9042.0293957829017</v>
      </c>
      <c r="I19" s="311">
        <f t="shared" si="1"/>
        <v>2.097686984391613E-2</v>
      </c>
      <c r="J19" s="313"/>
    </row>
    <row r="20" spans="1:10" ht="35.5" customHeight="1" thickBot="1">
      <c r="A20" s="234">
        <v>7</v>
      </c>
      <c r="B20" s="235" t="s">
        <v>83</v>
      </c>
      <c r="C20" s="351" t="s">
        <v>84</v>
      </c>
      <c r="D20" s="436">
        <f t="shared" si="0"/>
        <v>5.1660076888729424E-3</v>
      </c>
      <c r="E20" s="437"/>
      <c r="F20" s="351"/>
      <c r="G20" s="351"/>
      <c r="H20" s="385">
        <f>'Mould Costing'!M19:M21</f>
        <v>6132.2538910287731</v>
      </c>
      <c r="I20" s="311">
        <f t="shared" si="1"/>
        <v>1.4226396098861714E-2</v>
      </c>
      <c r="J20" s="313"/>
    </row>
    <row r="21" spans="1:10" ht="35.5" customHeight="1" thickBot="1">
      <c r="A21" s="234">
        <v>8</v>
      </c>
      <c r="B21" s="235" t="s">
        <v>85</v>
      </c>
      <c r="C21" s="351" t="s">
        <v>84</v>
      </c>
      <c r="D21" s="436">
        <f t="shared" si="0"/>
        <v>1.2720725118068243E-2</v>
      </c>
      <c r="E21" s="437"/>
      <c r="F21" s="351"/>
      <c r="G21" s="351"/>
      <c r="H21" s="385">
        <f>'Mould Costing'!K50</f>
        <v>15100</v>
      </c>
      <c r="I21" s="302">
        <f t="shared" si="1"/>
        <v>3.5030933961668211E-2</v>
      </c>
      <c r="J21" s="285"/>
    </row>
    <row r="22" spans="1:10" ht="35.5" customHeight="1" thickBot="1">
      <c r="A22" s="234">
        <v>9</v>
      </c>
      <c r="B22" s="235" t="s">
        <v>79</v>
      </c>
      <c r="C22" s="351"/>
      <c r="D22" s="436">
        <f t="shared" si="0"/>
        <v>0</v>
      </c>
      <c r="E22" s="437"/>
      <c r="F22" s="351"/>
      <c r="G22" s="351"/>
      <c r="H22" s="385">
        <f>'Mould Costing'!L98</f>
        <v>0</v>
      </c>
      <c r="I22" s="302">
        <f t="shared" si="1"/>
        <v>0</v>
      </c>
      <c r="J22" s="227"/>
    </row>
    <row r="23" spans="1:10" ht="35.5" customHeight="1" thickBot="1">
      <c r="A23" s="234">
        <v>10</v>
      </c>
      <c r="B23" s="237" t="s">
        <v>86</v>
      </c>
      <c r="C23" s="351" t="str">
        <f>'Mould Costing'!B9</f>
        <v>C-45</v>
      </c>
      <c r="D23" s="436">
        <f t="shared" si="0"/>
        <v>1.8911169979780231E-2</v>
      </c>
      <c r="E23" s="437"/>
      <c r="F23" s="236">
        <f>'Mould Costing'!K9+'Mould Costing'!K10</f>
        <v>175.37735175044688</v>
      </c>
      <c r="G23" s="236">
        <f>'Mould Costing'!L9+'Mould Costing'!L10</f>
        <v>256</v>
      </c>
      <c r="H23" s="386">
        <f>'Mould Costing'!M9+'Mould Costing'!M10</f>
        <v>22448.3010240572</v>
      </c>
      <c r="I23" s="302">
        <f t="shared" si="1"/>
        <v>5.2078473557973293E-2</v>
      </c>
      <c r="J23" s="227"/>
    </row>
    <row r="24" spans="1:10" ht="35.5" customHeight="1" thickBot="1">
      <c r="A24" s="234">
        <v>11</v>
      </c>
      <c r="B24" s="237" t="s">
        <v>87</v>
      </c>
      <c r="C24" s="351"/>
      <c r="D24" s="436">
        <f t="shared" si="0"/>
        <v>0.10109185524292644</v>
      </c>
      <c r="E24" s="437"/>
      <c r="F24" s="351"/>
      <c r="G24" s="351"/>
      <c r="H24" s="385">
        <f>IF('Mould Costing'!K97,H7,0)</f>
        <v>120000</v>
      </c>
      <c r="I24" s="302">
        <f t="shared" si="1"/>
        <v>0.2783915281721977</v>
      </c>
      <c r="J24" s="238"/>
    </row>
    <row r="25" spans="1:10" ht="35.5" customHeight="1" thickBot="1">
      <c r="A25" s="234">
        <v>12</v>
      </c>
      <c r="B25" s="239" t="s">
        <v>88</v>
      </c>
      <c r="C25" s="360"/>
      <c r="D25" s="436">
        <f t="shared" si="0"/>
        <v>0</v>
      </c>
      <c r="E25" s="437"/>
      <c r="F25" s="360"/>
      <c r="G25" s="360"/>
      <c r="H25" s="385">
        <f>'Mould Costing'!K89</f>
        <v>0</v>
      </c>
      <c r="I25" s="302">
        <f t="shared" si="1"/>
        <v>0</v>
      </c>
      <c r="J25" s="238"/>
    </row>
    <row r="26" spans="1:10" ht="35.5" customHeight="1" thickBot="1">
      <c r="A26" s="234"/>
      <c r="B26" s="239"/>
      <c r="C26" s="360"/>
      <c r="D26" s="436"/>
      <c r="E26" s="437"/>
      <c r="F26" s="360"/>
      <c r="G26" s="360"/>
      <c r="H26" s="385"/>
      <c r="I26" s="387"/>
      <c r="J26" s="238"/>
    </row>
    <row r="27" spans="1:10" ht="35.5" customHeight="1" thickBot="1">
      <c r="A27" s="248"/>
      <c r="B27" s="239"/>
      <c r="C27" s="360"/>
      <c r="D27" s="477"/>
      <c r="E27" s="437"/>
      <c r="F27" s="241"/>
      <c r="G27" s="360"/>
      <c r="H27" s="388"/>
      <c r="I27" s="389"/>
      <c r="J27" s="227"/>
    </row>
    <row r="28" spans="1:10" ht="35.5" customHeight="1" thickBot="1">
      <c r="A28" s="495"/>
      <c r="B28" s="447"/>
      <c r="C28" s="447"/>
      <c r="D28" s="447"/>
      <c r="E28" s="447"/>
      <c r="F28" s="496"/>
      <c r="G28" s="242" t="s">
        <v>89</v>
      </c>
      <c r="H28" s="390">
        <f>SUM(H14:H27)</f>
        <v>431047.5997163771</v>
      </c>
      <c r="I28" s="303">
        <f>SUM(I14:I27)</f>
        <v>1</v>
      </c>
      <c r="J28" s="243" t="s">
        <v>90</v>
      </c>
    </row>
    <row r="29" spans="1:10" ht="35" customHeight="1">
      <c r="A29" s="244"/>
      <c r="B29" s="250"/>
      <c r="C29" s="250"/>
      <c r="D29" s="286"/>
      <c r="E29" s="286"/>
      <c r="F29" s="284"/>
      <c r="G29" s="287"/>
      <c r="H29" s="391"/>
      <c r="I29" s="391"/>
      <c r="J29" s="243"/>
    </row>
    <row r="30" spans="1:10" ht="35.5" customHeight="1" thickBot="1">
      <c r="A30" s="245" t="s">
        <v>91</v>
      </c>
      <c r="B30" s="288"/>
      <c r="C30" s="288"/>
      <c r="D30" s="288"/>
      <c r="E30" s="286"/>
      <c r="F30" s="286"/>
      <c r="G30" s="286"/>
      <c r="H30" s="391"/>
      <c r="I30" s="391"/>
      <c r="J30" s="227"/>
    </row>
    <row r="31" spans="1:10" ht="35" customHeight="1">
      <c r="A31" s="492" t="s">
        <v>62</v>
      </c>
      <c r="B31" s="453" t="s">
        <v>92</v>
      </c>
      <c r="C31" s="453"/>
      <c r="D31" s="454"/>
      <c r="E31" s="455"/>
      <c r="F31" s="450" t="s">
        <v>93</v>
      </c>
      <c r="G31" s="444" t="s">
        <v>76</v>
      </c>
      <c r="H31" s="437"/>
      <c r="I31" s="304"/>
      <c r="J31" s="227"/>
    </row>
    <row r="32" spans="1:10" ht="35" customHeight="1">
      <c r="A32" s="493"/>
      <c r="B32" s="451"/>
      <c r="C32" s="456"/>
      <c r="D32" s="457"/>
      <c r="E32" s="458"/>
      <c r="F32" s="451"/>
      <c r="G32" s="246" t="s">
        <v>94</v>
      </c>
      <c r="H32" s="392" t="s">
        <v>95</v>
      </c>
      <c r="I32" s="393"/>
      <c r="J32" s="227"/>
    </row>
    <row r="33" spans="1:10" ht="35.5" customHeight="1" thickBot="1">
      <c r="A33" s="494"/>
      <c r="B33" s="452"/>
      <c r="C33" s="459"/>
      <c r="D33" s="460"/>
      <c r="E33" s="461"/>
      <c r="F33" s="452"/>
      <c r="G33" s="247" t="s">
        <v>96</v>
      </c>
      <c r="H33" s="394" t="s">
        <v>97</v>
      </c>
      <c r="I33" s="395"/>
      <c r="J33" s="227"/>
    </row>
    <row r="34" spans="1:10" ht="35" customHeight="1">
      <c r="A34" s="234">
        <v>1</v>
      </c>
      <c r="B34" s="280" t="s">
        <v>98</v>
      </c>
      <c r="C34" s="443">
        <f t="shared" ref="C34:C49" si="2">H34/$H$65</f>
        <v>7.682980998462409E-2</v>
      </c>
      <c r="D34" s="439"/>
      <c r="E34" s="440"/>
      <c r="F34" s="294">
        <f>'Mould Costing'!$B$81</f>
        <v>400</v>
      </c>
      <c r="G34" s="396">
        <f>'Mould Costing'!B$80</f>
        <v>228</v>
      </c>
      <c r="H34" s="397">
        <f>F34*G34*'Mould Costing'!$C$83</f>
        <v>91200</v>
      </c>
      <c r="I34" s="305">
        <f t="shared" ref="I34:I49" si="3">H34/$H$50</f>
        <v>0.21927030113602211</v>
      </c>
      <c r="J34" s="227"/>
    </row>
    <row r="35" spans="1:10" ht="35" customHeight="1">
      <c r="A35" s="289">
        <v>2</v>
      </c>
      <c r="B35" s="281" t="s">
        <v>99</v>
      </c>
      <c r="C35" s="443">
        <f t="shared" si="2"/>
        <v>2.6957828064780383E-3</v>
      </c>
      <c r="D35" s="439"/>
      <c r="E35" s="440"/>
      <c r="F35" s="294">
        <f>'Mould Costing'!$C$81</f>
        <v>400</v>
      </c>
      <c r="G35" s="396">
        <f>'Mould Costing'!C$80</f>
        <v>8</v>
      </c>
      <c r="H35" s="397">
        <f>F35*G35*'Mould Costing'!$C$83</f>
        <v>3200</v>
      </c>
      <c r="I35" s="398">
        <f t="shared" si="3"/>
        <v>7.6936947767025305E-3</v>
      </c>
      <c r="J35" s="227"/>
    </row>
    <row r="36" spans="1:10" ht="35" customHeight="1">
      <c r="A36" s="289">
        <v>3</v>
      </c>
      <c r="B36" s="281" t="s">
        <v>100</v>
      </c>
      <c r="C36" s="443">
        <f t="shared" si="2"/>
        <v>0</v>
      </c>
      <c r="D36" s="439"/>
      <c r="E36" s="440"/>
      <c r="F36" s="294">
        <f>'Mould Costing'!$D$81</f>
        <v>400</v>
      </c>
      <c r="G36" s="396">
        <f>'Mould Costing'!D$80</f>
        <v>0</v>
      </c>
      <c r="H36" s="397">
        <f>F36*G36*'Mould Costing'!$C$83</f>
        <v>0</v>
      </c>
      <c r="I36" s="398">
        <f t="shared" si="3"/>
        <v>0</v>
      </c>
      <c r="J36" s="350"/>
    </row>
    <row r="37" spans="1:10" ht="35" customHeight="1">
      <c r="A37" s="289">
        <v>4</v>
      </c>
      <c r="B37" s="281" t="s">
        <v>101</v>
      </c>
      <c r="C37" s="443">
        <f t="shared" si="2"/>
        <v>9.8143342798341082E-2</v>
      </c>
      <c r="D37" s="439"/>
      <c r="E37" s="440"/>
      <c r="F37" s="294">
        <f>'Mould Costing'!$E$81</f>
        <v>500</v>
      </c>
      <c r="G37" s="396">
        <f>'Mould Costing'!E$80</f>
        <v>233</v>
      </c>
      <c r="H37" s="397">
        <f>F37*G37*'Mould Costing'!$C$83</f>
        <v>116500</v>
      </c>
      <c r="I37" s="305">
        <f t="shared" si="3"/>
        <v>0.28009857546432648</v>
      </c>
      <c r="J37" s="350"/>
    </row>
    <row r="38" spans="1:10" ht="35" customHeight="1">
      <c r="A38" s="289">
        <v>5</v>
      </c>
      <c r="B38" s="281" t="s">
        <v>102</v>
      </c>
      <c r="C38" s="443">
        <f t="shared" si="2"/>
        <v>0</v>
      </c>
      <c r="D38" s="439"/>
      <c r="E38" s="440"/>
      <c r="F38" s="294">
        <f>'Mould Costing'!$F$81</f>
        <v>500</v>
      </c>
      <c r="G38" s="396">
        <f>'Mould Costing'!F$80</f>
        <v>0</v>
      </c>
      <c r="H38" s="397">
        <f>F38*G38*'Mould Costing'!$C$83</f>
        <v>0</v>
      </c>
      <c r="I38" s="306">
        <f t="shared" si="3"/>
        <v>0</v>
      </c>
      <c r="J38" s="350"/>
    </row>
    <row r="39" spans="1:10" ht="35" customHeight="1">
      <c r="A39" s="289">
        <v>6</v>
      </c>
      <c r="B39" s="281" t="s">
        <v>103</v>
      </c>
      <c r="C39" s="443">
        <f t="shared" si="2"/>
        <v>1.4742562222926772E-2</v>
      </c>
      <c r="D39" s="439"/>
      <c r="E39" s="440"/>
      <c r="F39" s="294">
        <f>'Mould Costing'!$G$81</f>
        <v>500</v>
      </c>
      <c r="G39" s="396">
        <f>'Mould Costing'!G$80</f>
        <v>35</v>
      </c>
      <c r="H39" s="397">
        <f>F39*G39*'Mould Costing'!$C$83</f>
        <v>17500</v>
      </c>
      <c r="I39" s="305">
        <f t="shared" si="3"/>
        <v>4.2074893310091961E-2</v>
      </c>
      <c r="J39" s="350"/>
    </row>
    <row r="40" spans="1:10" ht="70" customHeight="1">
      <c r="A40" s="289">
        <v>7</v>
      </c>
      <c r="B40" s="281" t="s">
        <v>104</v>
      </c>
      <c r="C40" s="443">
        <f t="shared" si="2"/>
        <v>5.0545927621463219E-3</v>
      </c>
      <c r="D40" s="439"/>
      <c r="E40" s="440"/>
      <c r="F40" s="294">
        <f>'Mould Costing'!$H$81</f>
        <v>500</v>
      </c>
      <c r="G40" s="396">
        <f>'Mould Costing'!H$80</f>
        <v>12</v>
      </c>
      <c r="H40" s="397">
        <f>F40*G40*'Mould Costing'!$C$83</f>
        <v>6000</v>
      </c>
      <c r="I40" s="398">
        <f t="shared" si="3"/>
        <v>1.4425677706317244E-2</v>
      </c>
      <c r="J40" s="350"/>
    </row>
    <row r="41" spans="1:10" ht="35" customHeight="1">
      <c r="A41" s="234">
        <v>8</v>
      </c>
      <c r="B41" s="280" t="s">
        <v>105</v>
      </c>
      <c r="C41" s="443">
        <f t="shared" si="2"/>
        <v>0</v>
      </c>
      <c r="D41" s="439"/>
      <c r="E41" s="440"/>
      <c r="F41" s="294">
        <f>'Mould Costing'!$I$81</f>
        <v>500</v>
      </c>
      <c r="G41" s="396">
        <f>'Mould Costing'!I$80</f>
        <v>0</v>
      </c>
      <c r="H41" s="397">
        <f>F41*G41*'Mould Costing'!$C$83</f>
        <v>0</v>
      </c>
      <c r="I41" s="306">
        <f t="shared" si="3"/>
        <v>0</v>
      </c>
      <c r="J41" s="350"/>
    </row>
    <row r="42" spans="1:10" ht="35" customHeight="1">
      <c r="A42" s="234">
        <v>9</v>
      </c>
      <c r="B42" s="280" t="s">
        <v>106</v>
      </c>
      <c r="C42" s="443">
        <f t="shared" si="2"/>
        <v>1.6848642540487739E-3</v>
      </c>
      <c r="D42" s="439"/>
      <c r="E42" s="440"/>
      <c r="F42" s="294">
        <f>'Mould Costing'!$J$81</f>
        <v>500</v>
      </c>
      <c r="G42" s="396">
        <f>'Mould Costing'!J$80</f>
        <v>4</v>
      </c>
      <c r="H42" s="397">
        <f>F42*G42*'Mould Costing'!$C$83</f>
        <v>2000</v>
      </c>
      <c r="I42" s="399">
        <f t="shared" si="3"/>
        <v>4.8085592354390819E-3</v>
      </c>
      <c r="J42" s="350"/>
    </row>
    <row r="43" spans="1:10" ht="35" customHeight="1">
      <c r="A43" s="234">
        <v>10</v>
      </c>
      <c r="B43" s="280" t="s">
        <v>107</v>
      </c>
      <c r="C43" s="443">
        <f t="shared" si="2"/>
        <v>0</v>
      </c>
      <c r="D43" s="439"/>
      <c r="E43" s="440"/>
      <c r="F43" s="294">
        <f>'Mould Costing'!K$81</f>
        <v>800</v>
      </c>
      <c r="G43" s="396">
        <f>'Mould Costing'!K$80</f>
        <v>0</v>
      </c>
      <c r="H43" s="397">
        <f>F43*G43*'Mould Costing'!$C$83</f>
        <v>0</v>
      </c>
      <c r="I43" s="306">
        <f t="shared" si="3"/>
        <v>0</v>
      </c>
      <c r="J43" s="350"/>
    </row>
    <row r="44" spans="1:10" ht="35" customHeight="1">
      <c r="A44" s="234">
        <v>11</v>
      </c>
      <c r="B44" s="280" t="s">
        <v>108</v>
      </c>
      <c r="C44" s="443">
        <f t="shared" si="2"/>
        <v>0</v>
      </c>
      <c r="D44" s="439"/>
      <c r="E44" s="440"/>
      <c r="F44" s="294">
        <f>'Mould Costing'!$L$81</f>
        <v>800</v>
      </c>
      <c r="G44" s="396">
        <f>'Mould Costing'!L$80</f>
        <v>0</v>
      </c>
      <c r="H44" s="397">
        <f>F44*G44*'Mould Costing'!$C$83</f>
        <v>0</v>
      </c>
      <c r="I44" s="306">
        <f t="shared" si="3"/>
        <v>0</v>
      </c>
      <c r="J44" s="350"/>
    </row>
    <row r="45" spans="1:10" ht="35" customHeight="1">
      <c r="A45" s="289">
        <v>12</v>
      </c>
      <c r="B45" s="281" t="s">
        <v>109</v>
      </c>
      <c r="C45" s="443">
        <f t="shared" si="2"/>
        <v>0</v>
      </c>
      <c r="D45" s="439"/>
      <c r="E45" s="440"/>
      <c r="F45" s="294">
        <f>'Mould Costing'!$M$81</f>
        <v>500</v>
      </c>
      <c r="G45" s="396">
        <f>'Mould Costing'!M$80</f>
        <v>0</v>
      </c>
      <c r="H45" s="397">
        <f>F45*G45*'Mould Costing'!$C$83</f>
        <v>0</v>
      </c>
      <c r="I45" s="306">
        <f t="shared" si="3"/>
        <v>0</v>
      </c>
      <c r="J45" s="350"/>
    </row>
    <row r="46" spans="1:10" ht="35" customHeight="1">
      <c r="A46" s="289">
        <v>13</v>
      </c>
      <c r="B46" s="281" t="s">
        <v>110</v>
      </c>
      <c r="C46" s="443">
        <f t="shared" si="2"/>
        <v>6.2676950250614386E-2</v>
      </c>
      <c r="D46" s="439"/>
      <c r="E46" s="440"/>
      <c r="F46" s="294">
        <f>'Mould Costing'!$N$81</f>
        <v>1200</v>
      </c>
      <c r="G46" s="396">
        <f>'Mould Costing'!N$80</f>
        <v>62</v>
      </c>
      <c r="H46" s="397">
        <f>F46*G46*'Mould Costing'!$C$83</f>
        <v>74400</v>
      </c>
      <c r="I46" s="305">
        <f t="shared" si="3"/>
        <v>0.17887840355833384</v>
      </c>
      <c r="J46" s="350"/>
    </row>
    <row r="47" spans="1:10" ht="35" customHeight="1">
      <c r="A47" s="289">
        <v>14</v>
      </c>
      <c r="B47" s="281" t="s">
        <v>111</v>
      </c>
      <c r="C47" s="443">
        <f t="shared" si="2"/>
        <v>7.8851647089482613E-2</v>
      </c>
      <c r="D47" s="439"/>
      <c r="E47" s="440"/>
      <c r="F47" s="294">
        <f>'Mould Costing'!$O$81</f>
        <v>1200</v>
      </c>
      <c r="G47" s="396">
        <f>'Mould Costing'!O$80</f>
        <v>78</v>
      </c>
      <c r="H47" s="397">
        <f>F47*G47*'Mould Costing'!$C$83</f>
        <v>93600</v>
      </c>
      <c r="I47" s="305">
        <f t="shared" si="3"/>
        <v>0.22504057221854901</v>
      </c>
      <c r="J47" s="350"/>
    </row>
    <row r="48" spans="1:10" ht="35" customHeight="1">
      <c r="A48" s="289">
        <v>15</v>
      </c>
      <c r="B48" s="281" t="s">
        <v>112</v>
      </c>
      <c r="C48" s="443">
        <f t="shared" si="2"/>
        <v>8.0873484194341153E-3</v>
      </c>
      <c r="D48" s="439"/>
      <c r="E48" s="440"/>
      <c r="F48" s="294">
        <f>'Mould Costing'!$P$81</f>
        <v>1200</v>
      </c>
      <c r="G48" s="396">
        <f>'Mould Costing'!P$80</f>
        <v>8</v>
      </c>
      <c r="H48" s="397">
        <f>F48*G48*'Mould Costing'!$C$83</f>
        <v>9600</v>
      </c>
      <c r="I48" s="305">
        <f t="shared" si="3"/>
        <v>2.3081084330107592E-2</v>
      </c>
      <c r="J48" s="350"/>
    </row>
    <row r="49" spans="1:10" ht="35.5" customHeight="1" thickBot="1">
      <c r="A49" s="289">
        <v>16</v>
      </c>
      <c r="B49" s="281" t="s">
        <v>113</v>
      </c>
      <c r="C49" s="443">
        <f t="shared" si="2"/>
        <v>1.6216818445219448E-3</v>
      </c>
      <c r="D49" s="439"/>
      <c r="E49" s="440"/>
      <c r="F49" s="294">
        <f>'Mould Costing'!$Q$81</f>
        <v>43.75</v>
      </c>
      <c r="G49" s="396">
        <f>'Mould Costing'!Q$80</f>
        <v>44</v>
      </c>
      <c r="H49" s="397">
        <f>F49*G49*'Mould Costing'!$C$83</f>
        <v>1925</v>
      </c>
      <c r="I49" s="306">
        <f t="shared" si="3"/>
        <v>4.6282382641101164E-3</v>
      </c>
      <c r="J49" s="350"/>
    </row>
    <row r="50" spans="1:10" ht="35.5" customHeight="1" thickBot="1">
      <c r="A50" s="441" t="s">
        <v>89</v>
      </c>
      <c r="B50" s="442"/>
      <c r="C50" s="442"/>
      <c r="D50" s="442"/>
      <c r="E50" s="335"/>
      <c r="F50" s="400"/>
      <c r="G50" s="400">
        <f>SUM(G34:G49)</f>
        <v>712</v>
      </c>
      <c r="H50" s="401">
        <f>SUM(H34:H49)</f>
        <v>415925</v>
      </c>
      <c r="I50" s="402"/>
      <c r="J50" s="227"/>
    </row>
    <row r="51" spans="1:10" ht="35" customHeight="1">
      <c r="A51" s="244"/>
      <c r="B51" s="250"/>
      <c r="C51" s="250"/>
      <c r="D51" s="286"/>
      <c r="E51" s="286"/>
      <c r="F51" s="286"/>
      <c r="G51" s="286"/>
      <c r="H51" s="391"/>
      <c r="I51" s="391"/>
      <c r="J51" s="227"/>
    </row>
    <row r="52" spans="1:10" ht="35" customHeight="1">
      <c r="A52" s="245" t="s">
        <v>114</v>
      </c>
      <c r="B52" s="290"/>
      <c r="C52" s="290"/>
      <c r="D52" s="251"/>
      <c r="E52" s="251"/>
      <c r="F52" s="287"/>
      <c r="G52" s="251"/>
      <c r="H52" s="403">
        <f>H50</f>
        <v>415925</v>
      </c>
      <c r="I52" s="403"/>
      <c r="J52" s="243" t="s">
        <v>115</v>
      </c>
    </row>
    <row r="53" spans="1:10" ht="35" customHeight="1">
      <c r="A53" s="228"/>
      <c r="B53" s="290"/>
      <c r="C53" s="290"/>
      <c r="D53" s="287"/>
      <c r="E53" s="287"/>
      <c r="F53" s="287"/>
      <c r="G53" s="287"/>
      <c r="H53" s="403"/>
      <c r="I53" s="403"/>
      <c r="J53" s="227"/>
    </row>
    <row r="54" spans="1:10" ht="35" customHeight="1">
      <c r="A54" s="245" t="s">
        <v>116</v>
      </c>
      <c r="B54" s="288"/>
      <c r="C54" s="288"/>
      <c r="D54" s="286"/>
      <c r="E54" s="286"/>
      <c r="F54" s="286"/>
      <c r="G54" s="286"/>
      <c r="H54" s="391"/>
      <c r="I54" s="391"/>
      <c r="J54" s="227"/>
    </row>
    <row r="55" spans="1:10" ht="35.5" customHeight="1" thickBot="1">
      <c r="A55" s="228"/>
      <c r="B55" s="250"/>
      <c r="C55" s="250"/>
      <c r="D55" s="286"/>
      <c r="E55" s="286"/>
      <c r="F55" s="286"/>
      <c r="G55" s="286"/>
      <c r="H55" s="391"/>
      <c r="I55" s="391"/>
      <c r="J55" s="227"/>
    </row>
    <row r="56" spans="1:10" ht="35.5" customHeight="1" thickBot="1">
      <c r="A56" s="498"/>
      <c r="B56" s="499"/>
      <c r="C56" s="500" t="s">
        <v>65</v>
      </c>
      <c r="D56" s="449"/>
      <c r="E56" s="446" t="s">
        <v>117</v>
      </c>
      <c r="F56" s="447"/>
      <c r="G56" s="448" t="s">
        <v>118</v>
      </c>
      <c r="H56" s="449"/>
      <c r="I56" s="244"/>
      <c r="J56" s="227"/>
    </row>
    <row r="57" spans="1:10" ht="35" customHeight="1">
      <c r="A57" s="469" t="s">
        <v>119</v>
      </c>
      <c r="B57" s="461"/>
      <c r="C57" s="469"/>
      <c r="D57" s="461"/>
      <c r="E57" s="506"/>
      <c r="F57" s="461"/>
      <c r="G57" s="497">
        <f>'Mould Costing'!L96</f>
        <v>5000</v>
      </c>
      <c r="H57" s="461"/>
      <c r="I57" s="404"/>
      <c r="J57" s="227"/>
    </row>
    <row r="58" spans="1:10" ht="35" customHeight="1">
      <c r="A58" s="445" t="s">
        <v>77</v>
      </c>
      <c r="B58" s="440"/>
      <c r="C58" s="445"/>
      <c r="D58" s="440"/>
      <c r="E58" s="472"/>
      <c r="F58" s="440"/>
      <c r="G58" s="502">
        <f>'Mould Costing'!L99</f>
        <v>0</v>
      </c>
      <c r="H58" s="440"/>
      <c r="I58" s="404"/>
      <c r="J58" s="227"/>
    </row>
    <row r="59" spans="1:10" ht="35" customHeight="1">
      <c r="A59" s="445" t="s">
        <v>120</v>
      </c>
      <c r="B59" s="440"/>
      <c r="C59" s="445"/>
      <c r="D59" s="440"/>
      <c r="E59" s="472"/>
      <c r="F59" s="440"/>
      <c r="G59" s="503">
        <f>'Mould Costing'!L95</f>
        <v>155266.65</v>
      </c>
      <c r="H59" s="440"/>
      <c r="I59" s="405"/>
      <c r="J59" s="227"/>
    </row>
    <row r="60" spans="1:10" ht="35.5" customHeight="1" thickBot="1">
      <c r="A60" s="364"/>
      <c r="B60" s="240"/>
      <c r="C60" s="240"/>
      <c r="D60" s="360"/>
      <c r="E60" s="434"/>
      <c r="F60" s="435"/>
      <c r="G60" s="470"/>
      <c r="H60" s="435"/>
      <c r="I60" s="299"/>
      <c r="J60" s="238"/>
    </row>
    <row r="61" spans="1:10" ht="35.5" customHeight="1" thickBot="1">
      <c r="A61" s="334"/>
      <c r="B61" s="293"/>
      <c r="C61" s="293"/>
      <c r="D61" s="363"/>
      <c r="E61" s="505" t="s">
        <v>89</v>
      </c>
      <c r="F61" s="449"/>
      <c r="G61" s="490">
        <f>+G57+G58+G59</f>
        <v>160266.65</v>
      </c>
      <c r="H61" s="449"/>
      <c r="I61" s="406"/>
      <c r="J61" s="243" t="s">
        <v>121</v>
      </c>
    </row>
    <row r="62" spans="1:10" ht="35.5" customHeight="1" thickBot="1">
      <c r="A62" s="244"/>
      <c r="B62" s="250"/>
      <c r="C62" s="250"/>
      <c r="D62" s="284"/>
      <c r="E62" s="286"/>
      <c r="F62" s="286"/>
      <c r="G62" s="286"/>
      <c r="H62" s="391"/>
      <c r="I62" s="391"/>
      <c r="J62" s="227"/>
    </row>
    <row r="63" spans="1:10" ht="35.5" customHeight="1" thickBot="1">
      <c r="A63" s="245" t="s">
        <v>122</v>
      </c>
      <c r="B63" s="283"/>
      <c r="C63" s="283"/>
      <c r="D63" s="284"/>
      <c r="E63" s="291"/>
      <c r="F63" s="286"/>
      <c r="G63" s="286"/>
      <c r="H63" s="407">
        <v>0</v>
      </c>
      <c r="I63" s="403"/>
      <c r="J63" s="243" t="s">
        <v>123</v>
      </c>
    </row>
    <row r="64" spans="1:10" ht="35.5" customHeight="1" thickBot="1">
      <c r="A64" s="228"/>
      <c r="B64" s="250"/>
      <c r="C64" s="250"/>
      <c r="D64" s="286"/>
      <c r="E64" s="292"/>
      <c r="F64" s="286"/>
      <c r="G64" s="286"/>
      <c r="H64" s="391"/>
      <c r="I64" s="391"/>
      <c r="J64" s="227"/>
    </row>
    <row r="65" spans="1:10" ht="40.5" customHeight="1">
      <c r="A65" s="504" t="s">
        <v>124</v>
      </c>
      <c r="B65" s="454"/>
      <c r="C65" s="454"/>
      <c r="D65" s="487"/>
      <c r="E65" s="454"/>
      <c r="F65" s="454"/>
      <c r="G65" s="488"/>
      <c r="H65" s="501">
        <f>C9+H28+H52+G61+H63+F9</f>
        <v>1187039.2497163771</v>
      </c>
      <c r="I65" s="408"/>
      <c r="J65" s="473"/>
    </row>
    <row r="66" spans="1:10" ht="41" customHeight="1" thickBot="1">
      <c r="A66" s="489"/>
      <c r="B66" s="442"/>
      <c r="C66" s="442"/>
      <c r="D66" s="489"/>
      <c r="E66" s="442"/>
      <c r="F66" s="442"/>
      <c r="G66" s="466"/>
      <c r="H66" s="466"/>
      <c r="I66" s="408"/>
      <c r="J66" s="474"/>
    </row>
    <row r="67" spans="1:10" ht="35" customHeight="1">
      <c r="A67" s="244"/>
      <c r="B67" s="250"/>
      <c r="C67" s="250"/>
      <c r="D67" s="286"/>
      <c r="E67" s="286"/>
      <c r="F67" s="286"/>
      <c r="G67" s="286"/>
      <c r="H67" s="391"/>
      <c r="I67" s="391"/>
      <c r="J67" s="227"/>
    </row>
    <row r="68" spans="1:10" ht="35" customHeight="1">
      <c r="A68" s="478" t="s">
        <v>125</v>
      </c>
      <c r="B68" s="479"/>
      <c r="C68" s="479"/>
      <c r="D68" s="480"/>
      <c r="E68" s="287"/>
      <c r="F68" s="462" t="s">
        <v>126</v>
      </c>
      <c r="G68" s="463"/>
      <c r="H68" s="463"/>
      <c r="I68" s="463"/>
      <c r="J68" s="464"/>
    </row>
    <row r="69" spans="1:10" ht="35.5" customHeight="1" thickBot="1">
      <c r="A69" s="481"/>
      <c r="B69" s="482"/>
      <c r="C69" s="482"/>
      <c r="D69" s="483"/>
      <c r="E69" s="253"/>
      <c r="F69" s="465"/>
      <c r="G69" s="442"/>
      <c r="H69" s="442"/>
      <c r="I69" s="442"/>
      <c r="J69" s="466"/>
    </row>
  </sheetData>
  <mergeCells count="77">
    <mergeCell ref="D20:E20"/>
    <mergeCell ref="A1:J2"/>
    <mergeCell ref="C44:E44"/>
    <mergeCell ref="F5:H5"/>
    <mergeCell ref="B12:B13"/>
    <mergeCell ref="D12:E13"/>
    <mergeCell ref="C40:E40"/>
    <mergeCell ref="D22:E22"/>
    <mergeCell ref="J4:J8"/>
    <mergeCell ref="A12:A13"/>
    <mergeCell ref="D25:E25"/>
    <mergeCell ref="D14:E14"/>
    <mergeCell ref="D21:E21"/>
    <mergeCell ref="C9:D9"/>
    <mergeCell ref="A56:B56"/>
    <mergeCell ref="C56:D56"/>
    <mergeCell ref="B31:B33"/>
    <mergeCell ref="H65:H66"/>
    <mergeCell ref="C49:E49"/>
    <mergeCell ref="G58:H58"/>
    <mergeCell ref="C34:E34"/>
    <mergeCell ref="C42:E42"/>
    <mergeCell ref="G59:H59"/>
    <mergeCell ref="A65:C66"/>
    <mergeCell ref="E59:F59"/>
    <mergeCell ref="C37:E37"/>
    <mergeCell ref="A57:B57"/>
    <mergeCell ref="E61:F61"/>
    <mergeCell ref="E57:F57"/>
    <mergeCell ref="A68:D69"/>
    <mergeCell ref="D24:E24"/>
    <mergeCell ref="A9:B9"/>
    <mergeCell ref="D26:E26"/>
    <mergeCell ref="A3:B4"/>
    <mergeCell ref="A59:B59"/>
    <mergeCell ref="D65:G66"/>
    <mergeCell ref="D19:E19"/>
    <mergeCell ref="G61:H61"/>
    <mergeCell ref="C46:E46"/>
    <mergeCell ref="C39:E39"/>
    <mergeCell ref="C48:E48"/>
    <mergeCell ref="D3:D4"/>
    <mergeCell ref="A31:A33"/>
    <mergeCell ref="C38:E38"/>
    <mergeCell ref="A28:F28"/>
    <mergeCell ref="F68:J69"/>
    <mergeCell ref="D15:E15"/>
    <mergeCell ref="C3:C4"/>
    <mergeCell ref="C57:D57"/>
    <mergeCell ref="D23:E23"/>
    <mergeCell ref="C35:E35"/>
    <mergeCell ref="G60:H60"/>
    <mergeCell ref="G9:H9"/>
    <mergeCell ref="E58:F58"/>
    <mergeCell ref="C58:D58"/>
    <mergeCell ref="J65:J66"/>
    <mergeCell ref="C36:E36"/>
    <mergeCell ref="C12:C13"/>
    <mergeCell ref="D27:E27"/>
    <mergeCell ref="D17:E17"/>
    <mergeCell ref="C59:D59"/>
    <mergeCell ref="E60:F60"/>
    <mergeCell ref="D16:E16"/>
    <mergeCell ref="F4:H4"/>
    <mergeCell ref="D18:E18"/>
    <mergeCell ref="A50:D50"/>
    <mergeCell ref="C45:E45"/>
    <mergeCell ref="G31:H31"/>
    <mergeCell ref="A58:B58"/>
    <mergeCell ref="C47:E47"/>
    <mergeCell ref="E56:F56"/>
    <mergeCell ref="G56:H56"/>
    <mergeCell ref="F31:F33"/>
    <mergeCell ref="C41:E41"/>
    <mergeCell ref="C31:E33"/>
    <mergeCell ref="C43:E43"/>
    <mergeCell ref="G57:H57"/>
  </mergeCells>
  <pageMargins left="0.25" right="0.25" top="0.75" bottom="0.75" header="0.3" footer="0.3"/>
  <pageSetup paperSize="9" scale="2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selection activeCell="N3" sqref="N3:O11"/>
    </sheetView>
  </sheetViews>
  <sheetFormatPr defaultRowHeight="14.5"/>
  <cols>
    <col min="2" max="2" width="32" style="357" customWidth="1"/>
    <col min="3" max="3" width="10.26953125" style="357" bestFit="1" customWidth="1"/>
    <col min="11" max="11" width="22.7265625" style="357" customWidth="1"/>
  </cols>
  <sheetData>
    <row r="1" spans="1:11">
      <c r="C1" s="513" t="s">
        <v>127</v>
      </c>
      <c r="D1" s="457"/>
      <c r="E1" s="457"/>
      <c r="F1" s="457"/>
      <c r="G1" s="457"/>
      <c r="H1" s="457"/>
      <c r="I1" s="457"/>
      <c r="J1" s="457"/>
    </row>
    <row r="2" spans="1:11">
      <c r="A2" s="317"/>
      <c r="B2" s="321" t="s">
        <v>128</v>
      </c>
      <c r="C2" s="321" t="s">
        <v>9</v>
      </c>
      <c r="D2" s="321" t="s">
        <v>7</v>
      </c>
      <c r="E2" s="321" t="s">
        <v>129</v>
      </c>
      <c r="F2" s="321" t="s">
        <v>130</v>
      </c>
      <c r="G2" s="321" t="s">
        <v>131</v>
      </c>
      <c r="H2" s="321" t="s">
        <v>132</v>
      </c>
      <c r="I2" s="321" t="s">
        <v>133</v>
      </c>
      <c r="J2" s="321" t="s">
        <v>134</v>
      </c>
      <c r="K2" s="323" t="s">
        <v>135</v>
      </c>
    </row>
    <row r="3" spans="1:11">
      <c r="B3" s="324" t="s">
        <v>74</v>
      </c>
      <c r="C3" s="325">
        <v>8.5207671136501087E-2</v>
      </c>
      <c r="D3" s="325">
        <v>8.7817989837601446E-2</v>
      </c>
      <c r="E3" s="325">
        <v>7.3069101459478869E-2</v>
      </c>
      <c r="F3" s="325">
        <v>4.2543904705803312E-2</v>
      </c>
      <c r="G3" s="325">
        <v>4.4556473084348028E-2</v>
      </c>
      <c r="H3" s="325">
        <v>2.898961046367762E-2</v>
      </c>
      <c r="I3" s="325">
        <v>5.5023001015546358E-2</v>
      </c>
      <c r="J3" s="325">
        <f>DASHBOARD!$D15</f>
        <v>6.7440289440156662E-2</v>
      </c>
      <c r="K3" s="326">
        <f t="shared" ref="K3:K32" si="0">AVERAGE(C3:J3)</f>
        <v>6.0581005142889173E-2</v>
      </c>
    </row>
    <row r="4" spans="1:11">
      <c r="B4" s="324" t="s">
        <v>76</v>
      </c>
      <c r="C4" s="325">
        <v>8.2067217825948391E-2</v>
      </c>
      <c r="D4" s="325">
        <v>8.3712507008433051E-2</v>
      </c>
      <c r="E4" s="325">
        <v>7.1060977018999175E-2</v>
      </c>
      <c r="F4" s="325">
        <v>4.1571199673423487E-2</v>
      </c>
      <c r="G4" s="325">
        <v>4.3374297671671093E-2</v>
      </c>
      <c r="H4" s="325">
        <v>2.824512529904441E-2</v>
      </c>
      <c r="I4" s="325">
        <v>5.3453608810444753E-2</v>
      </c>
      <c r="J4" s="325">
        <f>DASHBOARD!$D16</f>
        <v>6.5063925903275116E-2</v>
      </c>
      <c r="K4" s="326">
        <f t="shared" si="0"/>
        <v>5.8568607401404932E-2</v>
      </c>
    </row>
    <row r="5" spans="1:11">
      <c r="B5" s="324" t="s">
        <v>72</v>
      </c>
      <c r="C5" s="325">
        <v>6.4805106075510183E-2</v>
      </c>
      <c r="D5" s="325">
        <v>6.6495032616472341E-2</v>
      </c>
      <c r="E5" s="325">
        <v>5.5805911140807241E-2</v>
      </c>
      <c r="F5" s="325">
        <v>3.2559354245892597E-2</v>
      </c>
      <c r="G5" s="325">
        <v>3.4044028366743882E-2</v>
      </c>
      <c r="H5" s="325">
        <v>2.2158324612067969E-2</v>
      </c>
      <c r="I5" s="325">
        <v>4.2003901242939089E-2</v>
      </c>
      <c r="J5" s="325">
        <f>DASHBOARD!$D14</f>
        <v>5.132917753673772E-2</v>
      </c>
      <c r="K5" s="326">
        <f t="shared" si="0"/>
        <v>4.6150104479646376E-2</v>
      </c>
    </row>
    <row r="6" spans="1:11">
      <c r="B6" s="324" t="s">
        <v>87</v>
      </c>
      <c r="C6" s="325">
        <v>0</v>
      </c>
      <c r="D6" s="325">
        <v>6.2281580096669197E-2</v>
      </c>
      <c r="E6" s="325">
        <v>0</v>
      </c>
      <c r="F6" s="325">
        <v>0</v>
      </c>
      <c r="G6" s="325">
        <v>8.5876090515472625E-2</v>
      </c>
      <c r="H6" s="325">
        <v>8.3963596961385334E-2</v>
      </c>
      <c r="I6" s="325">
        <v>0</v>
      </c>
      <c r="J6" s="325">
        <f>DASHBOARD!$D24</f>
        <v>0.10109185524292644</v>
      </c>
      <c r="K6" s="326">
        <f t="shared" si="0"/>
        <v>4.16516403520567E-2</v>
      </c>
    </row>
    <row r="7" spans="1:11">
      <c r="B7" s="324" t="s">
        <v>80</v>
      </c>
      <c r="C7" s="325">
        <v>3.8834177975332403E-2</v>
      </c>
      <c r="D7" s="325">
        <v>4.0238333589864138E-2</v>
      </c>
      <c r="E7" s="325">
        <v>3.446340675975635E-2</v>
      </c>
      <c r="F7" s="325">
        <v>1.967361517090311E-2</v>
      </c>
      <c r="G7" s="325">
        <v>1.9058173254362591E-2</v>
      </c>
      <c r="H7" s="325">
        <v>1.2333618679703571E-2</v>
      </c>
      <c r="I7" s="325">
        <v>1.9390329298498151E-2</v>
      </c>
      <c r="J7" s="325">
        <f>DASHBOARD!$D18</f>
        <v>2.9617860282729652E-2</v>
      </c>
      <c r="K7" s="326">
        <f t="shared" si="0"/>
        <v>2.6701189376393743E-2</v>
      </c>
    </row>
    <row r="8" spans="1:11">
      <c r="B8" s="324" t="s">
        <v>82</v>
      </c>
      <c r="C8" s="325">
        <v>1.231560577539431E-2</v>
      </c>
      <c r="D8" s="325">
        <v>1.704179276251119E-2</v>
      </c>
      <c r="E8" s="325">
        <v>2.151912581086839E-3</v>
      </c>
      <c r="F8" s="325">
        <v>4.7794376436327958E-4</v>
      </c>
      <c r="G8" s="325">
        <v>2.3680240801823169E-2</v>
      </c>
      <c r="H8" s="325">
        <v>1.7992427661563538E-2</v>
      </c>
      <c r="I8" s="325">
        <v>4.9408013689642018E-2</v>
      </c>
      <c r="J8" s="325">
        <f>DASHBOARD!$D19</f>
        <v>7.6172960565064219E-3</v>
      </c>
      <c r="K8" s="326">
        <f t="shared" si="0"/>
        <v>1.6335654136611345E-2</v>
      </c>
    </row>
    <row r="9" spans="1:11">
      <c r="B9" s="324" t="s">
        <v>86</v>
      </c>
      <c r="C9" s="325">
        <v>1.922192181422332E-2</v>
      </c>
      <c r="D9" s="325">
        <v>9.9147288896923851E-3</v>
      </c>
      <c r="E9" s="325">
        <v>2.377379827016746E-2</v>
      </c>
      <c r="F9" s="325">
        <v>1.8483790969847289E-2</v>
      </c>
      <c r="G9" s="325">
        <v>1.3115185912499831E-2</v>
      </c>
      <c r="H9" s="325">
        <v>1.0983912172825129E-2</v>
      </c>
      <c r="I9" s="325">
        <v>1.825656958870563E-2</v>
      </c>
      <c r="J9" s="325">
        <f>DASHBOARD!$D23</f>
        <v>1.8911169979780231E-2</v>
      </c>
      <c r="K9" s="326">
        <f t="shared" si="0"/>
        <v>1.6582634699717658E-2</v>
      </c>
    </row>
    <row r="10" spans="1:11">
      <c r="B10" s="324" t="s">
        <v>85</v>
      </c>
      <c r="C10" s="325">
        <v>1.161452030926423E-2</v>
      </c>
      <c r="D10" s="325">
        <v>1.8999027463832421E-3</v>
      </c>
      <c r="E10" s="325">
        <v>1.8056087641457011E-2</v>
      </c>
      <c r="F10" s="325">
        <v>2.565176706676707E-2</v>
      </c>
      <c r="G10" s="325">
        <v>1.080607472319697E-2</v>
      </c>
      <c r="H10" s="325">
        <v>1.056541928430765E-2</v>
      </c>
      <c r="I10" s="325">
        <v>8.5772860851017398E-3</v>
      </c>
      <c r="J10" s="325">
        <f>DASHBOARD!$D21</f>
        <v>1.2720725118068243E-2</v>
      </c>
      <c r="K10" s="326">
        <f t="shared" si="0"/>
        <v>1.2486472871818269E-2</v>
      </c>
    </row>
    <row r="11" spans="1:11">
      <c r="B11" s="324" t="s">
        <v>79</v>
      </c>
      <c r="C11" s="325">
        <v>9.2300823649781941E-3</v>
      </c>
      <c r="D11" s="325">
        <v>1.5098564871919809E-3</v>
      </c>
      <c r="E11" s="325">
        <v>2.0498869602410982E-2</v>
      </c>
      <c r="F11" s="325">
        <v>2.038551025173542E-2</v>
      </c>
      <c r="G11" s="325">
        <v>8.5876090515472625E-3</v>
      </c>
      <c r="H11" s="325">
        <v>8.396359696138533E-3</v>
      </c>
      <c r="I11" s="325">
        <v>6.8163862927960849E-3</v>
      </c>
      <c r="J11" s="325">
        <f>DASHBOARD!$D22</f>
        <v>0</v>
      </c>
      <c r="K11" s="326">
        <f t="shared" si="0"/>
        <v>9.4280842183498068E-3</v>
      </c>
    </row>
    <row r="12" spans="1:11">
      <c r="B12" s="324" t="s">
        <v>88</v>
      </c>
      <c r="C12" s="325">
        <v>6.5533584791345172E-3</v>
      </c>
      <c r="D12" s="325">
        <v>1.9779169692313351E-3</v>
      </c>
      <c r="E12" s="325">
        <v>1.0187938192398259E-2</v>
      </c>
      <c r="F12" s="325">
        <v>1.447371227873215E-2</v>
      </c>
      <c r="G12" s="325">
        <v>8.7777956202935627E-3</v>
      </c>
      <c r="H12" s="325">
        <v>1.099925884588448E-2</v>
      </c>
      <c r="I12" s="325">
        <v>6.9673462529543364E-3</v>
      </c>
      <c r="J12" s="325">
        <f>DASHBOARD!$D25</f>
        <v>0</v>
      </c>
      <c r="K12" s="326">
        <f t="shared" si="0"/>
        <v>7.4921658298285803E-3</v>
      </c>
    </row>
    <row r="13" spans="1:11">
      <c r="B13" s="324" t="s">
        <v>78</v>
      </c>
      <c r="C13" s="325">
        <v>5.6032876411425811E-3</v>
      </c>
      <c r="D13" s="325">
        <v>7.1388143612083777E-3</v>
      </c>
      <c r="E13" s="325">
        <v>3.588972838294519E-3</v>
      </c>
      <c r="F13" s="325">
        <v>1.2354536560512991E-3</v>
      </c>
      <c r="G13" s="325">
        <v>5.9526300282157574E-3</v>
      </c>
      <c r="H13" s="325">
        <v>3.2608837197397019E-3</v>
      </c>
      <c r="I13" s="325">
        <v>9.0876062055557406E-3</v>
      </c>
      <c r="J13" s="325">
        <f>DASHBOARD!$D17</f>
        <v>4.1700390287707154E-3</v>
      </c>
      <c r="K13" s="326">
        <f t="shared" si="0"/>
        <v>5.0047109348723357E-3</v>
      </c>
    </row>
    <row r="14" spans="1:11">
      <c r="B14" s="324" t="s">
        <v>83</v>
      </c>
      <c r="C14" s="325">
        <v>6.8270724142450081E-3</v>
      </c>
      <c r="D14" s="325">
        <v>8.9249626721052237E-3</v>
      </c>
      <c r="E14" s="325">
        <v>4.3654879140863044E-3</v>
      </c>
      <c r="F14" s="325">
        <v>2.114576157347418E-3</v>
      </c>
      <c r="G14" s="325">
        <v>2.569946549297682E-3</v>
      </c>
      <c r="H14" s="325">
        <v>1.6184460100722E-3</v>
      </c>
      <c r="I14" s="325">
        <v>3.4117221850034898E-3</v>
      </c>
      <c r="J14" s="325">
        <f>DASHBOARD!$D20</f>
        <v>5.1660076888729424E-3</v>
      </c>
      <c r="K14" s="326">
        <f t="shared" si="0"/>
        <v>4.3747776988787828E-3</v>
      </c>
    </row>
    <row r="15" spans="1:11">
      <c r="B15" s="327" t="s">
        <v>101</v>
      </c>
      <c r="C15" s="328">
        <v>0.1030692530755898</v>
      </c>
      <c r="D15" s="328">
        <v>0.1020298718283065</v>
      </c>
      <c r="E15" s="328">
        <v>8.6095252330126132E-2</v>
      </c>
      <c r="F15" s="328">
        <v>9.5981777435254267E-2</v>
      </c>
      <c r="G15" s="328">
        <v>0.10920731640271331</v>
      </c>
      <c r="H15" s="328">
        <v>0.11683485041696549</v>
      </c>
      <c r="I15" s="328">
        <v>0.14637969240361809</v>
      </c>
      <c r="J15" s="328">
        <f>DASHBOARD!$C37</f>
        <v>9.8143342798341082E-2</v>
      </c>
      <c r="K15" s="329">
        <f t="shared" si="0"/>
        <v>0.10721766958636433</v>
      </c>
    </row>
    <row r="16" spans="1:11">
      <c r="B16" s="327" t="s">
        <v>98</v>
      </c>
      <c r="C16" s="328">
        <v>9.5377517771441336E-2</v>
      </c>
      <c r="D16" s="328">
        <v>0.1713266107151086</v>
      </c>
      <c r="E16" s="328">
        <v>7.1267736651048852E-2</v>
      </c>
      <c r="F16" s="328">
        <v>6.5913149813944527E-2</v>
      </c>
      <c r="G16" s="328">
        <v>9.4783708575939887E-2</v>
      </c>
      <c r="H16" s="328">
        <v>8.1590746368532779E-2</v>
      </c>
      <c r="I16" s="328">
        <v>0.10434664106537241</v>
      </c>
      <c r="J16" s="328">
        <f>DASHBOARD!$C34</f>
        <v>7.682980998462409E-2</v>
      </c>
      <c r="K16" s="329">
        <f t="shared" si="0"/>
        <v>9.5179490118251553E-2</v>
      </c>
    </row>
    <row r="17" spans="2:12">
      <c r="B17" s="327" t="s">
        <v>111</v>
      </c>
      <c r="C17" s="328">
        <v>8.1224724811808105E-2</v>
      </c>
      <c r="D17" s="328">
        <v>7.2987921963184474E-2</v>
      </c>
      <c r="E17" s="328">
        <v>6.88762018641009E-2</v>
      </c>
      <c r="F17" s="328">
        <v>7.7464938956594592E-2</v>
      </c>
      <c r="G17" s="328">
        <v>7.6651173022281818E-2</v>
      </c>
      <c r="H17" s="328">
        <v>8.3656334884191844E-2</v>
      </c>
      <c r="I17" s="328">
        <v>0.10401953560748731</v>
      </c>
      <c r="J17" s="328">
        <f>DASHBOARD!$C47</f>
        <v>7.8851647089482613E-2</v>
      </c>
      <c r="K17" s="329">
        <f t="shared" si="0"/>
        <v>8.046655977489145E-2</v>
      </c>
    </row>
    <row r="18" spans="2:12">
      <c r="B18" s="327" t="s">
        <v>110</v>
      </c>
      <c r="C18" s="328">
        <v>7.0148625973834269E-2</v>
      </c>
      <c r="D18" s="328">
        <v>7.020212341497134E-2</v>
      </c>
      <c r="E18" s="328">
        <v>6.0266676631088291E-2</v>
      </c>
      <c r="F18" s="328">
        <v>6.3195081780379803E-2</v>
      </c>
      <c r="G18" s="328">
        <v>6.0579152872448527E-2</v>
      </c>
      <c r="H18" s="328">
        <v>6.3516846856516027E-2</v>
      </c>
      <c r="I18" s="328">
        <v>5.6916349672021332E-2</v>
      </c>
      <c r="J18" s="328">
        <f>DASHBOARD!$C46</f>
        <v>6.2676950250614386E-2</v>
      </c>
      <c r="K18" s="329">
        <f t="shared" si="0"/>
        <v>6.3437725931484237E-2</v>
      </c>
    </row>
    <row r="19" spans="2:12">
      <c r="B19" s="327" t="s">
        <v>103</v>
      </c>
      <c r="C19" s="328">
        <v>1.576805737350441E-2</v>
      </c>
      <c r="D19" s="328">
        <v>1.2536093466959169E-2</v>
      </c>
      <c r="E19" s="328">
        <v>1.6740743508635639E-2</v>
      </c>
      <c r="F19" s="328">
        <v>2.038551025173542E-2</v>
      </c>
      <c r="G19" s="328">
        <v>1.699925208155444E-2</v>
      </c>
      <c r="H19" s="328">
        <v>2.065588515659058E-2</v>
      </c>
      <c r="I19" s="328">
        <v>1.594639107190253E-2</v>
      </c>
      <c r="J19" s="328">
        <f>DASHBOARD!$C39</f>
        <v>1.4742562222926772E-2</v>
      </c>
      <c r="K19" s="329">
        <f t="shared" si="0"/>
        <v>1.672181189172612E-2</v>
      </c>
    </row>
    <row r="20" spans="2:12">
      <c r="B20" s="327" t="s">
        <v>112</v>
      </c>
      <c r="C20" s="328">
        <v>7.3840658919825551E-3</v>
      </c>
      <c r="D20" s="328">
        <v>3.621538112677093E-3</v>
      </c>
      <c r="E20" s="328">
        <v>1.004444610518138E-2</v>
      </c>
      <c r="F20" s="328">
        <v>1.426985717621479E-2</v>
      </c>
      <c r="G20" s="328">
        <v>9.8904739383589447E-3</v>
      </c>
      <c r="H20" s="328">
        <v>1.2393531093954351E-2</v>
      </c>
      <c r="I20" s="328">
        <v>1.079448011021094E-2</v>
      </c>
      <c r="J20" s="328">
        <f>DASHBOARD!$C48</f>
        <v>8.0873484194341153E-3</v>
      </c>
      <c r="K20" s="329">
        <f t="shared" si="0"/>
        <v>9.5607176060017712E-3</v>
      </c>
    </row>
    <row r="21" spans="2:12">
      <c r="B21" s="327" t="s">
        <v>104</v>
      </c>
      <c r="C21" s="328">
        <v>5.3842147129039468E-3</v>
      </c>
      <c r="D21" s="328">
        <v>2.0893489111598611E-3</v>
      </c>
      <c r="E21" s="328">
        <v>7.1746043608438437E-3</v>
      </c>
      <c r="F21" s="328">
        <v>1.019275512586771E-2</v>
      </c>
      <c r="G21" s="328">
        <v>6.1815462114743393E-3</v>
      </c>
      <c r="H21" s="328">
        <v>7.7459569337214656E-3</v>
      </c>
      <c r="I21" s="328">
        <v>4.9065818682777007E-3</v>
      </c>
      <c r="J21" s="328">
        <f>DASHBOARD!$C40</f>
        <v>5.0545927621463219E-3</v>
      </c>
      <c r="K21" s="329">
        <f t="shared" si="0"/>
        <v>6.0912001107993989E-3</v>
      </c>
    </row>
    <row r="22" spans="2:12">
      <c r="B22" s="327" t="s">
        <v>99</v>
      </c>
      <c r="C22" s="328">
        <v>2.4613552973275182E-3</v>
      </c>
      <c r="D22" s="328">
        <v>9.285995160710494E-4</v>
      </c>
      <c r="E22" s="328">
        <v>3.8264556591167168E-3</v>
      </c>
      <c r="F22" s="328">
        <v>5.4361360671294446E-3</v>
      </c>
      <c r="G22" s="328">
        <v>3.2968246461196481E-3</v>
      </c>
      <c r="H22" s="328">
        <v>4.1311770313181154E-3</v>
      </c>
      <c r="I22" s="328">
        <v>2.6168436630814398E-3</v>
      </c>
      <c r="J22" s="328">
        <f>DASHBOARD!$C35</f>
        <v>2.6957828064780383E-3</v>
      </c>
      <c r="K22" s="329">
        <f t="shared" si="0"/>
        <v>3.1741468358302462E-3</v>
      </c>
    </row>
    <row r="23" spans="2:12">
      <c r="B23" s="327" t="s">
        <v>106</v>
      </c>
      <c r="C23" s="328">
        <v>2.3075205912445489E-3</v>
      </c>
      <c r="D23" s="328">
        <v>9.285995160710494E-4</v>
      </c>
      <c r="E23" s="328">
        <v>2.3915347869479481E-3</v>
      </c>
      <c r="F23" s="328">
        <v>3.397585041955903E-3</v>
      </c>
      <c r="G23" s="328">
        <v>2.0605154038247802E-3</v>
      </c>
      <c r="H23" s="328">
        <v>2.581985644573822E-3</v>
      </c>
      <c r="I23" s="328">
        <v>2.4532909341388499E-3</v>
      </c>
      <c r="J23" s="328">
        <f>DASHBOARD!$C42</f>
        <v>1.6848642540487739E-3</v>
      </c>
      <c r="K23" s="329">
        <f t="shared" si="0"/>
        <v>2.2257370216007093E-3</v>
      </c>
    </row>
    <row r="24" spans="2:12">
      <c r="B24" s="327" t="s">
        <v>113</v>
      </c>
      <c r="C24" s="328">
        <v>1.4806590460485849E-3</v>
      </c>
      <c r="D24" s="328">
        <v>4.4688851710919248E-4</v>
      </c>
      <c r="E24" s="328">
        <v>2.3018522324374001E-3</v>
      </c>
      <c r="F24" s="328">
        <v>3.270175602882557E-3</v>
      </c>
      <c r="G24" s="328">
        <v>1.9832460761813509E-3</v>
      </c>
      <c r="H24" s="328">
        <v>2.485161182902304E-3</v>
      </c>
      <c r="I24" s="328">
        <v>1.574195016072429E-3</v>
      </c>
      <c r="J24" s="328">
        <f>DASHBOARD!$C49</f>
        <v>1.6216818445219448E-3</v>
      </c>
      <c r="K24" s="329">
        <f t="shared" si="0"/>
        <v>1.8954824397694704E-3</v>
      </c>
    </row>
    <row r="25" spans="2:12">
      <c r="B25" s="327" t="s">
        <v>100</v>
      </c>
      <c r="C25" s="328">
        <v>0</v>
      </c>
      <c r="D25" s="328">
        <v>0</v>
      </c>
      <c r="E25" s="328">
        <v>0</v>
      </c>
      <c r="F25" s="328">
        <v>0</v>
      </c>
      <c r="G25" s="328">
        <v>0</v>
      </c>
      <c r="H25" s="328">
        <v>0</v>
      </c>
      <c r="I25" s="328">
        <v>0</v>
      </c>
      <c r="J25" s="328">
        <f>DASHBOARD!$C36</f>
        <v>0</v>
      </c>
      <c r="K25" s="329">
        <f t="shared" si="0"/>
        <v>0</v>
      </c>
    </row>
    <row r="26" spans="2:12">
      <c r="B26" s="327" t="s">
        <v>102</v>
      </c>
      <c r="C26" s="328">
        <v>0</v>
      </c>
      <c r="D26" s="328">
        <v>0</v>
      </c>
      <c r="E26" s="328">
        <v>0</v>
      </c>
      <c r="F26" s="328">
        <v>0</v>
      </c>
      <c r="G26" s="328">
        <v>0</v>
      </c>
      <c r="H26" s="328">
        <v>0</v>
      </c>
      <c r="I26" s="328">
        <v>0</v>
      </c>
      <c r="J26" s="328">
        <f>DASHBOARD!$C38</f>
        <v>0</v>
      </c>
      <c r="K26" s="329">
        <f t="shared" si="0"/>
        <v>0</v>
      </c>
    </row>
    <row r="27" spans="2:12">
      <c r="B27" s="327" t="s">
        <v>105</v>
      </c>
      <c r="C27" s="328">
        <v>0</v>
      </c>
      <c r="D27" s="328">
        <v>0</v>
      </c>
      <c r="E27" s="328">
        <v>0</v>
      </c>
      <c r="F27" s="328">
        <v>0</v>
      </c>
      <c r="G27" s="328">
        <v>0</v>
      </c>
      <c r="H27" s="328">
        <v>0</v>
      </c>
      <c r="I27" s="328">
        <v>0</v>
      </c>
      <c r="J27" s="328">
        <f>DASHBOARD!$C41</f>
        <v>0</v>
      </c>
      <c r="K27" s="329">
        <f t="shared" si="0"/>
        <v>0</v>
      </c>
    </row>
    <row r="28" spans="2:12">
      <c r="B28" s="327" t="s">
        <v>107</v>
      </c>
      <c r="C28" s="328">
        <v>0</v>
      </c>
      <c r="D28" s="328">
        <v>0</v>
      </c>
      <c r="E28" s="328">
        <v>0</v>
      </c>
      <c r="F28" s="328">
        <v>0</v>
      </c>
      <c r="G28" s="328">
        <v>0</v>
      </c>
      <c r="H28" s="328">
        <v>0</v>
      </c>
      <c r="I28" s="328">
        <v>0</v>
      </c>
      <c r="J28" s="328">
        <f>DASHBOARD!$C43</f>
        <v>0</v>
      </c>
      <c r="K28" s="329">
        <f t="shared" si="0"/>
        <v>0</v>
      </c>
    </row>
    <row r="29" spans="2:12">
      <c r="B29" s="327" t="s">
        <v>108</v>
      </c>
      <c r="C29" s="328">
        <v>0</v>
      </c>
      <c r="D29" s="328">
        <v>0</v>
      </c>
      <c r="E29" s="328">
        <v>0</v>
      </c>
      <c r="F29" s="328">
        <v>0</v>
      </c>
      <c r="G29" s="328">
        <v>0</v>
      </c>
      <c r="H29" s="328">
        <v>0</v>
      </c>
      <c r="I29" s="328">
        <v>0</v>
      </c>
      <c r="J29" s="328">
        <f>DASHBOARD!$C44</f>
        <v>0</v>
      </c>
      <c r="K29" s="329">
        <f t="shared" si="0"/>
        <v>0</v>
      </c>
    </row>
    <row r="30" spans="2:12">
      <c r="B30" s="327" t="s">
        <v>109</v>
      </c>
      <c r="C30" s="328">
        <v>0</v>
      </c>
      <c r="D30" s="328">
        <v>0</v>
      </c>
      <c r="E30" s="328">
        <v>0</v>
      </c>
      <c r="F30" s="328">
        <v>0</v>
      </c>
      <c r="G30" s="328">
        <v>0</v>
      </c>
      <c r="H30" s="328">
        <v>0</v>
      </c>
      <c r="I30" s="328">
        <v>0</v>
      </c>
      <c r="J30" s="328">
        <f>DASHBOARD!$C45</f>
        <v>0</v>
      </c>
      <c r="K30" s="329">
        <f t="shared" si="0"/>
        <v>0</v>
      </c>
    </row>
    <row r="31" spans="2:12">
      <c r="B31" s="330" t="s">
        <v>136</v>
      </c>
      <c r="C31" s="331">
        <v>0.1382974007685899</v>
      </c>
      <c r="D31" s="331">
        <v>4.174054824739367E-2</v>
      </c>
      <c r="E31" s="331">
        <v>0.21499897734662049</v>
      </c>
      <c r="F31" s="331">
        <v>0.28284895474282901</v>
      </c>
      <c r="G31" s="331">
        <v>0.18524033480384769</v>
      </c>
      <c r="H31" s="331">
        <v>0.2321205094471866</v>
      </c>
      <c r="I31" s="331">
        <v>0.1470339033193884</v>
      </c>
      <c r="J31" s="331">
        <f>DASHBOARD!$C$10</f>
        <v>0.15146929643898477</v>
      </c>
      <c r="K31" s="332">
        <f t="shared" si="0"/>
        <v>0.17421874063935508</v>
      </c>
      <c r="L31" s="319" t="s">
        <v>137</v>
      </c>
    </row>
    <row r="32" spans="2:12">
      <c r="B32" s="330" t="s">
        <v>138</v>
      </c>
      <c r="C32" s="331">
        <v>0.1348165828740506</v>
      </c>
      <c r="D32" s="331">
        <v>0.13220843775362409</v>
      </c>
      <c r="E32" s="331">
        <v>0.13899305510490939</v>
      </c>
      <c r="F32" s="331">
        <v>0.13847325006434549</v>
      </c>
      <c r="G32" s="331">
        <v>0.13272791038578291</v>
      </c>
      <c r="H32" s="331">
        <v>0.13278003157713639</v>
      </c>
      <c r="I32" s="331">
        <v>0.1306163246012412</v>
      </c>
      <c r="J32" s="331">
        <f>DASHBOARD!$G$61/DASHBOARD!$H$65</f>
        <v>0.13501377485057295</v>
      </c>
      <c r="K32" s="332">
        <f t="shared" si="0"/>
        <v>0.13445367090145788</v>
      </c>
    </row>
    <row r="33" spans="2:12">
      <c r="B33" s="113"/>
      <c r="C33" s="322">
        <f>SUM(Table5[1])</f>
        <v>0.99999999999999978</v>
      </c>
      <c r="D33" s="322">
        <f>SUM(Table5[2])</f>
        <v>0.99999999999999989</v>
      </c>
      <c r="E33" s="322">
        <f>SUM(Table5[3])</f>
        <v>1.0000000000000002</v>
      </c>
      <c r="F33" s="322">
        <f>SUM(Table5[4])</f>
        <v>0.99999999999999989</v>
      </c>
      <c r="G33" s="322">
        <f>SUM(Table5[5])</f>
        <v>1.0000000000000004</v>
      </c>
      <c r="H33" s="322">
        <f>SUM(Table5[6])</f>
        <v>1</v>
      </c>
      <c r="I33" s="322">
        <f>SUM(Table5[7])</f>
        <v>1</v>
      </c>
      <c r="J33" s="322">
        <f>SUM(Table5[8])</f>
        <v>1.0000000000000002</v>
      </c>
      <c r="K33" s="322">
        <f>SUM(Table5[Average contribution])</f>
        <v>0.99999999999999989</v>
      </c>
      <c r="L33" s="318"/>
    </row>
    <row r="34" spans="2:12">
      <c r="K34" s="333">
        <f>AVERAGE(Table5[Average contribution])</f>
        <v>3.3333333333333333E-2</v>
      </c>
      <c r="L34">
        <f>_xlfn.STDEV.P(Table5[Average contribution])</f>
        <v>4.4400560981803928E-2</v>
      </c>
    </row>
  </sheetData>
  <mergeCells count="1">
    <mergeCell ref="C1:J1"/>
  </mergeCells>
  <pageMargins left="0.7" right="0.7" top="0.75" bottom="0.75" header="0.3" footer="0.3"/>
  <pageSetup paperSize="9" orientation="portrait"/>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5"/>
    <pageSetUpPr fitToPage="1"/>
  </sheetPr>
  <dimension ref="A1:R100"/>
  <sheetViews>
    <sheetView topLeftCell="A6" zoomScale="85" zoomScaleNormal="85" workbookViewId="0">
      <selection activeCell="L97" sqref="L97"/>
    </sheetView>
  </sheetViews>
  <sheetFormatPr defaultColWidth="9" defaultRowHeight="14.5"/>
  <cols>
    <col min="1" max="1" width="19.26953125" style="357" customWidth="1"/>
    <col min="2" max="2" width="12.54296875" style="357" customWidth="1"/>
    <col min="3" max="3" width="14.90625" style="357" customWidth="1"/>
    <col min="4" max="4" width="13.26953125" style="357" customWidth="1"/>
    <col min="5" max="5" width="14.54296875" style="357" customWidth="1"/>
    <col min="6" max="6" width="15.08984375" style="357" customWidth="1"/>
    <col min="7" max="7" width="16.81640625" style="357" customWidth="1"/>
    <col min="8" max="8" width="12.453125" style="357" customWidth="1"/>
    <col min="9" max="9" width="16.08984375" style="357" customWidth="1"/>
    <col min="10" max="10" width="18.26953125" style="357" customWidth="1"/>
    <col min="11" max="11" width="12.81640625" style="357" customWidth="1"/>
    <col min="12" max="12" width="16.453125" style="357" customWidth="1"/>
    <col min="13" max="13" width="11.36328125" style="357" customWidth="1"/>
    <col min="14" max="14" width="13.6328125" style="357" customWidth="1"/>
    <col min="15" max="15" width="16" style="357" customWidth="1"/>
    <col min="16" max="16" width="12.36328125" style="357" customWidth="1"/>
    <col min="17" max="17" width="9.453125" style="357" customWidth="1"/>
    <col min="18" max="18" width="14.54296875" style="357" customWidth="1"/>
  </cols>
  <sheetData>
    <row r="1" spans="1:13" ht="23.5" customHeight="1">
      <c r="A1" s="522" t="s">
        <v>139</v>
      </c>
      <c r="B1" s="457"/>
      <c r="C1" s="457"/>
      <c r="D1" s="457"/>
      <c r="E1" s="457"/>
      <c r="F1" s="457"/>
      <c r="G1" s="457"/>
      <c r="H1" s="457"/>
      <c r="I1" s="457"/>
      <c r="J1" s="457"/>
      <c r="K1" s="457"/>
      <c r="L1" s="457"/>
      <c r="M1" s="457"/>
    </row>
    <row r="2" spans="1:13">
      <c r="A2" s="23" t="s">
        <v>140</v>
      </c>
      <c r="B2" s="374" t="s">
        <v>141</v>
      </c>
      <c r="C2" s="374"/>
    </row>
    <row r="3" spans="1:13">
      <c r="A3" t="s">
        <v>142</v>
      </c>
      <c r="B3">
        <f>'Input-Output'!F3</f>
        <v>564.86718601230632</v>
      </c>
    </row>
    <row r="4" spans="1:13">
      <c r="A4" t="s">
        <v>143</v>
      </c>
      <c r="B4">
        <f>'Input-Output'!F4</f>
        <v>514.86718601230632</v>
      </c>
    </row>
    <row r="5" spans="1:13">
      <c r="A5" t="s">
        <v>144</v>
      </c>
      <c r="B5">
        <f>'Input-Output'!F5</f>
        <v>412.77763404604082</v>
      </c>
    </row>
    <row r="7" spans="1:13" ht="18.5" customHeight="1">
      <c r="A7" s="516" t="s">
        <v>145</v>
      </c>
      <c r="B7" s="457"/>
      <c r="C7" s="457"/>
      <c r="D7" s="457"/>
      <c r="E7" s="457"/>
      <c r="F7" s="457"/>
      <c r="G7" s="457"/>
      <c r="H7" s="457"/>
      <c r="I7" s="457"/>
      <c r="J7" s="457"/>
      <c r="K7" s="457"/>
      <c r="L7" s="457"/>
      <c r="M7" s="457"/>
    </row>
    <row r="8" spans="1:13" ht="58" customHeight="1">
      <c r="A8" s="24" t="s">
        <v>146</v>
      </c>
      <c r="B8" s="25" t="s">
        <v>147</v>
      </c>
      <c r="C8" s="25" t="s">
        <v>148</v>
      </c>
      <c r="D8" s="26" t="s">
        <v>142</v>
      </c>
      <c r="E8" s="27" t="s">
        <v>149</v>
      </c>
      <c r="F8" s="26" t="s">
        <v>144</v>
      </c>
      <c r="G8" s="26" t="s">
        <v>150</v>
      </c>
      <c r="H8" s="27" t="s">
        <v>151</v>
      </c>
      <c r="I8" s="27" t="s">
        <v>152</v>
      </c>
      <c r="J8" s="27" t="s">
        <v>153</v>
      </c>
      <c r="K8" s="27" t="s">
        <v>154</v>
      </c>
      <c r="L8" s="48" t="s">
        <v>155</v>
      </c>
      <c r="M8" s="49" t="s">
        <v>156</v>
      </c>
    </row>
    <row r="9" spans="1:13">
      <c r="A9" s="28" t="s">
        <v>157</v>
      </c>
      <c r="B9" s="29" t="s">
        <v>158</v>
      </c>
      <c r="C9" s="30">
        <f>VLOOKUP(Table4[[#This Row],[Material]],Table1[[Various Tool Steel]:[Density(g/cc3)]],2,FALSE)</f>
        <v>7.8</v>
      </c>
      <c r="D9" s="31">
        <f>$D$14+60</f>
        <v>664.86718601230632</v>
      </c>
      <c r="E9" s="31">
        <f>$E$14+60</f>
        <v>614.86718601230632</v>
      </c>
      <c r="F9" s="368">
        <v>25</v>
      </c>
      <c r="G9" s="368">
        <f>Table4[[#This Row],[Length]]*Table4[[#This Row],[Width / Diameter]]*Table4[[#This Row],[Height]]/1000</f>
        <v>10220.125393382685</v>
      </c>
      <c r="H9" s="32">
        <f>Table4[[#This Row],[Volume(in cm3)]]*Table4[[#This Row],[Density(g/cm3)]]/1000</f>
        <v>79.716978068384932</v>
      </c>
      <c r="I9" s="32">
        <f>Table4[[#This Row],[Weight in Kg]]*1.1</f>
        <v>87.688675875223439</v>
      </c>
      <c r="J9" s="32">
        <v>1</v>
      </c>
      <c r="K9" s="32">
        <f>Table4[[#This Row],[Total Weight in Kg (10% Machining Allowance)]]*Table4[[#This Row],[QTY]]</f>
        <v>87.688675875223439</v>
      </c>
      <c r="L9" s="265">
        <f>VLOOKUP(Table4[[#This Row],[Material]],Table1[[Various Tool Steel]:[Price/Kg]],4,FALSE)</f>
        <v>128</v>
      </c>
      <c r="M9" s="50">
        <f>Table4[[#This Row],[Total weight]]*Table4[[#This Row],[Price/kg]]</f>
        <v>11224.1505120286</v>
      </c>
    </row>
    <row r="10" spans="1:13">
      <c r="A10" s="28" t="s">
        <v>159</v>
      </c>
      <c r="B10" s="29" t="s">
        <v>158</v>
      </c>
      <c r="C10" s="30">
        <f>VLOOKUP(Table4[[#This Row],[Material]],Table1[[Various Tool Steel]:[Density(g/cc3)]],2,FALSE)</f>
        <v>7.8</v>
      </c>
      <c r="D10" s="31">
        <f>D14+60</f>
        <v>664.86718601230632</v>
      </c>
      <c r="E10" s="31">
        <f>E14+60</f>
        <v>614.86718601230632</v>
      </c>
      <c r="F10" s="31">
        <f>F9</f>
        <v>25</v>
      </c>
      <c r="G10" s="31">
        <f>Table4[[#This Row],[Length]]*Table4[[#This Row],[Width / Diameter]]*Table4[[#This Row],[Height]]/1000</f>
        <v>10220.125393382685</v>
      </c>
      <c r="H10" s="32">
        <f>Table4[[#This Row],[Volume(in cm3)]]*Table4[[#This Row],[Density(g/cm3)]]/1000</f>
        <v>79.716978068384932</v>
      </c>
      <c r="I10" s="32">
        <f>Table4[[#This Row],[Weight in Kg]]*1.1</f>
        <v>87.688675875223439</v>
      </c>
      <c r="J10" s="32">
        <v>1</v>
      </c>
      <c r="K10" s="32">
        <f>Table4[[#This Row],[Total Weight in Kg (10% Machining Allowance)]]*Table4[[#This Row],[QTY]]</f>
        <v>87.688675875223439</v>
      </c>
      <c r="L10" s="265">
        <f>VLOOKUP(Table4[[#This Row],[Material]],Table1[[Various Tool Steel]:[Price/Kg]],4,FALSE)</f>
        <v>128</v>
      </c>
      <c r="M10" s="50">
        <f>Table4[[#This Row],[Total weight]]*Table4[[#This Row],[Price/kg]]</f>
        <v>11224.1505120286</v>
      </c>
    </row>
    <row r="11" spans="1:13">
      <c r="A11" s="28" t="s">
        <v>160</v>
      </c>
      <c r="B11" s="29" t="s">
        <v>158</v>
      </c>
      <c r="C11" s="30">
        <f>VLOOKUP(Table4[[#This Row],[Material]],Table1[[Various Tool Steel]:[Density(g/cc3)]],2,FALSE)</f>
        <v>7.8</v>
      </c>
      <c r="D11" s="31">
        <f>(D14-('Input-Output'!B2*2)+50)/2</f>
        <v>227.43359300615316</v>
      </c>
      <c r="E11" s="31">
        <f>E10</f>
        <v>614.86718601230632</v>
      </c>
      <c r="F11" s="31">
        <f>F12+F13+('Input-Output'!B4)+15</f>
        <v>114.46048382231237</v>
      </c>
      <c r="G11" s="31">
        <f>Table4[[#This Row],[Length]]*Table4[[#This Row],[Width / Diameter]]*Table4[[#This Row],[Height]]/1000</f>
        <v>16006.320407295259</v>
      </c>
      <c r="H11" s="31">
        <f>Table4[[#This Row],[Volume(in cm3)]]*Table4[[#This Row],[Density(g/cm3)]]/1000</f>
        <v>124.84929917690302</v>
      </c>
      <c r="I11" s="31">
        <f>Table4[[#This Row],[Weight in Kg]]*1.1</f>
        <v>137.33422909459333</v>
      </c>
      <c r="J11" s="32">
        <v>2</v>
      </c>
      <c r="K11" s="32">
        <f>Table4[[#This Row],[Total Weight in Kg (10% Machining Allowance)]]*Table4[[#This Row],[QTY]]</f>
        <v>274.66845818918665</v>
      </c>
      <c r="L11" s="265">
        <f>VLOOKUP(Table4[[#This Row],[Material]],Table1[[Various Tool Steel]:[Price/Kg]],4,FALSE)</f>
        <v>128</v>
      </c>
      <c r="M11" s="50">
        <f>Table4[[#This Row],[Total weight]]*Table4[[#This Row],[Price/kg]]</f>
        <v>35157.562648215891</v>
      </c>
    </row>
    <row r="12" spans="1:13">
      <c r="A12" s="28" t="s">
        <v>161</v>
      </c>
      <c r="B12" s="29" t="s">
        <v>158</v>
      </c>
      <c r="C12" s="30">
        <f>VLOOKUP(Table4[[#This Row],[Material]],Table1[[Various Tool Steel]:[Density(g/cc3)]],2,FALSE)</f>
        <v>7.8</v>
      </c>
      <c r="D12" s="368">
        <f>MAX(D15-(D11*2),0)</f>
        <v>150</v>
      </c>
      <c r="E12" s="31">
        <f>E14</f>
        <v>554.86718601230632</v>
      </c>
      <c r="F12" s="31">
        <f>F13+12</f>
        <v>30.730241911156188</v>
      </c>
      <c r="G12" s="31">
        <f>Table4[[#This Row],[Length]]*Table4[[#This Row],[Width / Diameter]]*Table4[[#This Row],[Height]]/1000</f>
        <v>2557.6804282081007</v>
      </c>
      <c r="H12" s="32">
        <f>Table4[[#This Row],[Volume(in cm3)]]*Table4[[#This Row],[Density(g/cm3)]]/1000</f>
        <v>19.949907340023188</v>
      </c>
      <c r="I12" s="32">
        <f>Table4[[#This Row],[Weight in Kg]]*1.1</f>
        <v>21.94489807402551</v>
      </c>
      <c r="J12" s="32">
        <v>1</v>
      </c>
      <c r="K12" s="32">
        <f>Table4[[#This Row],[Total Weight in Kg (10% Machining Allowance)]]*Table4[[#This Row],[QTY]]</f>
        <v>21.94489807402551</v>
      </c>
      <c r="L12" s="265">
        <f>VLOOKUP(Table4[[#This Row],[Material]],Table1[[Various Tool Steel]:[Price/Kg]],4,FALSE)</f>
        <v>128</v>
      </c>
      <c r="M12" s="50">
        <f>Table4[[#This Row],[Total weight]]*Table4[[#This Row],[Price/kg]]</f>
        <v>2808.9469534752652</v>
      </c>
    </row>
    <row r="13" spans="1:13">
      <c r="A13" s="28" t="s">
        <v>162</v>
      </c>
      <c r="B13" s="29" t="s">
        <v>158</v>
      </c>
      <c r="C13" s="30">
        <f>VLOOKUP(Table4[[#This Row],[Material]],Table1[[Various Tool Steel]:[Density(g/cc3)]],2,FALSE)</f>
        <v>7.8</v>
      </c>
      <c r="D13" s="368">
        <f>MAX(D15-(D11*2),0)</f>
        <v>150</v>
      </c>
      <c r="E13" s="31">
        <f>E14</f>
        <v>554.86718601230632</v>
      </c>
      <c r="F13" s="31">
        <f>'Core &amp; Ejector Plate'!C17*10</f>
        <v>18.730241911156188</v>
      </c>
      <c r="G13" s="31">
        <f>Table4[[#This Row],[Length]]*Table4[[#This Row],[Width / Diameter]]*Table4[[#This Row],[Height]]/1000</f>
        <v>1558.9194933859494</v>
      </c>
      <c r="H13" s="32">
        <f>Table4[[#This Row],[Volume(in cm3)]]*Table4[[#This Row],[Density(g/cm3)]]/1000</f>
        <v>12.159572048410405</v>
      </c>
      <c r="I13" s="32">
        <f>Table4[[#This Row],[Weight in Kg]]*1.1</f>
        <v>13.375529253251447</v>
      </c>
      <c r="J13" s="32">
        <v>1</v>
      </c>
      <c r="K13" s="32">
        <f>Table4[[#This Row],[Total Weight in Kg (10% Machining Allowance)]]*Table4[[#This Row],[QTY]]</f>
        <v>13.375529253251447</v>
      </c>
      <c r="L13" s="265">
        <f>VLOOKUP(Table4[[#This Row],[Material]],Table1[[Various Tool Steel]:[Price/Kg]],4,FALSE)</f>
        <v>128</v>
      </c>
      <c r="M13" s="50">
        <f>Table4[[#This Row],[Total weight]]*Table4[[#This Row],[Price/kg]]</f>
        <v>1712.0677444161852</v>
      </c>
    </row>
    <row r="14" spans="1:13">
      <c r="A14" s="28" t="s">
        <v>163</v>
      </c>
      <c r="B14" s="29" t="s">
        <v>164</v>
      </c>
      <c r="C14" s="30">
        <f>VLOOKUP(Table4[[#This Row],[Material]],Table1[[Various Tool Steel]:[Density(g/cc3)]],2,FALSE)</f>
        <v>7.8609999999999998</v>
      </c>
      <c r="D14" s="31">
        <f>B3+40</f>
        <v>604.86718601230632</v>
      </c>
      <c r="E14" s="31">
        <f>B4+40</f>
        <v>554.86718601230632</v>
      </c>
      <c r="F14" s="31">
        <f>'Core &amp; Ejector Plate'!D5*10+'Input-Output'!B4</f>
        <v>124.15857511186422</v>
      </c>
      <c r="G14" s="31">
        <f>Table4[[#This Row],[Length]]*Table4[[#This Row],[Width / Diameter]]*Table4[[#This Row],[Height]]/1000</f>
        <v>41670.219353546578</v>
      </c>
      <c r="H14" s="32">
        <f>Table4[[#This Row],[Volume(in cm3)]]*Table4[[#This Row],[Density(g/cm3)]]/1000</f>
        <v>327.56959433822965</v>
      </c>
      <c r="I14" s="32">
        <f>Table4[[#This Row],[Weight in Kg]]*1.1-I19</f>
        <v>335.79753820793758</v>
      </c>
      <c r="J14" s="32">
        <v>1</v>
      </c>
      <c r="K14" s="32">
        <f>Table4[[#This Row],[Total Weight in Kg (10% Machining Allowance)]]*Table4[[#This Row],[QTY]]</f>
        <v>335.79753820793758</v>
      </c>
      <c r="L14" s="265">
        <f>VLOOKUP(Table4[[#This Row],[Material]],Table1[[Various Tool Steel]:[Price/Kg]],4,FALSE)</f>
        <v>230</v>
      </c>
      <c r="M14" s="50">
        <f>Table4[[#This Row],[Total weight]]*Table4[[#This Row],[Price/kg]]</f>
        <v>77233.433787825648</v>
      </c>
    </row>
    <row r="15" spans="1:13">
      <c r="A15" s="28" t="s">
        <v>165</v>
      </c>
      <c r="B15" s="29" t="s">
        <v>164</v>
      </c>
      <c r="C15" s="30">
        <f>VLOOKUP(Table4[[#This Row],[Material]],Table1[[Various Tool Steel]:[Density(g/cc3)]],2,FALSE)</f>
        <v>7.8609999999999998</v>
      </c>
      <c r="D15" s="31">
        <f>B3+40</f>
        <v>604.86718601230632</v>
      </c>
      <c r="E15" s="31">
        <f>B4+40</f>
        <v>554.86718601230632</v>
      </c>
      <c r="F15" s="31">
        <f>'Core &amp; Ejector Plate'!D5*10+'Input-Output'!B4</f>
        <v>124.15857511186422</v>
      </c>
      <c r="G15" s="31">
        <f>Table4[[#This Row],[Length]]*Table4[[#This Row],[Width / Diameter]]*Table4[[#This Row],[Height]]/1000</f>
        <v>41670.219353546578</v>
      </c>
      <c r="H15" s="32">
        <f>Table4[[#This Row],[Volume(in cm3)]]*Table4[[#This Row],[Density(g/cm3)]]/1000</f>
        <v>327.56959433822965</v>
      </c>
      <c r="I15" s="32">
        <f>Table4[[#This Row],[Weight in Kg]]*1.1-I20</f>
        <v>348.06204598999511</v>
      </c>
      <c r="J15" s="32">
        <v>1</v>
      </c>
      <c r="K15" s="32">
        <f>Table4[[#This Row],[Total Weight in Kg (10% Machining Allowance)]]*Table4[[#This Row],[QTY]]</f>
        <v>348.06204598999511</v>
      </c>
      <c r="L15" s="265">
        <f>VLOOKUP(Table4[[#This Row],[Material]],Table1[[Various Tool Steel]:[Price/Kg]],4,FALSE)</f>
        <v>230</v>
      </c>
      <c r="M15" s="50">
        <f>Table4[[#This Row],[Total weight]]*Table4[[#This Row],[Price/kg]]</f>
        <v>80054.270577698873</v>
      </c>
    </row>
    <row r="16" spans="1:13">
      <c r="A16" s="28" t="s">
        <v>166</v>
      </c>
      <c r="B16" s="29" t="s">
        <v>158</v>
      </c>
      <c r="C16" s="30">
        <f>VLOOKUP(Table4[[#This Row],[Material]],Table1[[Various Tool Steel]:[Density(g/cc3)]],2,FALSE)</f>
        <v>7.8</v>
      </c>
      <c r="D16" s="31">
        <f>D14</f>
        <v>604.86718601230632</v>
      </c>
      <c r="E16" s="31">
        <f>E14</f>
        <v>554.86718601230632</v>
      </c>
      <c r="F16" s="31">
        <f>(F14+F15)*70%</f>
        <v>173.82200515660989</v>
      </c>
      <c r="G16" s="31">
        <f>Table4[[#This Row],[Length]]*Table4[[#This Row],[Width / Diameter]]*Table4[[#This Row],[Height]]/1000</f>
        <v>58338.307094965203</v>
      </c>
      <c r="H16" s="32">
        <f>Table4[[#This Row],[Volume(in cm3)]]*Table4[[#This Row],[Density(g/cm3)]]/1000</f>
        <v>455.0387953407286</v>
      </c>
      <c r="I16" s="32">
        <f>Table4[[#This Row],[Weight in Kg]]*1.1-I19</f>
        <v>476.01365931068642</v>
      </c>
      <c r="J16" s="32">
        <v>1</v>
      </c>
      <c r="K16" s="32">
        <f>Table4[[#This Row],[Total Weight in Kg (10% Machining Allowance)]]*Table4[[#This Row],[QTY]]</f>
        <v>476.01365931068642</v>
      </c>
      <c r="L16" s="265">
        <f>VLOOKUP(Table4[[#This Row],[Material]],Table1[[Various Tool Steel]:[Price/Kg]],4,FALSE)</f>
        <v>128</v>
      </c>
      <c r="M16" s="50">
        <f>Table4[[#This Row],[Total weight]]*Table4[[#This Row],[Price/kg]]</f>
        <v>60929.748391767862</v>
      </c>
    </row>
    <row r="17" spans="1:13">
      <c r="A17" s="33" t="s">
        <v>167</v>
      </c>
      <c r="B17" s="34" t="s">
        <v>168</v>
      </c>
      <c r="C17" s="35">
        <f>VLOOKUP(Table4[[#This Row],[Material]],Table1[[Various Tool Steel]:[Density(g/cc3)]],2,FALSE)</f>
        <v>1.5</v>
      </c>
      <c r="D17" s="409"/>
      <c r="E17" s="409"/>
      <c r="F17" s="409"/>
      <c r="G17" s="36">
        <f>IF('INJ. MOULDING ESTIMATION'!$C$16&lt;4,'Input-Output'!$B$8/1000*30,'Mould Costing'!$D$9*'Mould Costing'!$E$9*'Mould Costing'!$F$9/1000)</f>
        <v>1500</v>
      </c>
      <c r="H17" s="37">
        <f>Table4[[#This Row],[Volume(in cm3)]]*Table4[[#This Row],[Density(g/cm3)]]/1000</f>
        <v>2.25</v>
      </c>
      <c r="I17" s="37">
        <f>Table4[[#This Row],[Weight in Kg]]*1.1</f>
        <v>2.4750000000000001</v>
      </c>
      <c r="J17" s="37">
        <v>1</v>
      </c>
      <c r="K17" s="37">
        <f>Table4[[#This Row],[Total Weight in Kg (10% Machining Allowance)]]*Table4[[#This Row],[QTY]]</f>
        <v>2.4750000000000001</v>
      </c>
      <c r="L17" s="51">
        <f>VLOOKUP(Table4[[#This Row],[Material]],Table1[[Various Tool Steel]:[Price/Kg]],4,FALSE)</f>
        <v>1500</v>
      </c>
      <c r="M17" s="52">
        <f>Table4[[#This Row],[Total weight]]*Table4[[#This Row],[Price/kg]]</f>
        <v>3712.5</v>
      </c>
    </row>
    <row r="18" spans="1:13">
      <c r="A18" s="33" t="s">
        <v>169</v>
      </c>
      <c r="B18" s="34" t="s">
        <v>168</v>
      </c>
      <c r="C18" s="35">
        <f>VLOOKUP(Table4[[#This Row],[Material]],Table1[[Various Tool Steel]:[Density(g/cc3)]],2,FALSE)</f>
        <v>1.5</v>
      </c>
      <c r="D18" s="409"/>
      <c r="E18" s="409"/>
      <c r="F18" s="409"/>
      <c r="G18" s="36">
        <f>IF('INJ. MOULDING ESTIMATION'!$C$16&lt;4,'Input-Output'!$B$8/1000*10,'Mould Costing'!$D$9*'Mould Costing'!$E$9*'Mould Costing'!$F$9/1000)</f>
        <v>500</v>
      </c>
      <c r="H18" s="37">
        <f>Table4[[#This Row],[Volume(in cm3)]]*Table4[[#This Row],[Density(g/cm3)]]/1000</f>
        <v>0.75</v>
      </c>
      <c r="I18" s="37">
        <f>Table4[[#This Row],[Weight in Kg]]*1.1</f>
        <v>0.82500000000000007</v>
      </c>
      <c r="J18" s="37">
        <v>1</v>
      </c>
      <c r="K18" s="37">
        <f>Table4[[#This Row],[Total Weight in Kg (10% Machining Allowance)]]*Table4[[#This Row],[QTY]]</f>
        <v>0.82500000000000007</v>
      </c>
      <c r="L18" s="51">
        <f>VLOOKUP(Table4[[#This Row],[Material]],Table1[[Various Tool Steel]:[Price/Kg]],4,FALSE)</f>
        <v>1500</v>
      </c>
      <c r="M18" s="52">
        <f>Table4[[#This Row],[Total weight]]*Table4[[#This Row],[Price/kg]]</f>
        <v>1237.5</v>
      </c>
    </row>
    <row r="19" spans="1:13">
      <c r="A19" s="28" t="s">
        <v>170</v>
      </c>
      <c r="B19" s="29" t="s">
        <v>171</v>
      </c>
      <c r="C19" s="30">
        <f>VLOOKUP(Table4[[#This Row],[Material]],Table1[[Various Tool Steel]:[Density(g/cc3)]],2,FALSE)</f>
        <v>8.67</v>
      </c>
      <c r="D19" s="368"/>
      <c r="E19" s="31">
        <f>'Guide Pillar'!F10</f>
        <v>57.43359300615316</v>
      </c>
      <c r="F19" s="31">
        <f>F14+F15</f>
        <v>248.31715022372845</v>
      </c>
      <c r="G19" s="31">
        <f>3.14*Table4[[#This Row],[Width / Diameter]]^2*Table4[[#This Row],[Height]]/1000</f>
        <v>2571.9844357885177</v>
      </c>
      <c r="H19" s="32">
        <f>Table4[[#This Row],[Volume(in cm3)]]*Table4[[#This Row],[Density(g/cm3)]]/1000</f>
        <v>22.299105058286447</v>
      </c>
      <c r="I19" s="32">
        <f>Table4[[#This Row],[Weight in Kg]]*1.1</f>
        <v>24.529015564115092</v>
      </c>
      <c r="J19" s="32">
        <v>4</v>
      </c>
      <c r="K19" s="32">
        <f>Table4[[#This Row],[Total Weight in Kg (10% Machining Allowance)]]*Table4[[#This Row],[QTY]]</f>
        <v>98.116062256460367</v>
      </c>
      <c r="L19" s="265">
        <f>VLOOKUP(Table4[[#This Row],[Material]],Table1[[Various Tool Steel]:[Price/Kg]],4,FALSE)</f>
        <v>125</v>
      </c>
      <c r="M19" s="50">
        <f>Table4[[#This Row],[Total weight]]*Table4[[#This Row],[Price/kg]]</f>
        <v>12264.507782057546</v>
      </c>
    </row>
    <row r="20" spans="1:13">
      <c r="A20" s="28" t="s">
        <v>172</v>
      </c>
      <c r="B20" s="29" t="s">
        <v>171</v>
      </c>
      <c r="C20" s="30">
        <f>VLOOKUP(Table4[[#This Row],[Material]],Table1[[Various Tool Steel]:[Density(g/cc3)]],2,FALSE)</f>
        <v>8.67</v>
      </c>
      <c r="D20" s="368"/>
      <c r="E20" s="31">
        <f>'Guide Pillar'!F10</f>
        <v>57.43359300615316</v>
      </c>
      <c r="F20" s="31">
        <f>F15</f>
        <v>124.15857511186422</v>
      </c>
      <c r="G20" s="31">
        <f>3.14*Table4[[#This Row],[Width / Diameter]]^2*Table4[[#This Row],[Height]]/1000</f>
        <v>1285.9922178942588</v>
      </c>
      <c r="H20" s="32">
        <f>Table4[[#This Row],[Volume(in cm3)]]*Table4[[#This Row],[Density(g/cm3)]]/1000</f>
        <v>11.149552529143223</v>
      </c>
      <c r="I20" s="32">
        <f>Table4[[#This Row],[Weight in Kg]]*1.1</f>
        <v>12.264507782057546</v>
      </c>
      <c r="J20" s="32">
        <v>4</v>
      </c>
      <c r="K20" s="32">
        <f>Table4[[#This Row],[Total Weight in Kg (10% Machining Allowance)]]*Table4[[#This Row],[QTY]]</f>
        <v>49.058031128230184</v>
      </c>
      <c r="L20" s="265">
        <f>VLOOKUP(Table4[[#This Row],[Material]],Table1[[Various Tool Steel]:[Price/Kg]],4,FALSE)</f>
        <v>125</v>
      </c>
      <c r="M20" s="50">
        <f>Table4[[#This Row],[Total weight]]*Table4[[#This Row],[Price/kg]]</f>
        <v>6132.2538910287731</v>
      </c>
    </row>
    <row r="21" spans="1:13" ht="29" customHeight="1">
      <c r="A21" s="28" t="s">
        <v>173</v>
      </c>
      <c r="B21" s="29" t="s">
        <v>158</v>
      </c>
      <c r="C21" s="30">
        <f>VLOOKUP(Table4[[#This Row],[Material]],Table1[[Various Tool Steel]:[Density(g/cc3)]],2,FALSE)</f>
        <v>7.8</v>
      </c>
      <c r="D21" s="368"/>
      <c r="E21" s="368">
        <v>120</v>
      </c>
      <c r="F21" s="368">
        <v>12</v>
      </c>
      <c r="G21" s="31">
        <f>3.14*Table4[[#This Row],[Width / Diameter]]^2*Table4[[#This Row],[Height]]/1000</f>
        <v>542.59199999999998</v>
      </c>
      <c r="H21" s="32">
        <f>Table4[[#This Row],[Volume(in cm3)]]*Table4[[#This Row],[Density(g/cm3)]]/1000</f>
        <v>4.2322176000000002</v>
      </c>
      <c r="I21" s="32">
        <f>Table4[[#This Row],[Weight in Kg]]*1.1</f>
        <v>4.6554393600000008</v>
      </c>
      <c r="J21" s="32">
        <v>1</v>
      </c>
      <c r="K21" s="32">
        <f>Table4[[#This Row],[Total Weight in Kg (10% Machining Allowance)]]*Table4[[#This Row],[QTY]]</f>
        <v>4.6554393600000008</v>
      </c>
      <c r="L21" s="265">
        <f>VLOOKUP(Table4[[#This Row],[Material]],Table1[[Various Tool Steel]:[Price/Kg]],4,FALSE)</f>
        <v>128</v>
      </c>
      <c r="M21" s="50">
        <f>Table4[[#This Row],[Total weight]]*Table4[[#This Row],[Price/kg]]</f>
        <v>595.8962380800001</v>
      </c>
    </row>
    <row r="22" spans="1:13" ht="29" customHeight="1">
      <c r="D22">
        <f>2*'Input-Output'!B2+10%*2*'Input-Output'!B2</f>
        <v>220</v>
      </c>
      <c r="E22">
        <f>'Input-Output'!B3+10%*'Input-Output'!B3</f>
        <v>220</v>
      </c>
      <c r="F22">
        <f>'Input-Output'!B4+10%*'Input-Output'!B4</f>
        <v>55</v>
      </c>
      <c r="G22" s="38" t="s">
        <v>174</v>
      </c>
      <c r="H22" s="39">
        <f>SUM(H9:H20)</f>
        <v>1463.0193763067239</v>
      </c>
      <c r="I22" s="53">
        <f>SUM(Table4[Total Weight in Kg (10% Machining Allowance)])</f>
        <v>1552.6542143871086</v>
      </c>
      <c r="J22" s="265"/>
      <c r="K22" s="54">
        <f>SUM(Table4[Total weight])</f>
        <v>1800.3690135202198</v>
      </c>
      <c r="L22" s="55" t="s">
        <v>175</v>
      </c>
      <c r="M22" s="56">
        <f>INT(SUM(Table4[Total Price]))</f>
        <v>304286</v>
      </c>
    </row>
    <row r="23" spans="1:13">
      <c r="A23" s="356" t="s">
        <v>147</v>
      </c>
      <c r="B23" s="358" t="s">
        <v>176</v>
      </c>
      <c r="C23" s="354" t="s">
        <v>155</v>
      </c>
      <c r="D23" s="354" t="s">
        <v>156</v>
      </c>
    </row>
    <row r="24" spans="1:13">
      <c r="A24" s="28" t="s">
        <v>158</v>
      </c>
      <c r="B24" s="22">
        <f>(SUMIF($B$9:$B$21,VLOOKUP(Table3[[#This Row],[Material]],$B$9:$K$21,1,0),Table4[Total weight]))</f>
        <v>966.03533593759676</v>
      </c>
      <c r="C24">
        <f>VLOOKUP(Table3[[#This Row],[Material]],Table1[],4,FALSE)</f>
        <v>128</v>
      </c>
      <c r="D24">
        <f>Table3[[#This Row],[Total(in KG)]]*Table3[[#This Row],[Price/kg]]</f>
        <v>123652.52300001238</v>
      </c>
    </row>
    <row r="25" spans="1:13">
      <c r="A25" s="40" t="s">
        <v>177</v>
      </c>
      <c r="B25" s="22">
        <f>(SUMIF($B$9:$B$21,VLOOKUP(Table3[[#This Row],[Material]],$B$9:$K$21,1,0),Table4[Total weight]))</f>
        <v>0</v>
      </c>
      <c r="C25">
        <f>VLOOKUP(Table3[[#This Row],[Material]],Table1[],4,FALSE)</f>
        <v>255</v>
      </c>
      <c r="D25">
        <f>Table3[[#This Row],[Total(in KG)]]*Table3[[#This Row],[Price/kg]]</f>
        <v>0</v>
      </c>
    </row>
    <row r="26" spans="1:13">
      <c r="A26" s="40" t="s">
        <v>178</v>
      </c>
      <c r="B26" s="22">
        <f>(SUMIF($B$9:$B$21,VLOOKUP(Table3[[#This Row],[Material]],$B$9:$K$21,1,0),Table4[Total weight]))</f>
        <v>0</v>
      </c>
      <c r="C26">
        <f>VLOOKUP(Table3[[#This Row],[Material]],Table1[],4,FALSE)</f>
        <v>150</v>
      </c>
      <c r="D26">
        <f>Table3[[#This Row],[Total(in KG)]]*Table3[[#This Row],[Price/kg]]</f>
        <v>0</v>
      </c>
    </row>
    <row r="27" spans="1:13">
      <c r="A27" s="40" t="s">
        <v>171</v>
      </c>
      <c r="B27" s="22">
        <f>(SUMIF($B$9:$B$21,VLOOKUP(Table3[[#This Row],[Material]],$B$9:$K$21,1,0),Table4[Total weight]))</f>
        <v>147.17409338469054</v>
      </c>
      <c r="C27">
        <f>VLOOKUP(Table3[[#This Row],[Material]],Table1[],4,FALSE)</f>
        <v>125</v>
      </c>
      <c r="D27">
        <f>Table3[[#This Row],[Total(in KG)]]*Table3[[#This Row],[Price/kg]]</f>
        <v>18396.761673086316</v>
      </c>
    </row>
    <row r="28" spans="1:13">
      <c r="A28" s="40" t="s">
        <v>179</v>
      </c>
      <c r="B28" s="22">
        <f>(SUMIF($B$9:$B$21,VLOOKUP(Table3[[#This Row],[Material]],$B$9:$K$21,1,0),Table4[Total weight]))</f>
        <v>0</v>
      </c>
      <c r="C28">
        <f>VLOOKUP(Table3[[#This Row],[Material]],Table1[],4,FALSE)</f>
        <v>200</v>
      </c>
      <c r="D28">
        <f>Table3[[#This Row],[Total(in KG)]]*Table3[[#This Row],[Price/kg]]</f>
        <v>0</v>
      </c>
    </row>
    <row r="29" spans="1:13">
      <c r="A29" s="40" t="s">
        <v>180</v>
      </c>
      <c r="B29" s="22">
        <f>(SUMIF($B$9:$B$21,VLOOKUP(Table3[[#This Row],[Material]],$B$9:$K$21,1,0),Table4[Total weight]))</f>
        <v>0</v>
      </c>
      <c r="C29">
        <f>VLOOKUP(Table3[[#This Row],[Material]],Table1[],4,FALSE)</f>
        <v>590</v>
      </c>
      <c r="D29">
        <f>Table3[[#This Row],[Total(in KG)]]*Table3[[#This Row],[Price/kg]]</f>
        <v>0</v>
      </c>
    </row>
    <row r="30" spans="1:13">
      <c r="A30" s="40" t="s">
        <v>181</v>
      </c>
      <c r="B30" s="22">
        <f>(SUMIF($B$9:$B$21,VLOOKUP(Table3[[#This Row],[Material]],$B$9:$K$21,1,0),Table4[Total weight]))</f>
        <v>0</v>
      </c>
      <c r="C30">
        <f>VLOOKUP(Table3[[#This Row],[Material]],Table1[],4,FALSE)</f>
        <v>950</v>
      </c>
      <c r="D30">
        <f>Table3[[#This Row],[Total(in KG)]]*Table3[[#This Row],[Price/kg]]</f>
        <v>0</v>
      </c>
    </row>
    <row r="31" spans="1:13">
      <c r="A31" s="40" t="s">
        <v>182</v>
      </c>
      <c r="B31" s="22">
        <f>(SUMIF($B$9:$B$21,VLOOKUP(Table3[[#This Row],[Material]],$B$9:$K$21,1,0),Table4[Total weight]))</f>
        <v>0</v>
      </c>
      <c r="C31">
        <f>VLOOKUP(Table3[[#This Row],[Material]],Table1[],4,FALSE)</f>
        <v>100</v>
      </c>
      <c r="D31">
        <f>Table3[[#This Row],[Total(in KG)]]*Table3[[#This Row],[Price/kg]]</f>
        <v>0</v>
      </c>
    </row>
    <row r="32" spans="1:13">
      <c r="A32" s="41" t="str">
        <f>B18</f>
        <v>Graphite</v>
      </c>
      <c r="B32" s="42">
        <f>(SUMIF($B$9:$B$21,VLOOKUP(Table3[[#This Row],[Material]],$B$9:$K$21,1,0),Table4[Total weight]))</f>
        <v>3.3000000000000003</v>
      </c>
      <c r="C32">
        <f>VLOOKUP(Table3[[#This Row],[Material]],Table1[],4,FALSE)</f>
        <v>1500</v>
      </c>
      <c r="D32">
        <f>Table3[[#This Row],[Total(in KG)]]*Table3[[#This Row],[Price/kg]]</f>
        <v>4950</v>
      </c>
    </row>
    <row r="33" spans="1:11">
      <c r="A33" s="43" t="s">
        <v>164</v>
      </c>
      <c r="B33" s="22">
        <f>(SUMIF($B$9:$B$21,VLOOKUP(Table3[[#This Row],[Material]],$B$9:$K$21,1,0),Table4[Total weight]))</f>
        <v>683.85958419793269</v>
      </c>
      <c r="C33">
        <f>VLOOKUP(Table3[[#This Row],[Material]],Table1[],4,FALSE)</f>
        <v>230</v>
      </c>
      <c r="D33">
        <f>Table3[[#This Row],[Total(in KG)]]*Table3[[#This Row],[Price/kg]]</f>
        <v>157287.70436552452</v>
      </c>
    </row>
    <row r="34" spans="1:11">
      <c r="A34" s="43"/>
      <c r="B34" s="44">
        <f>SUM(B24:B33)</f>
        <v>1800.3690135202198</v>
      </c>
      <c r="C34" s="362"/>
      <c r="D34" s="213">
        <f>INT(SUM(Table3[Total Price]))</f>
        <v>304286</v>
      </c>
      <c r="E34" s="45" t="s">
        <v>183</v>
      </c>
    </row>
    <row r="41" spans="1:11">
      <c r="A41" s="524" t="s">
        <v>184</v>
      </c>
      <c r="B41" s="439"/>
      <c r="C41" s="439"/>
      <c r="D41" s="439"/>
      <c r="E41" s="440"/>
      <c r="F41" s="524" t="s">
        <v>185</v>
      </c>
      <c r="G41" s="440"/>
      <c r="H41" s="370" t="s">
        <v>153</v>
      </c>
      <c r="I41" s="525" t="s">
        <v>186</v>
      </c>
      <c r="J41" s="440"/>
      <c r="K41" s="57" t="s">
        <v>187</v>
      </c>
    </row>
    <row r="42" spans="1:11">
      <c r="A42" s="46" t="s">
        <v>188</v>
      </c>
      <c r="B42" s="41"/>
      <c r="C42" s="521"/>
      <c r="D42" s="439"/>
      <c r="E42" s="440"/>
      <c r="F42" s="515"/>
      <c r="G42" s="440"/>
      <c r="H42" s="368">
        <v>1</v>
      </c>
      <c r="I42" s="517">
        <v>6000</v>
      </c>
      <c r="J42" s="440"/>
      <c r="K42" s="368">
        <f t="shared" ref="K42:K49" si="0">I42*H42</f>
        <v>6000</v>
      </c>
    </row>
    <row r="43" spans="1:11">
      <c r="A43" s="46" t="s">
        <v>189</v>
      </c>
      <c r="B43" s="41"/>
      <c r="C43" s="521" t="s">
        <v>190</v>
      </c>
      <c r="D43" s="439"/>
      <c r="E43" s="440"/>
      <c r="F43" s="515"/>
      <c r="G43" s="440"/>
      <c r="H43" s="368">
        <v>8</v>
      </c>
      <c r="I43" s="517">
        <v>50</v>
      </c>
      <c r="J43" s="440"/>
      <c r="K43" s="368">
        <f t="shared" si="0"/>
        <v>400</v>
      </c>
    </row>
    <row r="44" spans="1:11">
      <c r="A44" s="46" t="s">
        <v>191</v>
      </c>
      <c r="B44" s="41"/>
      <c r="C44" s="521" t="s">
        <v>190</v>
      </c>
      <c r="D44" s="439"/>
      <c r="E44" s="440"/>
      <c r="F44" s="515"/>
      <c r="G44" s="440"/>
      <c r="H44" s="368">
        <v>6</v>
      </c>
      <c r="I44" s="517">
        <v>50</v>
      </c>
      <c r="J44" s="440"/>
      <c r="K44" s="368">
        <f t="shared" si="0"/>
        <v>300</v>
      </c>
    </row>
    <row r="45" spans="1:11">
      <c r="A45" s="366" t="s">
        <v>192</v>
      </c>
      <c r="B45" s="338"/>
      <c r="C45" s="515"/>
      <c r="D45" s="439"/>
      <c r="E45" s="440"/>
      <c r="F45" s="515"/>
      <c r="G45" s="440"/>
      <c r="H45" s="368">
        <v>6</v>
      </c>
      <c r="I45" s="517">
        <v>500</v>
      </c>
      <c r="J45" s="440"/>
      <c r="K45" s="368">
        <f t="shared" si="0"/>
        <v>3000</v>
      </c>
    </row>
    <row r="46" spans="1:11">
      <c r="A46" s="366" t="s">
        <v>193</v>
      </c>
      <c r="B46" s="338"/>
      <c r="C46" s="515"/>
      <c r="D46" s="439"/>
      <c r="E46" s="440"/>
      <c r="F46" s="515"/>
      <c r="G46" s="440"/>
      <c r="H46" s="368">
        <v>6</v>
      </c>
      <c r="I46" s="517">
        <v>600</v>
      </c>
      <c r="J46" s="440"/>
      <c r="K46" s="368">
        <f t="shared" si="0"/>
        <v>3600</v>
      </c>
    </row>
    <row r="47" spans="1:11">
      <c r="A47" s="46" t="s">
        <v>194</v>
      </c>
      <c r="B47" s="41"/>
      <c r="C47" s="515"/>
      <c r="D47" s="439"/>
      <c r="E47" s="440"/>
      <c r="F47" s="515"/>
      <c r="G47" s="440"/>
      <c r="H47" s="368">
        <v>4</v>
      </c>
      <c r="I47" s="517">
        <v>150</v>
      </c>
      <c r="J47" s="440"/>
      <c r="K47" s="368">
        <f t="shared" si="0"/>
        <v>600</v>
      </c>
    </row>
    <row r="48" spans="1:11">
      <c r="A48" s="46" t="s">
        <v>195</v>
      </c>
      <c r="B48" s="41"/>
      <c r="C48" s="521"/>
      <c r="D48" s="439"/>
      <c r="E48" s="440"/>
      <c r="F48" s="515"/>
      <c r="G48" s="440"/>
      <c r="H48" s="368">
        <v>6</v>
      </c>
      <c r="I48" s="517">
        <v>200</v>
      </c>
      <c r="J48" s="440"/>
      <c r="K48" s="368">
        <f t="shared" si="0"/>
        <v>1200</v>
      </c>
    </row>
    <row r="49" spans="1:14">
      <c r="A49" s="46" t="s">
        <v>196</v>
      </c>
      <c r="B49" s="41"/>
      <c r="C49" s="521"/>
      <c r="D49" s="439"/>
      <c r="E49" s="440"/>
      <c r="F49" s="515"/>
      <c r="G49" s="440"/>
      <c r="H49" s="368"/>
      <c r="I49" s="517"/>
      <c r="J49" s="440"/>
      <c r="K49" s="368">
        <f t="shared" si="0"/>
        <v>0</v>
      </c>
    </row>
    <row r="50" spans="1:14">
      <c r="A50" s="523"/>
      <c r="B50" s="463"/>
      <c r="C50" s="463"/>
      <c r="D50" s="463"/>
      <c r="E50" s="463"/>
      <c r="F50" s="463"/>
      <c r="G50" s="463"/>
      <c r="H50" s="463"/>
      <c r="I50" s="463"/>
      <c r="J50" t="s">
        <v>197</v>
      </c>
      <c r="K50" s="58">
        <f>IF('INJ. MOULDING ESTIMATION'!C16&lt;1,SUM(K42:K49)*COMPLEXITY!B2,SUM(K42:K49))</f>
        <v>15100</v>
      </c>
    </row>
    <row r="51" spans="1:14">
      <c r="A51" s="460"/>
      <c r="B51" s="460"/>
      <c r="C51" s="460"/>
      <c r="D51" s="460"/>
      <c r="E51" s="460"/>
      <c r="F51" s="460"/>
      <c r="G51" s="460"/>
      <c r="H51" s="460"/>
      <c r="I51" s="460"/>
      <c r="J51" s="55" t="s">
        <v>198</v>
      </c>
      <c r="K51" s="59">
        <f>K50+M22</f>
        <v>319386</v>
      </c>
    </row>
    <row r="52" spans="1:14" ht="18.5" customHeight="1">
      <c r="A52" s="519" t="s">
        <v>199</v>
      </c>
      <c r="B52" s="439"/>
      <c r="C52" s="439"/>
      <c r="D52" s="439"/>
      <c r="E52" s="439"/>
      <c r="F52" s="439"/>
      <c r="G52" s="439"/>
      <c r="H52" s="439"/>
      <c r="I52" s="439"/>
      <c r="J52" s="439"/>
      <c r="K52" s="440"/>
      <c r="N52">
        <f>IF('Input-Output'!B5&lt;20000,20000,IF('Input-Output'!B5&lt;40000,40000,IF('Input-Output'!B5&lt;60000,60000,80000)))</f>
        <v>80000</v>
      </c>
    </row>
    <row r="53" spans="1:14" ht="29" customHeight="1">
      <c r="A53" s="520" t="s">
        <v>146</v>
      </c>
      <c r="B53" s="439"/>
      <c r="C53" s="439"/>
      <c r="D53" s="439"/>
      <c r="E53" s="440"/>
      <c r="F53" s="529" t="s">
        <v>200</v>
      </c>
      <c r="G53" s="440"/>
      <c r="H53" s="340"/>
      <c r="I53" s="369" t="s">
        <v>201</v>
      </c>
      <c r="J53" s="369" t="s">
        <v>202</v>
      </c>
      <c r="K53" s="369" t="s">
        <v>203</v>
      </c>
      <c r="M53" s="212" t="s">
        <v>204</v>
      </c>
      <c r="N53">
        <f>VLOOKUP(N52,M54:N57,2,FALSE)</f>
        <v>1.2</v>
      </c>
    </row>
    <row r="54" spans="1:14">
      <c r="A54" s="521" t="s">
        <v>136</v>
      </c>
      <c r="B54" s="439"/>
      <c r="C54" s="439"/>
      <c r="D54" s="439"/>
      <c r="E54" s="440"/>
      <c r="F54" s="515" t="s">
        <v>205</v>
      </c>
      <c r="G54" s="440"/>
      <c r="H54" s="339"/>
      <c r="I54" s="368">
        <f>50*VLOOKUP('INJ. MOULDING ESTIMATION'!C16,COMPLEXITY!A1:B7,2,TRUE)</f>
        <v>50</v>
      </c>
      <c r="J54" s="368">
        <v>800</v>
      </c>
      <c r="K54" s="368">
        <f>J54*I54*N53</f>
        <v>48000</v>
      </c>
      <c r="M54">
        <v>20000</v>
      </c>
      <c r="N54">
        <v>0.6</v>
      </c>
    </row>
    <row r="55" spans="1:14">
      <c r="A55" s="521" t="s">
        <v>206</v>
      </c>
      <c r="B55" s="439"/>
      <c r="C55" s="439"/>
      <c r="D55" s="439"/>
      <c r="E55" s="440"/>
      <c r="F55" s="515" t="s">
        <v>205</v>
      </c>
      <c r="G55" s="440"/>
      <c r="H55" s="339"/>
      <c r="I55" s="368">
        <f>30*VLOOKUP('INJ. MOULDING ESTIMATION'!C16,COMPLEXITY!A1:B7,2,TRUE)</f>
        <v>30</v>
      </c>
      <c r="J55" s="368">
        <v>350</v>
      </c>
      <c r="K55" s="368">
        <f>J55*I55*N53</f>
        <v>12600</v>
      </c>
      <c r="M55">
        <v>40000</v>
      </c>
      <c r="N55">
        <v>0.8</v>
      </c>
    </row>
    <row r="56" spans="1:14">
      <c r="A56" s="521" t="s">
        <v>207</v>
      </c>
      <c r="B56" s="439"/>
      <c r="C56" s="439"/>
      <c r="D56" s="439"/>
      <c r="E56" s="440"/>
      <c r="F56" s="515" t="s">
        <v>205</v>
      </c>
      <c r="G56" s="440"/>
      <c r="H56" s="339" t="b">
        <f>Website!B8</f>
        <v>1</v>
      </c>
      <c r="I56" s="368">
        <f>1*VLOOKUP('INJ. MOULDING ESTIMATION'!C16,COMPLEXITY!A1:B7,2,TRUE)</f>
        <v>1</v>
      </c>
      <c r="J56" s="368">
        <v>40000</v>
      </c>
      <c r="K56" s="368">
        <f>IF(H56,J56*I56,0)</f>
        <v>40000</v>
      </c>
      <c r="M56">
        <v>60000</v>
      </c>
      <c r="N56">
        <v>1</v>
      </c>
    </row>
    <row r="57" spans="1:14">
      <c r="A57" s="521" t="s">
        <v>208</v>
      </c>
      <c r="B57" s="439"/>
      <c r="C57" s="439"/>
      <c r="D57" s="439"/>
      <c r="E57" s="440"/>
      <c r="F57" s="515" t="s">
        <v>205</v>
      </c>
      <c r="G57" s="440"/>
      <c r="H57" s="339"/>
      <c r="I57" s="368">
        <f>1*VLOOKUP('INJ. MOULDING ESTIMATION'!C16,COMPLEXITY!A2:B7,2,TRUE)</f>
        <v>1</v>
      </c>
      <c r="J57" s="368">
        <v>10000</v>
      </c>
      <c r="K57" s="368">
        <f>I57*J57</f>
        <v>10000</v>
      </c>
      <c r="M57">
        <v>80000</v>
      </c>
      <c r="N57">
        <v>1.2</v>
      </c>
    </row>
    <row r="58" spans="1:14">
      <c r="A58" s="521" t="s">
        <v>209</v>
      </c>
      <c r="B58" s="439"/>
      <c r="C58" s="439"/>
      <c r="D58" s="439"/>
      <c r="E58" s="440"/>
      <c r="F58" s="515" t="s">
        <v>205</v>
      </c>
      <c r="G58" s="440"/>
      <c r="H58" s="339"/>
      <c r="I58" s="368">
        <f>20*VLOOKUP('INJ. MOULDING ESTIMATION'!C16,COMPLEXITY!A1:B7,2,TRUE)</f>
        <v>20</v>
      </c>
      <c r="J58" s="368">
        <v>800</v>
      </c>
      <c r="K58" s="368">
        <f>J58*I58*N53</f>
        <v>19200</v>
      </c>
    </row>
    <row r="59" spans="1:14">
      <c r="A59" s="521" t="s">
        <v>210</v>
      </c>
      <c r="B59" s="439"/>
      <c r="C59" s="439"/>
      <c r="D59" s="439"/>
      <c r="E59" s="440"/>
      <c r="F59" s="515" t="s">
        <v>205</v>
      </c>
      <c r="G59" s="440"/>
      <c r="H59" s="339"/>
      <c r="I59" s="316">
        <f>50*VLOOKUP('INJ. MOULDING ESTIMATION'!C16,COMPLEXITY!A2:B7,2,TRUE)</f>
        <v>50</v>
      </c>
      <c r="J59" s="368">
        <v>1000</v>
      </c>
      <c r="K59" s="368">
        <f>I59*J59</f>
        <v>50000</v>
      </c>
    </row>
    <row r="60" spans="1:14">
      <c r="J60" s="55" t="s">
        <v>211</v>
      </c>
      <c r="K60" s="60">
        <f>SUM(K54:K59)</f>
        <v>179800</v>
      </c>
    </row>
    <row r="63" spans="1:14">
      <c r="C63" s="530" t="s">
        <v>212</v>
      </c>
      <c r="D63" s="439"/>
      <c r="E63" s="440"/>
      <c r="F63" s="47">
        <f>SUM(M22+K50+K60)</f>
        <v>499186</v>
      </c>
    </row>
    <row r="65" spans="1:18" ht="18.5" customHeight="1">
      <c r="A65" s="519" t="s">
        <v>213</v>
      </c>
      <c r="B65" s="439"/>
      <c r="C65" s="439"/>
      <c r="D65" s="439"/>
      <c r="E65" s="439"/>
      <c r="F65" s="439"/>
      <c r="G65" s="439"/>
      <c r="H65" s="439"/>
      <c r="I65" s="439"/>
      <c r="J65" s="439"/>
      <c r="K65" s="439"/>
      <c r="L65" s="439"/>
      <c r="M65" s="439"/>
      <c r="N65" s="439"/>
      <c r="O65" s="439"/>
      <c r="P65" s="440"/>
    </row>
    <row r="66" spans="1:18" ht="43.5" customHeight="1">
      <c r="B66" s="369" t="s">
        <v>98</v>
      </c>
      <c r="C66" s="369" t="s">
        <v>99</v>
      </c>
      <c r="D66" s="369" t="s">
        <v>100</v>
      </c>
      <c r="E66" s="369" t="s">
        <v>101</v>
      </c>
      <c r="F66" s="369" t="s">
        <v>102</v>
      </c>
      <c r="G66" s="369" t="s">
        <v>103</v>
      </c>
      <c r="H66" s="369" t="s">
        <v>104</v>
      </c>
      <c r="I66" s="369" t="s">
        <v>105</v>
      </c>
      <c r="J66" s="369" t="s">
        <v>106</v>
      </c>
      <c r="K66" s="369" t="s">
        <v>107</v>
      </c>
      <c r="L66" s="369" t="s">
        <v>108</v>
      </c>
      <c r="M66" s="369" t="s">
        <v>109</v>
      </c>
      <c r="N66" s="369" t="s">
        <v>110</v>
      </c>
      <c r="O66" s="369" t="s">
        <v>111</v>
      </c>
      <c r="P66" s="369" t="s">
        <v>112</v>
      </c>
      <c r="Q66" s="369" t="s">
        <v>113</v>
      </c>
    </row>
    <row r="67" spans="1:18">
      <c r="A67" t="s">
        <v>157</v>
      </c>
      <c r="B67" s="410">
        <f>SUMIF('Machining Time'!$C$4:$C$18,'Mould Costing'!B66,'Machining Time'!$L$4:$L$18)</f>
        <v>27</v>
      </c>
      <c r="C67" s="410">
        <f>SUMIF('Machining Time'!$C$4:$C$18,'Mould Costing'!C66,'Machining Time'!$L$4:$L$18)</f>
        <v>0</v>
      </c>
      <c r="D67" s="410">
        <f>SUMIF('Machining Time'!$C$4:$C$18,'Mould Costing'!D66,'Machining Time'!$L$4:$L$18)</f>
        <v>0</v>
      </c>
      <c r="E67" s="410">
        <f>SUMIF('Machining Time'!$C$4:$C$18,'Mould Costing'!E66,'Machining Time'!$L$4:$L$18)</f>
        <v>44</v>
      </c>
      <c r="F67" s="410">
        <f>SUMIF('Machining Time'!$C$4:$C$18,'Mould Costing'!F66,'Machining Time'!$L$4:$L$18)</f>
        <v>0</v>
      </c>
      <c r="G67" s="410">
        <f>SUMIF('Machining Time'!$C$4:$C$18,'Mould Costing'!G66,'Machining Time'!$L$4:$L$18)</f>
        <v>9</v>
      </c>
      <c r="H67" s="410">
        <f>SUMIF('Machining Time'!$C$4:$C$18,'Mould Costing'!H66,'Machining Time'!$L$4:$L$18)</f>
        <v>2</v>
      </c>
      <c r="I67" s="410">
        <f>SUMIF('Machining Time'!$C$4:$C$18,'Mould Costing'!I66,'Machining Time'!$L$4:$L$18)</f>
        <v>0</v>
      </c>
      <c r="J67" s="410">
        <f>SUMIF('Machining Time'!$C$4:$C$18,'Mould Costing'!J66,'Machining Time'!$L$4:$L$18)</f>
        <v>0</v>
      </c>
      <c r="K67" s="410">
        <f>SUMIF('Machining Time'!$C$4:$C$18,'Mould Costing'!K66,'Machining Time'!$L$4:$L$18)</f>
        <v>0</v>
      </c>
      <c r="L67" s="410">
        <f>SUMIF('Machining Time'!$C$4:$C$18,'Mould Costing'!L66,'Machining Time'!$L$4:$L$18)</f>
        <v>0</v>
      </c>
      <c r="M67" s="410">
        <f>SUMIF('Machining Time'!$C$4:$C$18,'Mould Costing'!M66,'Machining Time'!$L$4:$L$18)</f>
        <v>0</v>
      </c>
      <c r="N67" s="410">
        <f>SUMIF('Machining Time'!$C$4:$C$18,'Mould Costing'!N66,'Machining Time'!$L$4:$L$18)</f>
        <v>0</v>
      </c>
      <c r="O67" s="410">
        <f>SUMIF('Machining Time'!$C$4:$C$18,'Mould Costing'!O66,'Machining Time'!$L$4:$L$18)</f>
        <v>0</v>
      </c>
      <c r="P67" s="410">
        <f>SUMIF('Machining Time'!$C$4:$C$18,'Mould Costing'!P66,'Machining Time'!$L$4:$L$18)</f>
        <v>0</v>
      </c>
      <c r="Q67" s="411">
        <v>4</v>
      </c>
    </row>
    <row r="68" spans="1:18">
      <c r="A68" t="s">
        <v>159</v>
      </c>
      <c r="B68" s="410">
        <f>SUMIF('Machining Time'!$C$23:$C$37,'Mould Costing'!B$66,'Machining Time'!$L$23:$L$37)</f>
        <v>27</v>
      </c>
      <c r="C68" s="410">
        <f>SUMIF('Machining Time'!$C$23:$C$37,'Mould Costing'!C66,'Machining Time'!$L$23:$L$37)</f>
        <v>0</v>
      </c>
      <c r="D68" s="410">
        <f>SUMIF('Machining Time'!$C$23:$C$37,'Mould Costing'!D66,'Machining Time'!$L$23:$L$37)</f>
        <v>0</v>
      </c>
      <c r="E68" s="410">
        <f>SUMIF('Machining Time'!$C$23:$C$37,'Mould Costing'!E66,'Machining Time'!$L$23:$L$37)</f>
        <v>44</v>
      </c>
      <c r="F68" s="410">
        <f>SUMIF('Machining Time'!$C$23:$C$37,'Mould Costing'!F66,'Machining Time'!$L$23:$L$37)</f>
        <v>0</v>
      </c>
      <c r="G68" s="410">
        <f>SUMIF('Machining Time'!$C$23:$C$37,'Mould Costing'!G66,'Machining Time'!$L$23:$L$37)</f>
        <v>2</v>
      </c>
      <c r="H68" s="410">
        <f>SUMIF('Machining Time'!$C$23:$C$37,'Mould Costing'!H66,'Machining Time'!$L$23:$L$37)</f>
        <v>2</v>
      </c>
      <c r="I68" s="410">
        <f>SUMIF('Machining Time'!$C$23:$C$37,'Mould Costing'!I66,'Machining Time'!$L$23:$L$37)</f>
        <v>0</v>
      </c>
      <c r="J68" s="410">
        <f>SUMIF('Machining Time'!$C$23:$C$37,'Mould Costing'!J66,'Machining Time'!$L$23:$L$37)</f>
        <v>0</v>
      </c>
      <c r="K68" s="410">
        <f>SUMIF('Machining Time'!$C$23:$C$37,'Mould Costing'!K66,'Machining Time'!$L$23:$L$37)</f>
        <v>0</v>
      </c>
      <c r="L68" s="410">
        <f>SUMIF('Machining Time'!$C$23:$C$37,'Mould Costing'!L66,'Machining Time'!$L$23:$L$37)</f>
        <v>0</v>
      </c>
      <c r="M68" s="410">
        <f>SUMIF('Machining Time'!$C$23:$C$37,'Mould Costing'!M66,'Machining Time'!$L$23:$L$37)</f>
        <v>0</v>
      </c>
      <c r="N68" s="410">
        <f>SUMIF('Machining Time'!$C$23:$C$37,'Mould Costing'!N66,'Machining Time'!$L$23:$L$37)</f>
        <v>0</v>
      </c>
      <c r="O68" s="410">
        <f>SUMIF('Machining Time'!$C$23:$C$37,'Mould Costing'!O66,'Machining Time'!$L$23:$L$37)</f>
        <v>0</v>
      </c>
      <c r="P68" s="410">
        <f>SUMIF('Machining Time'!$C$23:$C$37,'Mould Costing'!P66,'Machining Time'!$L$23:$L$37)</f>
        <v>0</v>
      </c>
      <c r="Q68" s="411">
        <v>4</v>
      </c>
    </row>
    <row r="69" spans="1:18">
      <c r="A69" t="s">
        <v>160</v>
      </c>
      <c r="B69" s="410">
        <f>SUMIF('Machining Time'!$C$42:$C$57,'Mould Costing'!B$66,'Machining Time'!$L$42:$L$57)</f>
        <v>28</v>
      </c>
      <c r="C69" s="410">
        <f>SUMIF('Machining Time'!$C$42:$C$57,'Mould Costing'!C$66,'Machining Time'!$L$42:$L$57)</f>
        <v>0</v>
      </c>
      <c r="D69" s="410">
        <f>SUMIF('Machining Time'!$C$42:$C$57,'Mould Costing'!D$66,'Machining Time'!$L$42:$L$57)</f>
        <v>0</v>
      </c>
      <c r="E69" s="410">
        <f>SUMIF('Machining Time'!$C$42:$C$57,'Mould Costing'!E$66,'Machining Time'!$L$42:$L$57)</f>
        <v>24</v>
      </c>
      <c r="F69" s="410">
        <f>SUMIF('Machining Time'!$C$42:$C$57,'Mould Costing'!F$66,'Machining Time'!$L$42:$L$57)</f>
        <v>0</v>
      </c>
      <c r="G69" s="410">
        <f>SUMIF('Machining Time'!$C$42:$C$57,'Mould Costing'!G$66,'Machining Time'!$L$42:$L$57)</f>
        <v>6</v>
      </c>
      <c r="H69" s="410">
        <f>SUMIF('Machining Time'!$C$42:$C$57,'Mould Costing'!H$66,'Machining Time'!$L$42:$L$57)</f>
        <v>0</v>
      </c>
      <c r="I69" s="410">
        <f>SUMIF('Machining Time'!$C$42:$C$57,'Mould Costing'!I$66,'Machining Time'!$L$42:$L$57)</f>
        <v>0</v>
      </c>
      <c r="J69" s="410">
        <f>SUMIF('Machining Time'!$C$42:$C$57,'Mould Costing'!J$66,'Machining Time'!$L$42:$L$57)</f>
        <v>0</v>
      </c>
      <c r="K69" s="410">
        <f>SUMIF('Machining Time'!$C$42:$C$57,'Mould Costing'!K$66,'Machining Time'!$L$42:$L$57)</f>
        <v>0</v>
      </c>
      <c r="L69" s="410">
        <f>SUMIF('Machining Time'!$C$42:$C$57,'Mould Costing'!L$66,'Machining Time'!$L$42:$L$57)</f>
        <v>0</v>
      </c>
      <c r="M69" s="410">
        <f>SUMIF('Machining Time'!$C$42:$C$57,'Mould Costing'!M$66,'Machining Time'!$L$42:$L$57)</f>
        <v>0</v>
      </c>
      <c r="N69" s="410">
        <f>SUMIF('Machining Time'!$C$42:$C$57,'Mould Costing'!N$66,'Machining Time'!$L$42:$L$57)</f>
        <v>0</v>
      </c>
      <c r="O69" s="410">
        <f>SUMIF('Machining Time'!$C$42:$C$57,'Mould Costing'!O$66,'Machining Time'!$L$42:$L$57)</f>
        <v>0</v>
      </c>
      <c r="P69" s="410">
        <f>SUMIF('Machining Time'!$C$42:$C$57,'Mould Costing'!P$66,'Machining Time'!$L$42:$L$57)</f>
        <v>0</v>
      </c>
      <c r="Q69" s="411">
        <v>4</v>
      </c>
    </row>
    <row r="70" spans="1:18">
      <c r="A70" t="s">
        <v>161</v>
      </c>
      <c r="B70" s="410">
        <f>SUMIF('Machining Time'!$C$61:$C$76,'Mould Costing'!B$66,'Machining Time'!$L$61:$L$76)</f>
        <v>8</v>
      </c>
      <c r="C70" s="410">
        <f>SUMIF('Machining Time'!$C$61:$C$76,'Mould Costing'!C$66,'Machining Time'!$L$61:$L$76)</f>
        <v>2</v>
      </c>
      <c r="D70" s="410">
        <f>SUMIF('Machining Time'!$C$61:$C$76,'Mould Costing'!D$66,'Machining Time'!$L$61:$L$76)</f>
        <v>0</v>
      </c>
      <c r="E70" s="410">
        <f>SUMIF('Machining Time'!$C$61:$C$76,'Mould Costing'!E$66,'Machining Time'!$L$61:$L$76)</f>
        <v>12</v>
      </c>
      <c r="F70" s="410">
        <f>SUMIF('Machining Time'!$C$61:$C$76,'Mould Costing'!F$66,'Machining Time'!$L$61:$L$76)</f>
        <v>0</v>
      </c>
      <c r="G70" s="410">
        <f>SUMIF('Machining Time'!$C$61:$C$76,'Mould Costing'!G$66,'Machining Time'!$L$61:$L$76)</f>
        <v>3</v>
      </c>
      <c r="H70" s="410">
        <f>SUMIF('Machining Time'!$C$61:$C$76,'Mould Costing'!H$66,'Machining Time'!$L$61:$L$76)</f>
        <v>2</v>
      </c>
      <c r="I70" s="410">
        <f>SUMIF('Machining Time'!$C$61:$C$76,'Mould Costing'!I$66,'Machining Time'!$L$61:$L$76)</f>
        <v>0</v>
      </c>
      <c r="J70" s="410">
        <f>SUMIF('Machining Time'!$C$61:$C$76,'Mould Costing'!J$66,'Machining Time'!$L$61:$L$76)</f>
        <v>0</v>
      </c>
      <c r="K70" s="410">
        <f>SUMIF('Machining Time'!$C$61:$C$76,'Mould Costing'!K$66,'Machining Time'!$L$61:$L$76)</f>
        <v>0</v>
      </c>
      <c r="L70" s="410">
        <f>SUMIF('Machining Time'!$C$61:$C$76,'Mould Costing'!L$66,'Machining Time'!$L$61:$L$76)</f>
        <v>0</v>
      </c>
      <c r="M70" s="410">
        <f>SUMIF('Machining Time'!$C$61:$C$76,'Mould Costing'!M$66,'Machining Time'!$L$61:$L$76)</f>
        <v>0</v>
      </c>
      <c r="N70" s="410">
        <f>SUMIF('Machining Time'!$C$61:$C$76,'Mould Costing'!N$66,'Machining Time'!$L$61:$L$76)</f>
        <v>0</v>
      </c>
      <c r="O70" s="410">
        <f>SUMIF('Machining Time'!$C$61:$C$76,'Mould Costing'!O$66,'Machining Time'!$L$61:$L$76)</f>
        <v>0</v>
      </c>
      <c r="P70" s="410">
        <f>SUMIF('Machining Time'!$C$61:$C$76,'Mould Costing'!P$66,'Machining Time'!$L$61:$L$76)</f>
        <v>2</v>
      </c>
      <c r="Q70" s="411">
        <v>2</v>
      </c>
    </row>
    <row r="71" spans="1:18">
      <c r="A71" t="s">
        <v>162</v>
      </c>
      <c r="B71" s="410">
        <f>SUMIF('Machining Time'!$C$80:$C$95,'Mould Costing'!B$66,'Machining Time'!$L$80:$L$95)</f>
        <v>8</v>
      </c>
      <c r="C71" s="410">
        <f>SUMIF('Machining Time'!$C$80:$C$95,'Mould Costing'!C$66,'Machining Time'!$L$80:$L$95)</f>
        <v>2</v>
      </c>
      <c r="D71" s="410">
        <f>SUMIF('Machining Time'!$C$80:$C$95,'Mould Costing'!D$66,'Machining Time'!$L$80:$L$95)</f>
        <v>0</v>
      </c>
      <c r="E71" s="410">
        <f>SUMIF('Machining Time'!$C$80:$C$95,'Mould Costing'!E$66,'Machining Time'!$L$80:$L$95)</f>
        <v>11</v>
      </c>
      <c r="F71" s="410">
        <f>SUMIF('Machining Time'!$C$80:$C$95,'Mould Costing'!F$66,'Machining Time'!$L$80:$L$95)</f>
        <v>0</v>
      </c>
      <c r="G71" s="410">
        <f>SUMIF('Machining Time'!$C$80:$C$95,'Mould Costing'!G$66,'Machining Time'!$L$80:$L$95)</f>
        <v>3</v>
      </c>
      <c r="H71" s="410">
        <f>SUMIF('Machining Time'!$C$80:$C$95,'Mould Costing'!H$66,'Machining Time'!$L$80:$L$95)</f>
        <v>0</v>
      </c>
      <c r="I71" s="410">
        <f>SUMIF('Machining Time'!$C$80:$C$95,'Mould Costing'!I$66,'Machining Time'!$L$80:$L$95)</f>
        <v>0</v>
      </c>
      <c r="J71" s="410">
        <f>SUMIF('Machining Time'!$C$80:$C$95,'Mould Costing'!J$66,'Machining Time'!$L$80:$L$95)</f>
        <v>0</v>
      </c>
      <c r="K71" s="410">
        <f>SUMIF('Machining Time'!$C$80:$C$95,'Mould Costing'!K$66,'Machining Time'!$L$80:$L$95)</f>
        <v>0</v>
      </c>
      <c r="L71" s="410">
        <f>SUMIF('Machining Time'!$C$80:$C$95,'Mould Costing'!L$66,'Machining Time'!$L$80:$L$95)</f>
        <v>0</v>
      </c>
      <c r="M71" s="410">
        <f>SUMIF('Machining Time'!$C$80:$C$95,'Mould Costing'!M$66,'Machining Time'!$L$80:$L$95)</f>
        <v>0</v>
      </c>
      <c r="N71" s="410">
        <f>SUMIF('Machining Time'!$C$80:$C$95,'Mould Costing'!N$66,'Machining Time'!$L$80:$L$95)</f>
        <v>0</v>
      </c>
      <c r="O71" s="410">
        <f>SUMIF('Machining Time'!$C$80:$C$95,'Mould Costing'!O$66,'Machining Time'!$L$80:$L$95)</f>
        <v>0</v>
      </c>
      <c r="P71" s="410">
        <f>SUMIF('Machining Time'!$C$80:$C$95,'Mould Costing'!P$66,'Machining Time'!$L$80:$L$95)</f>
        <v>0</v>
      </c>
      <c r="Q71" s="411">
        <v>2</v>
      </c>
    </row>
    <row r="72" spans="1:18">
      <c r="A72" t="s">
        <v>163</v>
      </c>
      <c r="B72" s="410">
        <f>SUMIF('Machining Time'!$C$99:$C$115,'Mould Costing'!B$66,'Machining Time'!$L$99:$L$115)</f>
        <v>65</v>
      </c>
      <c r="C72" s="410">
        <f>SUMIF('Machining Time'!$C$99:$C$115,'Mould Costing'!C$66,'Machining Time'!$L$99:$L$115)</f>
        <v>2</v>
      </c>
      <c r="D72" s="410">
        <f>SUMIF('Machining Time'!$C$99:$C$115,'Mould Costing'!D$66,'Machining Time'!$L$99:$L$115)</f>
        <v>0</v>
      </c>
      <c r="E72" s="410">
        <f>SUMIF('Machining Time'!$C$99:$C$115,'Mould Costing'!E$66,'Machining Time'!$L$99:$L$115)</f>
        <v>49</v>
      </c>
      <c r="F72" s="410">
        <f>SUMIF('Machining Time'!$C$99:$C$115,'Mould Costing'!F$66,'Machining Time'!$L$99:$L$115)</f>
        <v>0</v>
      </c>
      <c r="G72" s="410">
        <f>SUMIF('Machining Time'!$C$99:$C$115,'Mould Costing'!G$66,'Machining Time'!$L$99:$L$115)</f>
        <v>6</v>
      </c>
      <c r="H72" s="410">
        <f>SUMIF('Machining Time'!$C$99:$C$115,'Mould Costing'!H$66,'Machining Time'!$L$99:$L$115)</f>
        <v>3</v>
      </c>
      <c r="I72" s="410">
        <f>SUMIF('Machining Time'!$C$99:$C$115,'Mould Costing'!I$66,'Machining Time'!$L$99:$L$115)</f>
        <v>0</v>
      </c>
      <c r="J72" s="410">
        <f>SUMIF('Machining Time'!$C$99:$C$115,'Mould Costing'!J$66,'Machining Time'!$L$99:$L$115)</f>
        <v>2</v>
      </c>
      <c r="K72" s="410">
        <f>SUMIF('Machining Time'!$C$99:$C$115,'Mould Costing'!K$66,'Machining Time'!$L$99:$L$115)</f>
        <v>0</v>
      </c>
      <c r="L72" s="410">
        <f>SUMIF('Machining Time'!$C$99:$C$115,'Mould Costing'!L$66,'Machining Time'!$L$99:$L$115)</f>
        <v>0</v>
      </c>
      <c r="M72" s="410">
        <f>SUMIF('Machining Time'!$C$99:$C$115,'Mould Costing'!M$66,'Machining Time'!$L$99:$L$115)</f>
        <v>0</v>
      </c>
      <c r="N72" s="410">
        <f>SUMIF('Machining Time'!$C$99:$C$115,'Mould Costing'!N$66,'Machining Time'!$L$99:$L$115)</f>
        <v>0</v>
      </c>
      <c r="O72" s="410">
        <f>SUMIF('Machining Time'!$C$99:$C$115,'Mould Costing'!O$66,'Machining Time'!$L$99:$L$115)</f>
        <v>39</v>
      </c>
      <c r="P72" s="410">
        <f>SUMIF('Machining Time'!$C$99:$C$115,'Mould Costing'!P$66,'Machining Time'!$L$99:$L$115)</f>
        <v>3</v>
      </c>
      <c r="Q72" s="411">
        <v>8</v>
      </c>
    </row>
    <row r="73" spans="1:18">
      <c r="A73" t="s">
        <v>165</v>
      </c>
      <c r="B73" s="410">
        <f>SUMIF('Machining Time'!$C$120:$C$136,'Mould Costing'!B$66,'Machining Time'!$L$120:$L$136)</f>
        <v>65</v>
      </c>
      <c r="C73" s="410">
        <f>SUMIF('Machining Time'!$C$120:$C$136,'Mould Costing'!C$66,'Machining Time'!$L$120:$L$136)</f>
        <v>2</v>
      </c>
      <c r="D73" s="410">
        <f>SUMIF('Machining Time'!$C$120:$C$136,'Mould Costing'!D$66,'Machining Time'!$L$120:$L$136)</f>
        <v>0</v>
      </c>
      <c r="E73" s="410">
        <f>SUMIF('Machining Time'!$C$120:$C$136,'Mould Costing'!E$66,'Machining Time'!$L$120:$L$136)</f>
        <v>49</v>
      </c>
      <c r="F73" s="410">
        <f>SUMIF('Machining Time'!$C$120:$C$136,'Mould Costing'!F$66,'Machining Time'!$L$120:$L$136)</f>
        <v>0</v>
      </c>
      <c r="G73" s="410">
        <f>SUMIF('Machining Time'!$C$120:$C$136,'Mould Costing'!G$66,'Machining Time'!$L$120:$L$136)</f>
        <v>6</v>
      </c>
      <c r="H73" s="410">
        <f>SUMIF('Machining Time'!$C$120:$C$136,'Mould Costing'!H$66,'Machining Time'!$L$120:$L$136)</f>
        <v>3</v>
      </c>
      <c r="I73" s="410">
        <f>SUMIF('Machining Time'!$C$120:$C$136,'Mould Costing'!I$66,'Machining Time'!$L$120:$L$136)</f>
        <v>0</v>
      </c>
      <c r="J73" s="410">
        <f>SUMIF('Machining Time'!$C$120:$C$136,'Mould Costing'!J$66,'Machining Time'!$L$120:$L$136)</f>
        <v>2</v>
      </c>
      <c r="K73" s="410">
        <f>SUMIF('Machining Time'!$C$120:$C$136,'Mould Costing'!K$66,'Machining Time'!$L$120:$L$136)</f>
        <v>0</v>
      </c>
      <c r="L73" s="410">
        <f>SUMIF('Machining Time'!$C$120:$C$136,'Mould Costing'!L$66,'Machining Time'!$L$120:$L$136)</f>
        <v>0</v>
      </c>
      <c r="M73" s="410">
        <f>SUMIF('Machining Time'!$C$120:$C$136,'Mould Costing'!M$66,'Machining Time'!$L$120:$L$136)</f>
        <v>0</v>
      </c>
      <c r="N73" s="410">
        <f>SUMIF('Machining Time'!$C$120:$C$136,'Mould Costing'!N$66,'Machining Time'!$L$120:$L$136)</f>
        <v>0</v>
      </c>
      <c r="O73" s="410">
        <f>SUMIF('Machining Time'!$C$120:$C$136,'Mould Costing'!O$66,'Machining Time'!$L$120:$L$136)</f>
        <v>39</v>
      </c>
      <c r="P73" s="410">
        <f>SUMIF('Machining Time'!$C$120:$C$136,'Mould Costing'!P$66,'Machining Time'!$L$120:$L$136)</f>
        <v>3</v>
      </c>
      <c r="Q73" s="411">
        <v>8</v>
      </c>
    </row>
    <row r="74" spans="1:18">
      <c r="A74" t="s">
        <v>170</v>
      </c>
      <c r="B74" s="410">
        <f>SUMIF('Machining Time'!$C$140:$C$156,'Mould Costing'!B$66,'Machining Time'!$L$140:$L$156)</f>
        <v>0</v>
      </c>
      <c r="C74" s="410">
        <f>SUMIF('Machining Time'!$C$140:$C$156,'Mould Costing'!C$66,'Machining Time'!$L$140:$L$156)</f>
        <v>0</v>
      </c>
      <c r="D74" s="410">
        <f>SUMIF('Machining Time'!$C$140:$C$156,'Mould Costing'!D$66,'Machining Time'!$L$140:$L$156)</f>
        <v>0</v>
      </c>
      <c r="E74" s="410">
        <f>SUMIF('Machining Time'!$C$140:$C$156,'Mould Costing'!E$66,'Machining Time'!$L$140:$L$156)</f>
        <v>0</v>
      </c>
      <c r="F74" s="410">
        <f>SUMIF('Machining Time'!$C$140:$C$156,'Mould Costing'!F$66,'Machining Time'!$L$140:$L$156)</f>
        <v>0</v>
      </c>
      <c r="G74" s="410">
        <f>SUMIF('Machining Time'!$C$140:$C$156,'Mould Costing'!G$66,'Machining Time'!$L$140:$L$156)</f>
        <v>0</v>
      </c>
      <c r="H74" s="410">
        <f>SUMIF('Machining Time'!$C$140:$C$156,'Mould Costing'!H$66,'Machining Time'!$L$140:$L$156)</f>
        <v>0</v>
      </c>
      <c r="I74" s="410">
        <f>SUMIF('Machining Time'!$C$140:$C$156,'Mould Costing'!I$66,'Machining Time'!$L$140:$L$156)</f>
        <v>0</v>
      </c>
      <c r="J74" s="410">
        <f>SUMIF('Machining Time'!$C$140:$C$156,'Mould Costing'!J$66,'Machining Time'!$L$140:$L$156)</f>
        <v>0</v>
      </c>
      <c r="K74" s="410">
        <f>SUMIF('Machining Time'!$C$140:$C$156,'Mould Costing'!K$66,'Machining Time'!$L$140:$L$156)</f>
        <v>0</v>
      </c>
      <c r="L74" s="410">
        <f>SUMIF('Machining Time'!$C$140:$C$156,'Mould Costing'!L$66,'Machining Time'!$L$140:$L$156)</f>
        <v>0</v>
      </c>
      <c r="M74" s="410">
        <f>SUMIF('Machining Time'!$C$140:$C$156,'Mould Costing'!M$66,'Machining Time'!$L$140:$L$156)</f>
        <v>0</v>
      </c>
      <c r="N74" s="410">
        <f>SUMIF('Machining Time'!$C$140:$C$156,'Mould Costing'!N$66,'Machining Time'!$L$140:$L$156)</f>
        <v>42</v>
      </c>
      <c r="O74" s="410">
        <f>SUMIF('Machining Time'!$C$140:$C$156,'Mould Costing'!O$66,'Machining Time'!$L$140:$L$156)</f>
        <v>0</v>
      </c>
      <c r="P74" s="410">
        <f>SUMIF('Machining Time'!$C$140:$C$156,'Mould Costing'!P$66,'Machining Time'!$L$140:$L$156)</f>
        <v>0</v>
      </c>
      <c r="Q74" s="410"/>
    </row>
    <row r="75" spans="1:18">
      <c r="A75" t="s">
        <v>172</v>
      </c>
      <c r="B75" s="410">
        <f>SUMIF('Machining Time'!$C$159:$C$174,'Mould Costing'!B$66,'Machining Time'!$L$159:$L$174)</f>
        <v>0</v>
      </c>
      <c r="C75" s="410">
        <f>SUMIF('Machining Time'!$C$159:$C$174,'Mould Costing'!C$66,'Machining Time'!$L$159:$L$174)</f>
        <v>0</v>
      </c>
      <c r="D75" s="410">
        <f>SUMIF('Machining Time'!$C$159:$C$174,'Mould Costing'!D$66,'Machining Time'!$L$159:$L$174)</f>
        <v>0</v>
      </c>
      <c r="E75" s="410">
        <f>SUMIF('Machining Time'!$C$159:$C$174,'Mould Costing'!E$66,'Machining Time'!$L$159:$L$174)</f>
        <v>0</v>
      </c>
      <c r="F75" s="410">
        <f>SUMIF('Machining Time'!$C$159:$C$174,'Mould Costing'!F$66,'Machining Time'!$L$159:$L$174)</f>
        <v>0</v>
      </c>
      <c r="G75" s="410">
        <f>SUMIF('Machining Time'!$C$159:$C$174,'Mould Costing'!G$66,'Machining Time'!$L$159:$L$174)</f>
        <v>0</v>
      </c>
      <c r="H75" s="410">
        <f>SUMIF('Machining Time'!$C$159:$C$174,'Mould Costing'!H$66,'Machining Time'!$L$159:$L$174)</f>
        <v>0</v>
      </c>
      <c r="I75" s="410">
        <f>SUMIF('Machining Time'!$C$159:$C$174,'Mould Costing'!I$66,'Machining Time'!$L$159:$L$174)</f>
        <v>0</v>
      </c>
      <c r="J75" s="410">
        <f>SUMIF('Machining Time'!$C$159:$C$174,'Mould Costing'!J$66,'Machining Time'!$L$159:$L$174)</f>
        <v>0</v>
      </c>
      <c r="K75" s="410">
        <f>SUMIF('Machining Time'!$C$159:$C$174,'Mould Costing'!K$66,'Machining Time'!$L$159:$L$174)</f>
        <v>0</v>
      </c>
      <c r="L75" s="410">
        <f>SUMIF('Machining Time'!$C$159:$C$174,'Mould Costing'!L$66,'Machining Time'!$L$159:$L$174)</f>
        <v>0</v>
      </c>
      <c r="M75" s="410">
        <f>SUMIF('Machining Time'!$C$159:$C$174,'Mould Costing'!M$66,'Machining Time'!$L$159:$L$174)</f>
        <v>0</v>
      </c>
      <c r="N75" s="410">
        <f>SUMIF('Machining Time'!$C$159:$C$174,'Mould Costing'!N$66,'Machining Time'!$L$159:$L$174)</f>
        <v>20</v>
      </c>
      <c r="O75" s="410">
        <f>SUMIF('Machining Time'!$C$159:$C$174,'Mould Costing'!O$66,'Machining Time'!$L$159:$L$174)</f>
        <v>0</v>
      </c>
      <c r="P75" s="410">
        <f>SUMIF('Machining Time'!$C$159:$C$174,'Mould Costing'!P$66,'Machining Time'!$L$159:$L$174)</f>
        <v>0</v>
      </c>
      <c r="Q75" s="411">
        <v>2</v>
      </c>
    </row>
    <row r="76" spans="1:18">
      <c r="B76" s="410"/>
      <c r="C76" s="410"/>
      <c r="D76" s="410"/>
      <c r="E76" s="410"/>
      <c r="F76" s="410"/>
      <c r="G76" s="410"/>
      <c r="H76" s="410"/>
      <c r="I76" s="410"/>
      <c r="J76" s="410"/>
      <c r="K76" s="410"/>
      <c r="L76" s="410"/>
      <c r="M76" s="410"/>
      <c r="N76" s="410"/>
      <c r="O76" s="410"/>
      <c r="P76" s="410"/>
      <c r="Q76" s="411">
        <v>2</v>
      </c>
    </row>
    <row r="77" spans="1:18">
      <c r="B77" s="410"/>
      <c r="C77" s="410"/>
      <c r="D77" s="410"/>
      <c r="E77" s="410"/>
      <c r="F77" s="410"/>
      <c r="G77" s="410"/>
      <c r="H77" s="410"/>
      <c r="I77" s="410"/>
      <c r="J77" s="410"/>
      <c r="K77" s="410"/>
      <c r="L77" s="410"/>
      <c r="M77" s="410"/>
      <c r="N77" s="410"/>
      <c r="O77" s="410"/>
      <c r="P77" s="410"/>
      <c r="Q77" s="411">
        <v>4</v>
      </c>
    </row>
    <row r="78" spans="1:18">
      <c r="B78" s="410"/>
      <c r="C78" s="410"/>
      <c r="D78" s="410"/>
      <c r="E78" s="410"/>
      <c r="F78" s="410"/>
      <c r="G78" s="410"/>
      <c r="H78" s="410"/>
      <c r="I78" s="410"/>
      <c r="J78" s="410"/>
      <c r="K78" s="410"/>
      <c r="L78" s="410"/>
      <c r="M78" s="410"/>
      <c r="N78" s="410"/>
      <c r="O78" s="410"/>
      <c r="P78" s="410"/>
      <c r="Q78" s="411">
        <v>4</v>
      </c>
    </row>
    <row r="79" spans="1:18">
      <c r="B79" s="410"/>
      <c r="C79" s="410"/>
      <c r="D79" s="410"/>
      <c r="E79" s="410"/>
      <c r="F79" s="410"/>
      <c r="G79" s="410"/>
      <c r="H79" s="410"/>
      <c r="I79" s="410"/>
      <c r="J79" s="410"/>
      <c r="K79" s="410"/>
      <c r="L79" s="410"/>
      <c r="M79" s="410"/>
      <c r="N79" s="410"/>
      <c r="O79" s="410"/>
      <c r="P79" s="410"/>
      <c r="Q79" s="410"/>
      <c r="R79" s="112" t="s">
        <v>214</v>
      </c>
    </row>
    <row r="80" spans="1:18">
      <c r="B80" s="412">
        <f t="shared" ref="B80:Q80" si="1">SUM(B67:B79)</f>
        <v>228</v>
      </c>
      <c r="C80" s="412">
        <f t="shared" si="1"/>
        <v>8</v>
      </c>
      <c r="D80" s="412">
        <f t="shared" si="1"/>
        <v>0</v>
      </c>
      <c r="E80" s="412">
        <f t="shared" si="1"/>
        <v>233</v>
      </c>
      <c r="F80" s="412">
        <f t="shared" si="1"/>
        <v>0</v>
      </c>
      <c r="G80" s="412">
        <f t="shared" si="1"/>
        <v>35</v>
      </c>
      <c r="H80" s="412">
        <f t="shared" si="1"/>
        <v>12</v>
      </c>
      <c r="I80" s="412">
        <f t="shared" si="1"/>
        <v>0</v>
      </c>
      <c r="J80" s="412">
        <f t="shared" si="1"/>
        <v>4</v>
      </c>
      <c r="K80" s="412">
        <f t="shared" si="1"/>
        <v>0</v>
      </c>
      <c r="L80" s="412">
        <f t="shared" si="1"/>
        <v>0</v>
      </c>
      <c r="M80" s="412">
        <f t="shared" si="1"/>
        <v>0</v>
      </c>
      <c r="N80" s="412">
        <f t="shared" si="1"/>
        <v>62</v>
      </c>
      <c r="O80" s="412">
        <f t="shared" si="1"/>
        <v>78</v>
      </c>
      <c r="P80" s="412">
        <f t="shared" si="1"/>
        <v>8</v>
      </c>
      <c r="Q80" s="412">
        <f t="shared" si="1"/>
        <v>44</v>
      </c>
      <c r="R80" s="413">
        <f>SUM(B80:Q80)</f>
        <v>712</v>
      </c>
    </row>
    <row r="81" spans="1:17">
      <c r="B81" s="265">
        <f>VLOOKUP(B$66,Database!$I$3:$K$17,3,FALSE)</f>
        <v>400</v>
      </c>
      <c r="C81" s="265">
        <f>VLOOKUP(C$66,Database!$I$3:$K$17,3,FALSE)</f>
        <v>400</v>
      </c>
      <c r="D81" s="265">
        <f>VLOOKUP(D$66,Database!$I$3:$K$17,3,FALSE)</f>
        <v>400</v>
      </c>
      <c r="E81" s="265">
        <f>VLOOKUP(E$66,Database!$I$3:$K$17,3,FALSE)</f>
        <v>500</v>
      </c>
      <c r="F81" s="265">
        <f>VLOOKUP(F$66,Database!$I$3:$K$17,3,FALSE)</f>
        <v>500</v>
      </c>
      <c r="G81" s="265">
        <f>VLOOKUP(G$66,Database!$I$3:$K$17,3,FALSE)</f>
        <v>500</v>
      </c>
      <c r="H81" s="265">
        <f>VLOOKUP(H$66,Database!$I$3:$K$17,3,FALSE)</f>
        <v>500</v>
      </c>
      <c r="I81" s="265">
        <f>VLOOKUP(I$66,Database!$I$3:$K$17,3,FALSE)</f>
        <v>500</v>
      </c>
      <c r="J81" s="265">
        <f>VLOOKUP(J$66,Database!$I$3:$K$17,3,FALSE)</f>
        <v>500</v>
      </c>
      <c r="K81" s="265">
        <f>VLOOKUP(K$66,Database!$I$3:$K$17,3,FALSE)</f>
        <v>800</v>
      </c>
      <c r="L81" s="265">
        <f>VLOOKUP(L$66,Database!$I$3:$K$17,3,FALSE)</f>
        <v>800</v>
      </c>
      <c r="M81" s="265">
        <f>VLOOKUP(M$66,Database!$I$3:$K$17,3,FALSE)</f>
        <v>500</v>
      </c>
      <c r="N81" s="265">
        <f>VLOOKUP(N$66,Database!$I$3:$K$17,3,FALSE)</f>
        <v>1200</v>
      </c>
      <c r="O81" s="265">
        <f>VLOOKUP(O$66,Database!$I$3:$K$17,3,FALSE)</f>
        <v>1200</v>
      </c>
      <c r="P81" s="265">
        <f>VLOOKUP(P$66,Database!$I$3:$K$17,3,FALSE)</f>
        <v>1200</v>
      </c>
      <c r="Q81" s="265">
        <v>43.75</v>
      </c>
    </row>
    <row r="82" spans="1:17">
      <c r="B82" s="414">
        <f t="shared" ref="B82:Q82" si="2">B80*B81*$C$83</f>
        <v>91200</v>
      </c>
      <c r="C82" s="414">
        <f t="shared" si="2"/>
        <v>3200</v>
      </c>
      <c r="D82" s="414">
        <f t="shared" si="2"/>
        <v>0</v>
      </c>
      <c r="E82" s="414">
        <f t="shared" si="2"/>
        <v>116500</v>
      </c>
      <c r="F82" s="414">
        <f t="shared" si="2"/>
        <v>0</v>
      </c>
      <c r="G82" s="414">
        <f t="shared" si="2"/>
        <v>17500</v>
      </c>
      <c r="H82" s="414">
        <f t="shared" si="2"/>
        <v>6000</v>
      </c>
      <c r="I82" s="414">
        <f t="shared" si="2"/>
        <v>0</v>
      </c>
      <c r="J82" s="414">
        <f t="shared" si="2"/>
        <v>2000</v>
      </c>
      <c r="K82" s="414">
        <f t="shared" si="2"/>
        <v>0</v>
      </c>
      <c r="L82" s="414">
        <f t="shared" si="2"/>
        <v>0</v>
      </c>
      <c r="M82" s="414">
        <f t="shared" si="2"/>
        <v>0</v>
      </c>
      <c r="N82" s="414">
        <f t="shared" si="2"/>
        <v>74400</v>
      </c>
      <c r="O82" s="414">
        <f t="shared" si="2"/>
        <v>93600</v>
      </c>
      <c r="P82" s="414">
        <f t="shared" si="2"/>
        <v>9600</v>
      </c>
      <c r="Q82" s="414">
        <f t="shared" si="2"/>
        <v>1925</v>
      </c>
    </row>
    <row r="83" spans="1:17">
      <c r="B83" t="s">
        <v>215</v>
      </c>
      <c r="C83">
        <f>VLOOKUP('INJ. MOULDING ESTIMATION'!C16,Table6[],2,FALSE)</f>
        <v>1</v>
      </c>
    </row>
    <row r="84" spans="1:17">
      <c r="B84" s="61" t="s">
        <v>216</v>
      </c>
      <c r="C84" s="412">
        <f>SUM(B82:Q82)</f>
        <v>415925</v>
      </c>
    </row>
    <row r="86" spans="1:17" ht="30" customHeight="1">
      <c r="A86" s="527" t="s">
        <v>146</v>
      </c>
      <c r="B86" s="439"/>
      <c r="C86" s="439"/>
      <c r="D86" s="439"/>
      <c r="E86" s="439"/>
      <c r="F86" s="440"/>
      <c r="G86" s="531" t="s">
        <v>217</v>
      </c>
      <c r="H86" s="440"/>
      <c r="I86" s="63" t="s">
        <v>218</v>
      </c>
      <c r="J86" s="64" t="s">
        <v>202</v>
      </c>
      <c r="K86" s="224" t="s">
        <v>219</v>
      </c>
    </row>
    <row r="87" spans="1:17">
      <c r="A87" s="526" t="s">
        <v>220</v>
      </c>
      <c r="B87" s="439"/>
      <c r="C87" s="439"/>
      <c r="D87" s="439"/>
      <c r="E87" s="439"/>
      <c r="F87" s="440"/>
      <c r="G87" s="518"/>
      <c r="H87" s="440"/>
      <c r="I87" s="264">
        <f>72*VLOOKUP('INJ. MOULDING ESTIMATION'!C16,COMPLEXITY!A1:B7,2,TRUE)</f>
        <v>72</v>
      </c>
      <c r="J87" s="371">
        <v>60</v>
      </c>
      <c r="K87" s="262">
        <f>IF(L87,J87*I87,0)</f>
        <v>0</v>
      </c>
      <c r="L87" t="b">
        <f>Website!B11</f>
        <v>0</v>
      </c>
    </row>
    <row r="88" spans="1:17">
      <c r="A88" s="526" t="s">
        <v>221</v>
      </c>
      <c r="B88" s="439"/>
      <c r="C88" s="439"/>
      <c r="D88" s="439"/>
      <c r="E88" s="439"/>
      <c r="F88" s="440"/>
      <c r="G88" s="518"/>
      <c r="H88" s="440"/>
      <c r="I88" s="264">
        <f>60*VLOOKUP('INJ. MOULDING ESTIMATION'!C16,COMPLEXITY!A1:B7,2,TRUE)</f>
        <v>60</v>
      </c>
      <c r="J88" s="371">
        <v>70</v>
      </c>
      <c r="K88" s="262">
        <f>IF(L88,J88*I88,0)</f>
        <v>0</v>
      </c>
      <c r="L88" t="b">
        <f>Website!B10</f>
        <v>0</v>
      </c>
    </row>
    <row r="89" spans="1:17">
      <c r="J89" s="65" t="s">
        <v>222</v>
      </c>
      <c r="K89" s="263">
        <f>SUM(K87:M88)</f>
        <v>0</v>
      </c>
    </row>
    <row r="92" spans="1:17">
      <c r="A92" s="62" t="s">
        <v>223</v>
      </c>
      <c r="B92" s="336"/>
      <c r="C92" s="336"/>
      <c r="D92" s="336"/>
      <c r="E92" s="336"/>
      <c r="F92" s="336"/>
      <c r="G92" s="336"/>
      <c r="H92" s="336"/>
      <c r="I92" s="336"/>
      <c r="J92" s="336"/>
      <c r="K92" s="336"/>
      <c r="L92" s="336"/>
      <c r="M92" s="336"/>
      <c r="O92" s="336"/>
      <c r="P92" s="62"/>
    </row>
    <row r="93" spans="1:17" ht="18.5" customHeight="1">
      <c r="A93" s="368" t="s">
        <v>224</v>
      </c>
      <c r="B93" s="514" t="s">
        <v>225</v>
      </c>
      <c r="C93" s="439"/>
      <c r="D93" s="439"/>
      <c r="E93" s="439"/>
      <c r="F93" s="439"/>
      <c r="G93" s="439"/>
      <c r="H93" s="439"/>
      <c r="I93" s="439"/>
      <c r="J93" s="40"/>
      <c r="K93" s="69" t="b">
        <v>0</v>
      </c>
      <c r="L93" s="66"/>
      <c r="M93" s="336"/>
    </row>
    <row r="94" spans="1:17">
      <c r="A94" s="368" t="s">
        <v>226</v>
      </c>
      <c r="B94" s="514" t="s">
        <v>227</v>
      </c>
      <c r="C94" s="439"/>
      <c r="D94" s="439"/>
      <c r="E94" s="439"/>
      <c r="F94" s="439"/>
      <c r="G94" s="439"/>
      <c r="H94" s="439"/>
      <c r="I94" s="439"/>
      <c r="J94" s="40"/>
      <c r="K94" s="337"/>
      <c r="L94" s="67">
        <f>F63+C84+K89-L93</f>
        <v>915111</v>
      </c>
      <c r="M94" s="336"/>
    </row>
    <row r="95" spans="1:17">
      <c r="A95" s="368" t="s">
        <v>228</v>
      </c>
      <c r="B95" s="514" t="s">
        <v>229</v>
      </c>
      <c r="C95" s="439"/>
      <c r="D95" s="439"/>
      <c r="E95" s="439"/>
      <c r="F95" s="439"/>
      <c r="G95" s="439"/>
      <c r="H95" s="439"/>
      <c r="I95" s="439"/>
      <c r="J95" s="40"/>
      <c r="K95" s="68">
        <f>'INJ. MOULDING ESTIMATION'!A35</f>
        <v>0.15</v>
      </c>
      <c r="L95" s="67">
        <f>(L94+L97+L98)*K95</f>
        <v>155266.65</v>
      </c>
      <c r="M95" s="336"/>
    </row>
    <row r="96" spans="1:17">
      <c r="A96" s="368" t="s">
        <v>230</v>
      </c>
      <c r="B96" s="528" t="s">
        <v>119</v>
      </c>
      <c r="C96" s="439"/>
      <c r="D96" s="439"/>
      <c r="E96" s="439"/>
      <c r="F96" s="439"/>
      <c r="G96" s="439"/>
      <c r="H96" s="439"/>
      <c r="I96" s="439"/>
      <c r="J96" s="40">
        <v>5000</v>
      </c>
      <c r="K96" s="69" t="b">
        <v>1</v>
      </c>
      <c r="L96" s="70">
        <f>IF(K96=TRUE,J96,0)</f>
        <v>5000</v>
      </c>
      <c r="M96" s="336"/>
    </row>
    <row r="97" spans="1:15">
      <c r="A97" s="368" t="s">
        <v>231</v>
      </c>
      <c r="B97" s="514" t="s">
        <v>232</v>
      </c>
      <c r="C97" s="439"/>
      <c r="D97" s="439"/>
      <c r="E97" s="439"/>
      <c r="F97" s="439"/>
      <c r="G97" s="439"/>
      <c r="H97" s="439"/>
      <c r="I97" s="439"/>
      <c r="J97" s="40" t="str">
        <f>Website!B6</f>
        <v>yes</v>
      </c>
      <c r="K97" s="71" t="b">
        <f>IF(J97="yes",TRUE,FALSE)</f>
        <v>1</v>
      </c>
      <c r="L97" s="70">
        <f>DASHBOARD!H24</f>
        <v>120000</v>
      </c>
      <c r="M97" s="336"/>
    </row>
    <row r="98" spans="1:15">
      <c r="A98" s="368" t="s">
        <v>233</v>
      </c>
      <c r="B98" s="514" t="s">
        <v>234</v>
      </c>
      <c r="C98" s="439"/>
      <c r="D98" s="439"/>
      <c r="E98" s="439"/>
      <c r="F98" s="439"/>
      <c r="G98" s="439"/>
      <c r="H98" s="439"/>
      <c r="I98" s="439"/>
      <c r="J98" s="40"/>
      <c r="K98" s="71" t="b">
        <f>Website!B9</f>
        <v>0</v>
      </c>
      <c r="L98" s="72">
        <f>IF(K98,12000,0)</f>
        <v>0</v>
      </c>
      <c r="M98" s="336"/>
      <c r="O98" t="s">
        <v>235</v>
      </c>
    </row>
    <row r="99" spans="1:15">
      <c r="A99" s="368" t="s">
        <v>236</v>
      </c>
      <c r="B99" s="514" t="s">
        <v>237</v>
      </c>
      <c r="C99" s="439"/>
      <c r="D99" s="439"/>
      <c r="E99" s="439"/>
      <c r="F99" s="439"/>
      <c r="G99" s="439"/>
      <c r="H99" s="439"/>
      <c r="I99" s="439"/>
      <c r="J99" s="40" t="b">
        <v>0</v>
      </c>
      <c r="K99" s="68">
        <v>0.04</v>
      </c>
      <c r="L99" s="67">
        <f>IF(J99,SUM(L94:N96,L97,L98)*K99,0)</f>
        <v>0</v>
      </c>
      <c r="M99" s="336"/>
    </row>
    <row r="100" spans="1:15">
      <c r="A100" s="336"/>
      <c r="B100" s="377" t="s">
        <v>238</v>
      </c>
      <c r="C100" s="336"/>
      <c r="D100" s="336"/>
      <c r="E100" s="336"/>
      <c r="F100" s="336"/>
      <c r="G100" s="336"/>
      <c r="H100" s="336"/>
      <c r="I100" s="336"/>
      <c r="J100" s="336"/>
      <c r="K100" s="336"/>
      <c r="L100" s="73">
        <f>SUM(L94:L99)-L93</f>
        <v>1195377.6499999999</v>
      </c>
      <c r="M100" s="336"/>
    </row>
  </sheetData>
  <mergeCells count="60">
    <mergeCell ref="B97:I97"/>
    <mergeCell ref="A59:E59"/>
    <mergeCell ref="C44:E44"/>
    <mergeCell ref="G86:H86"/>
    <mergeCell ref="F54:G54"/>
    <mergeCell ref="I46:J46"/>
    <mergeCell ref="I49:J49"/>
    <mergeCell ref="I45:J45"/>
    <mergeCell ref="B96:I96"/>
    <mergeCell ref="F59:G59"/>
    <mergeCell ref="F55:G55"/>
    <mergeCell ref="F53:G53"/>
    <mergeCell ref="I47:J47"/>
    <mergeCell ref="A54:E54"/>
    <mergeCell ref="C63:E63"/>
    <mergeCell ref="B98:I98"/>
    <mergeCell ref="F42:G42"/>
    <mergeCell ref="F41:G41"/>
    <mergeCell ref="A56:E56"/>
    <mergeCell ref="G87:H87"/>
    <mergeCell ref="A55:E55"/>
    <mergeCell ref="I43:J43"/>
    <mergeCell ref="F47:G47"/>
    <mergeCell ref="A88:F88"/>
    <mergeCell ref="B94:I94"/>
    <mergeCell ref="A58:E58"/>
    <mergeCell ref="A87:F87"/>
    <mergeCell ref="C43:E43"/>
    <mergeCell ref="A86:F86"/>
    <mergeCell ref="B93:I93"/>
    <mergeCell ref="C46:E46"/>
    <mergeCell ref="A1:M1"/>
    <mergeCell ref="A57:E57"/>
    <mergeCell ref="A50:I51"/>
    <mergeCell ref="I42:J42"/>
    <mergeCell ref="C49:E49"/>
    <mergeCell ref="A52:K52"/>
    <mergeCell ref="F57:G57"/>
    <mergeCell ref="F44:G44"/>
    <mergeCell ref="C47:E47"/>
    <mergeCell ref="A41:E41"/>
    <mergeCell ref="I41:J41"/>
    <mergeCell ref="F45:G45"/>
    <mergeCell ref="C48:E48"/>
    <mergeCell ref="B99:I99"/>
    <mergeCell ref="F46:G46"/>
    <mergeCell ref="A7:M7"/>
    <mergeCell ref="F56:G56"/>
    <mergeCell ref="F58:G58"/>
    <mergeCell ref="I48:J48"/>
    <mergeCell ref="G88:H88"/>
    <mergeCell ref="A65:P65"/>
    <mergeCell ref="I44:J44"/>
    <mergeCell ref="A53:E53"/>
    <mergeCell ref="C42:E42"/>
    <mergeCell ref="F43:G43"/>
    <mergeCell ref="F48:G48"/>
    <mergeCell ref="C45:E45"/>
    <mergeCell ref="B95:I95"/>
    <mergeCell ref="F49:G49"/>
  </mergeCells>
  <conditionalFormatting sqref="B34">
    <cfRule type="expression" dxfId="158" priority="3">
      <formula>$B$34=$K$22</formula>
    </cfRule>
  </conditionalFormatting>
  <conditionalFormatting sqref="D34">
    <cfRule type="expression" dxfId="157" priority="2">
      <formula>$D$34=$M$22</formula>
    </cfRule>
  </conditionalFormatting>
  <conditionalFormatting sqref="E34">
    <cfRule type="expression" dxfId="156" priority="1">
      <formula>$D$34&lt;&gt;$M$22</formula>
    </cfRule>
  </conditionalFormatting>
  <pageMargins left="0.7" right="0.7" top="0.75" bottom="0.75" header="0.3" footer="0.3"/>
  <pageSetup paperSize="9" scale="73" fitToHeight="0" orientation="landscape"/>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30"/>
  <sheetViews>
    <sheetView zoomScale="56" zoomScaleNormal="70" workbookViewId="0">
      <selection activeCell="R21" sqref="R21"/>
    </sheetView>
  </sheetViews>
  <sheetFormatPr defaultColWidth="8.7265625" defaultRowHeight="14.5"/>
  <cols>
    <col min="1" max="1" width="29.81640625" style="357" customWidth="1"/>
    <col min="10" max="10" width="13.36328125" style="357" customWidth="1"/>
    <col min="11" max="11" width="31.54296875" style="357" customWidth="1"/>
    <col min="12" max="12" width="13.26953125" style="357" customWidth="1"/>
    <col min="13" max="13" width="29.7265625" style="357" customWidth="1"/>
    <col min="14" max="14" width="9.08984375" style="357" bestFit="1" customWidth="1"/>
  </cols>
  <sheetData>
    <row r="1" spans="11:17" ht="17" customHeight="1">
      <c r="M1" s="309"/>
      <c r="N1" s="309"/>
      <c r="O1" s="309"/>
      <c r="P1" s="309"/>
      <c r="Q1" s="309"/>
    </row>
    <row r="2" spans="11:17" ht="14.5" customHeight="1">
      <c r="K2" s="310" t="s">
        <v>56</v>
      </c>
      <c r="L2" s="59">
        <f>DASHBOARD!C9+DASHBOARD!F9</f>
        <v>179800</v>
      </c>
      <c r="M2" s="309"/>
      <c r="N2" s="309"/>
      <c r="O2" s="309"/>
      <c r="P2" s="309"/>
      <c r="Q2" s="309"/>
    </row>
    <row r="3" spans="11:17">
      <c r="K3" t="s">
        <v>60</v>
      </c>
      <c r="L3">
        <f>DASHBOARD!H28</f>
        <v>431047.5997163771</v>
      </c>
    </row>
    <row r="4" spans="11:17">
      <c r="K4" s="23" t="s">
        <v>91</v>
      </c>
      <c r="L4">
        <f>DASHBOARD!H52</f>
        <v>415925</v>
      </c>
    </row>
    <row r="5" spans="11:17">
      <c r="K5" s="23" t="s">
        <v>116</v>
      </c>
      <c r="L5">
        <f>DASHBOARD!G61</f>
        <v>160266.65</v>
      </c>
    </row>
    <row r="6" spans="11:17">
      <c r="K6" s="308" t="s">
        <v>239</v>
      </c>
      <c r="L6">
        <f>DASHBOARD!H63</f>
        <v>0</v>
      </c>
    </row>
    <row r="11" spans="11:17">
      <c r="K11" s="23"/>
    </row>
    <row r="12" spans="11:17">
      <c r="K12" s="23"/>
    </row>
    <row r="13" spans="11:17">
      <c r="K13" s="23"/>
    </row>
    <row r="14" spans="11:17">
      <c r="K14" s="23"/>
    </row>
    <row r="15" spans="11:17">
      <c r="K15" s="23"/>
    </row>
    <row r="28" spans="13:13">
      <c r="M28" s="23"/>
    </row>
    <row r="29" spans="13:13">
      <c r="M29" s="23"/>
    </row>
    <row r="30" spans="13:13">
      <c r="M30" s="23"/>
    </row>
  </sheetData>
  <pageMargins left="0.75" right="0.75" top="1" bottom="1" header="0.5" footer="0.5"/>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P35"/>
  <sheetViews>
    <sheetView topLeftCell="A2" zoomScale="85" zoomScaleNormal="85" workbookViewId="0">
      <selection activeCell="I9" sqref="I9"/>
    </sheetView>
  </sheetViews>
  <sheetFormatPr defaultColWidth="9" defaultRowHeight="14.5"/>
  <cols>
    <col min="2" max="2" width="24.453125" style="357" customWidth="1"/>
    <col min="3" max="3" width="10.36328125" style="357" customWidth="1"/>
    <col min="4" max="4" width="16.453125" style="357" customWidth="1"/>
    <col min="5" max="5" width="31.90625" style="357" customWidth="1"/>
    <col min="6" max="6" width="4" style="357" customWidth="1"/>
    <col min="7" max="7" width="12.08984375" style="357" customWidth="1"/>
    <col min="8" max="8" width="18.1796875" style="357" customWidth="1"/>
    <col min="9" max="9" width="52.1796875" style="357" customWidth="1"/>
    <col min="10" max="11" width="16.36328125" style="357" customWidth="1"/>
    <col min="12" max="15" width="22.54296875" style="357" customWidth="1"/>
    <col min="16" max="16" width="2.54296875" style="357" customWidth="1"/>
  </cols>
  <sheetData>
    <row r="1" spans="2:15" ht="15" customHeight="1" thickBot="1">
      <c r="G1" t="s">
        <v>240</v>
      </c>
      <c r="J1" s="415"/>
      <c r="M1" s="59"/>
      <c r="O1" s="415"/>
    </row>
    <row r="2" spans="2:15" ht="14.5" customHeight="1">
      <c r="B2" s="532" t="s">
        <v>36</v>
      </c>
      <c r="C2" s="454"/>
      <c r="D2" s="533"/>
      <c r="E2" s="173" t="s">
        <v>241</v>
      </c>
      <c r="G2" s="266">
        <f>DASHBOARD!B3</f>
        <v>0</v>
      </c>
    </row>
    <row r="3" spans="2:15" ht="14.5" customHeight="1" thickBot="1">
      <c r="B3" s="534"/>
      <c r="C3" s="482"/>
      <c r="D3" s="483"/>
      <c r="E3" s="175" t="s">
        <v>242</v>
      </c>
    </row>
    <row r="4" spans="2:15" ht="15" customHeight="1" thickBot="1"/>
    <row r="5" spans="2:15">
      <c r="B5" s="176"/>
      <c r="C5" s="177" t="s">
        <v>243</v>
      </c>
      <c r="D5" s="177" t="s">
        <v>244</v>
      </c>
      <c r="E5" s="178" t="s">
        <v>245</v>
      </c>
      <c r="G5" s="179" t="s">
        <v>246</v>
      </c>
      <c r="H5" s="179"/>
    </row>
    <row r="6" spans="2:15">
      <c r="B6" s="180" t="s">
        <v>142</v>
      </c>
      <c r="C6" s="344" t="str">
        <f>DASHBOARD!B6</f>
        <v>200</v>
      </c>
      <c r="D6" s="265" t="s">
        <v>247</v>
      </c>
      <c r="E6" s="182" t="s">
        <v>248</v>
      </c>
      <c r="G6" s="1" t="s">
        <v>249</v>
      </c>
      <c r="H6" s="78">
        <f>'Part Cost'!B13</f>
        <v>194.76615000000001</v>
      </c>
    </row>
    <row r="7" spans="2:15">
      <c r="B7" s="180" t="s">
        <v>250</v>
      </c>
      <c r="C7" s="344" t="str">
        <f>DASHBOARD!C6</f>
        <v>100</v>
      </c>
      <c r="D7" s="265" t="s">
        <v>247</v>
      </c>
      <c r="E7" s="182" t="s">
        <v>251</v>
      </c>
      <c r="G7" s="1" t="s">
        <v>252</v>
      </c>
      <c r="H7" s="78">
        <f>'Part Cost'!B14</f>
        <v>20000</v>
      </c>
    </row>
    <row r="8" spans="2:15">
      <c r="B8" s="180" t="s">
        <v>144</v>
      </c>
      <c r="C8" s="344" t="str">
        <f>Website!B3</f>
        <v>50</v>
      </c>
      <c r="D8" s="265" t="s">
        <v>247</v>
      </c>
      <c r="E8" s="182" t="s">
        <v>253</v>
      </c>
      <c r="G8" s="183" t="s">
        <v>254</v>
      </c>
      <c r="H8" s="184">
        <f>'Part Cost'!B15</f>
        <v>3895323</v>
      </c>
    </row>
    <row r="9" spans="2:15">
      <c r="B9" s="180" t="s">
        <v>255</v>
      </c>
      <c r="C9" s="185" t="b">
        <v>0</v>
      </c>
      <c r="D9" s="265"/>
      <c r="E9" s="182" t="s">
        <v>256</v>
      </c>
    </row>
    <row r="10" spans="2:15">
      <c r="B10" s="180" t="s">
        <v>257</v>
      </c>
      <c r="C10" s="181">
        <v>2</v>
      </c>
      <c r="D10" s="265" t="s">
        <v>247</v>
      </c>
      <c r="E10" s="182" t="s">
        <v>258</v>
      </c>
    </row>
    <row r="11" spans="2:15">
      <c r="B11" s="180" t="s">
        <v>259</v>
      </c>
      <c r="C11" s="181">
        <v>3</v>
      </c>
      <c r="D11" s="265" t="s">
        <v>247</v>
      </c>
      <c r="E11" s="182" t="s">
        <v>258</v>
      </c>
    </row>
    <row r="12" spans="2:15" ht="29" customHeight="1">
      <c r="B12" s="180" t="s">
        <v>260</v>
      </c>
      <c r="C12" s="186" t="s">
        <v>261</v>
      </c>
      <c r="D12" s="265"/>
      <c r="E12" s="182" t="s">
        <v>262</v>
      </c>
      <c r="G12" s="187" t="s">
        <v>263</v>
      </c>
      <c r="H12">
        <f>'Input-Output'!D19</f>
        <v>254.53503250000003</v>
      </c>
    </row>
    <row r="13" spans="2:15" ht="16.5" customHeight="1">
      <c r="B13" s="180" t="s">
        <v>264</v>
      </c>
      <c r="C13" s="188">
        <f>VLOOKUP(C12,Table11[],3,FALSE)*1000</f>
        <v>400</v>
      </c>
      <c r="D13" s="265" t="s">
        <v>265</v>
      </c>
      <c r="E13" s="182" t="s">
        <v>266</v>
      </c>
      <c r="G13" s="222" t="s">
        <v>267</v>
      </c>
      <c r="H13" s="416">
        <f>'Input-Output'!D20</f>
        <v>254535.03250000003</v>
      </c>
    </row>
    <row r="14" spans="2:15">
      <c r="B14" s="180" t="s">
        <v>268</v>
      </c>
      <c r="C14" s="265" t="str">
        <f>IF(E14,C15,'No of Cavity'!B19)</f>
        <v>2</v>
      </c>
      <c r="D14" s="265" t="s">
        <v>269</v>
      </c>
      <c r="E14" s="343" t="b">
        <v>1</v>
      </c>
      <c r="G14" s="256"/>
      <c r="H14" s="256">
        <f>H12</f>
        <v>254.53503250000003</v>
      </c>
    </row>
    <row r="15" spans="2:15">
      <c r="B15" s="190" t="s">
        <v>270</v>
      </c>
      <c r="C15" s="185" t="str">
        <f>DASHBOARD!B7</f>
        <v>2</v>
      </c>
      <c r="D15" s="185" t="s">
        <v>271</v>
      </c>
      <c r="E15" s="189" t="s">
        <v>272</v>
      </c>
      <c r="G15" s="256">
        <v>1</v>
      </c>
      <c r="H15" s="256">
        <f t="dataTable" ref="H15:H19" dt2D="0" dtr="0" r1="C14"/>
        <v>241.14344925925928</v>
      </c>
    </row>
    <row r="16" spans="2:15">
      <c r="B16" s="191" t="s">
        <v>273</v>
      </c>
      <c r="C16" s="192">
        <f>INT(DASHBOARD!D7)</f>
        <v>1</v>
      </c>
      <c r="D16" s="192"/>
      <c r="E16" s="193" t="s">
        <v>274</v>
      </c>
      <c r="G16" s="256">
        <v>2</v>
      </c>
      <c r="H16" s="257">
        <v>254.53503250000003</v>
      </c>
      <c r="I16" s="417"/>
    </row>
    <row r="17" spans="2:13">
      <c r="B17" s="180" t="s">
        <v>275</v>
      </c>
      <c r="C17" s="265">
        <v>80</v>
      </c>
      <c r="D17" s="265" t="s">
        <v>276</v>
      </c>
      <c r="E17" s="182"/>
      <c r="G17" s="256">
        <v>4</v>
      </c>
      <c r="H17" s="256">
        <v>281.76166972222222</v>
      </c>
    </row>
    <row r="18" spans="2:13">
      <c r="B18" s="180" t="s">
        <v>277</v>
      </c>
      <c r="C18" s="265">
        <v>1</v>
      </c>
      <c r="D18" s="265"/>
      <c r="E18" s="182"/>
      <c r="G18" s="256">
        <v>6</v>
      </c>
      <c r="H18" s="256">
        <v>315.71949870370366</v>
      </c>
      <c r="I18" s="418"/>
    </row>
    <row r="19" spans="2:13">
      <c r="B19" s="180" t="s">
        <v>278</v>
      </c>
      <c r="C19" s="81">
        <v>1000</v>
      </c>
      <c r="D19" s="265" t="s">
        <v>279</v>
      </c>
      <c r="E19" s="182"/>
      <c r="G19" s="256">
        <v>8</v>
      </c>
      <c r="H19" s="258">
        <v>379.0877227777778</v>
      </c>
    </row>
    <row r="20" spans="2:13">
      <c r="B20" s="174" t="s">
        <v>280</v>
      </c>
      <c r="C20" s="194">
        <v>20000</v>
      </c>
      <c r="D20" s="194" t="s">
        <v>279</v>
      </c>
      <c r="E20" s="195" t="s">
        <v>281</v>
      </c>
      <c r="M20">
        <f>K22</f>
        <v>1.3668883878982274</v>
      </c>
    </row>
    <row r="21" spans="2:13">
      <c r="J21" s="214" t="s">
        <v>282</v>
      </c>
      <c r="K21">
        <v>0.5</v>
      </c>
      <c r="L21">
        <v>0.5</v>
      </c>
      <c r="M21">
        <f t="dataTable" ref="M21:M26" dt2D="0" dtr="0" r1="K21"/>
        <v>1.3668883878982274</v>
      </c>
    </row>
    <row r="22" spans="2:13">
      <c r="B22" s="535" t="s">
        <v>283</v>
      </c>
      <c r="C22" s="172" t="s">
        <v>142</v>
      </c>
      <c r="D22" s="196">
        <f>'Mould Costing'!D9</f>
        <v>664.86718601230632</v>
      </c>
      <c r="E22" s="538" t="b">
        <v>1</v>
      </c>
      <c r="J22" s="214" t="s">
        <v>284</v>
      </c>
      <c r="K22">
        <f>D27/D26</f>
        <v>1.3668883878982274</v>
      </c>
      <c r="L22">
        <v>1</v>
      </c>
      <c r="M22">
        <v>1.3668883878982274</v>
      </c>
    </row>
    <row r="23" spans="2:13">
      <c r="B23" s="536"/>
      <c r="C23" s="180" t="s">
        <v>250</v>
      </c>
      <c r="D23" s="196">
        <f>'Mould Costing'!E10</f>
        <v>614.86718601230632</v>
      </c>
      <c r="E23" s="511"/>
      <c r="L23">
        <v>2</v>
      </c>
      <c r="M23">
        <v>1.3668883878982274</v>
      </c>
    </row>
    <row r="24" spans="2:13">
      <c r="B24" s="537"/>
      <c r="C24" s="197" t="s">
        <v>144</v>
      </c>
      <c r="D24" s="198">
        <f>'Input-Output'!F5</f>
        <v>412.77763404604082</v>
      </c>
      <c r="E24" s="221" t="s">
        <v>285</v>
      </c>
      <c r="L24">
        <v>3</v>
      </c>
      <c r="M24">
        <v>1.3668883878982274</v>
      </c>
    </row>
    <row r="25" spans="2:13" ht="24" customHeight="1">
      <c r="B25" s="199" t="s">
        <v>286</v>
      </c>
      <c r="C25" s="200">
        <f>SUM(C26:C35)</f>
        <v>1.0000000000000002</v>
      </c>
      <c r="D25" s="419">
        <f>SUM(D26:D35)</f>
        <v>1195377.6499999999</v>
      </c>
      <c r="E25" s="420">
        <f>SUM(E26:E35)</f>
        <v>1015577.65</v>
      </c>
      <c r="K25" s="421"/>
      <c r="L25">
        <v>4</v>
      </c>
      <c r="M25">
        <v>1.3668883878982274</v>
      </c>
    </row>
    <row r="26" spans="2:13">
      <c r="B26" s="201" t="s">
        <v>287</v>
      </c>
      <c r="C26" s="202">
        <f t="shared" ref="C26:C35" si="0">D26/$D$25</f>
        <v>0.2545521911004443</v>
      </c>
      <c r="D26" s="422">
        <f>'Mould Costing'!M22</f>
        <v>304286</v>
      </c>
      <c r="E26" s="423">
        <f>D26</f>
        <v>304286</v>
      </c>
      <c r="K26" s="421"/>
      <c r="L26">
        <v>5</v>
      </c>
      <c r="M26">
        <v>1.3668883878982274</v>
      </c>
    </row>
    <row r="27" spans="2:13">
      <c r="B27" s="203" t="s">
        <v>288</v>
      </c>
      <c r="C27" s="202">
        <f t="shared" si="0"/>
        <v>0.3479444341292478</v>
      </c>
      <c r="D27" s="424">
        <f>'Mould Costing'!C84</f>
        <v>415925</v>
      </c>
      <c r="E27" s="423">
        <f>VLOOKUP($C$16,COMPLEXITY!$A$2:$B$7,2,TRUE)*D27</f>
        <v>415925</v>
      </c>
      <c r="K27" s="421"/>
    </row>
    <row r="28" spans="2:13">
      <c r="B28" s="203" t="s">
        <v>184</v>
      </c>
      <c r="C28" s="202">
        <f t="shared" si="0"/>
        <v>1.2631991237246239E-2</v>
      </c>
      <c r="D28" s="424">
        <f>'Mould Costing'!K50</f>
        <v>15100</v>
      </c>
      <c r="E28" s="423">
        <f>D28</f>
        <v>15100</v>
      </c>
      <c r="K28" s="421"/>
    </row>
    <row r="29" spans="2:13">
      <c r="B29" s="203" t="s">
        <v>232</v>
      </c>
      <c r="C29" s="202">
        <f t="shared" si="0"/>
        <v>0.10038668532910919</v>
      </c>
      <c r="D29" s="424">
        <f>'Mould Costing'!L97</f>
        <v>120000</v>
      </c>
      <c r="E29" s="425">
        <f>'Mould Costing'!L97</f>
        <v>120000</v>
      </c>
      <c r="K29" s="421"/>
    </row>
    <row r="30" spans="2:13">
      <c r="B30" s="203" t="s">
        <v>289</v>
      </c>
      <c r="C30" s="202">
        <f t="shared" si="0"/>
        <v>0</v>
      </c>
      <c r="D30" s="424">
        <f>'Mould Costing'!$L$98</f>
        <v>0</v>
      </c>
      <c r="E30" s="425">
        <f>'Mould Costing'!$L$98</f>
        <v>0</v>
      </c>
      <c r="K30" s="421"/>
    </row>
    <row r="31" spans="2:13">
      <c r="B31" s="203" t="s">
        <v>290</v>
      </c>
      <c r="C31" s="202">
        <f t="shared" si="0"/>
        <v>0.15041271685144858</v>
      </c>
      <c r="D31" s="424">
        <f>'Mould Costing'!K60</f>
        <v>179800</v>
      </c>
      <c r="E31" s="423">
        <f>D32</f>
        <v>0</v>
      </c>
      <c r="K31" s="421"/>
    </row>
    <row r="32" spans="2:13">
      <c r="B32" s="203" t="s">
        <v>291</v>
      </c>
      <c r="C32" s="202">
        <f t="shared" si="0"/>
        <v>0</v>
      </c>
      <c r="D32" s="424">
        <f>'Mould Costing'!K89</f>
        <v>0</v>
      </c>
      <c r="E32" s="423">
        <f>VLOOKUP($C$16,COMPLEXITY!$A$2:$B$7,2,TRUE)*D32</f>
        <v>0</v>
      </c>
      <c r="K32" s="421"/>
    </row>
    <row r="33" spans="1:11">
      <c r="B33" s="203" t="s">
        <v>292</v>
      </c>
      <c r="C33" s="202">
        <f t="shared" si="0"/>
        <v>4.1827785553795495E-3</v>
      </c>
      <c r="D33" s="424">
        <f>'Mould Costing'!L96</f>
        <v>5000</v>
      </c>
      <c r="E33" s="423">
        <f>VLOOKUP($C$16,COMPLEXITY!$A$2:$B$7,2,TRUE)*D33</f>
        <v>5000</v>
      </c>
      <c r="K33" s="421"/>
    </row>
    <row r="34" spans="1:11">
      <c r="B34" s="203" t="s">
        <v>237</v>
      </c>
      <c r="C34" s="202">
        <f t="shared" si="0"/>
        <v>0</v>
      </c>
      <c r="D34" s="424">
        <f>'Mould Costing'!$L$99</f>
        <v>0</v>
      </c>
      <c r="E34" s="425">
        <f>'Mould Costing'!$L$99</f>
        <v>0</v>
      </c>
      <c r="K34" s="421"/>
    </row>
    <row r="35" spans="1:11">
      <c r="A35" s="204">
        <v>0.15</v>
      </c>
      <c r="B35" s="205" t="s">
        <v>293</v>
      </c>
      <c r="C35" s="206">
        <f t="shared" si="0"/>
        <v>0.1298892027971244</v>
      </c>
      <c r="D35" s="426">
        <f>'Mould Costing'!L95</f>
        <v>155266.65</v>
      </c>
      <c r="E35" s="427">
        <f>'Mould Costing'!L95</f>
        <v>155266.65</v>
      </c>
      <c r="K35" s="421"/>
    </row>
  </sheetData>
  <mergeCells count="3">
    <mergeCell ref="B2:D3"/>
    <mergeCell ref="B22:B24"/>
    <mergeCell ref="E22:E23"/>
  </mergeCells>
  <conditionalFormatting sqref="B15">
    <cfRule type="expression" dxfId="135" priority="4">
      <formula>$E$14=TRUE</formula>
    </cfRule>
  </conditionalFormatting>
  <conditionalFormatting sqref="C15">
    <cfRule type="expression" dxfId="134" priority="3">
      <formula>$E$14=TRUE</formula>
    </cfRule>
  </conditionalFormatting>
  <conditionalFormatting sqref="D15">
    <cfRule type="expression" dxfId="133" priority="5">
      <formula>$E$14=TRUE</formula>
    </cfRule>
  </conditionalFormatting>
  <conditionalFormatting sqref="E15">
    <cfRule type="expression" dxfId="132" priority="6">
      <formula>$E$14=TRUE</formula>
    </cfRule>
  </conditionalFormatting>
  <pageMargins left="0.25" right="0.25" top="0.75" bottom="0.75" header="0.3" footer="0.3"/>
  <pageSetup paperSize="9" scale="85"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pageSetUpPr fitToPage="1"/>
  </sheetPr>
  <dimension ref="A1:O27"/>
  <sheetViews>
    <sheetView topLeftCell="C1" zoomScale="85" zoomScaleNormal="85" workbookViewId="0">
      <selection activeCell="L7" sqref="L7"/>
    </sheetView>
  </sheetViews>
  <sheetFormatPr defaultColWidth="9" defaultRowHeight="14.5"/>
  <cols>
    <col min="1" max="1" width="20.6328125" style="357" customWidth="1"/>
    <col min="2" max="2" width="15.90625" style="357" customWidth="1"/>
    <col min="3" max="3" width="38.08984375" style="357" customWidth="1"/>
    <col min="4" max="4" width="10.90625" style="357" customWidth="1"/>
    <col min="5" max="5" width="23.08984375" style="357" customWidth="1"/>
    <col min="8" max="8" width="6.08984375" style="357" customWidth="1"/>
    <col min="9" max="9" width="30.26953125" style="357" customWidth="1"/>
    <col min="10" max="10" width="19.36328125" style="357" customWidth="1"/>
    <col min="15" max="15" width="19.36328125" style="357" customWidth="1"/>
  </cols>
  <sheetData>
    <row r="1" spans="1:12">
      <c r="A1" s="226"/>
      <c r="B1" s="539"/>
      <c r="C1" s="457"/>
    </row>
    <row r="2" spans="1:12" ht="16.5" customHeight="1">
      <c r="A2" t="s">
        <v>294</v>
      </c>
      <c r="B2" t="s">
        <v>295</v>
      </c>
      <c r="C2" t="s">
        <v>296</v>
      </c>
      <c r="D2" t="s">
        <v>297</v>
      </c>
      <c r="E2" t="s">
        <v>298</v>
      </c>
      <c r="F2" t="s">
        <v>299</v>
      </c>
      <c r="G2" t="s">
        <v>300</v>
      </c>
      <c r="I2" s="168" t="s">
        <v>301</v>
      </c>
      <c r="J2" s="169" t="s">
        <v>302</v>
      </c>
      <c r="K2" s="359" t="s">
        <v>303</v>
      </c>
      <c r="L2" t="s">
        <v>304</v>
      </c>
    </row>
    <row r="3" spans="1:12" s="187" customFormat="1" ht="27.5" customHeight="1">
      <c r="A3" s="164" t="s">
        <v>158</v>
      </c>
      <c r="B3" s="187">
        <v>7.8</v>
      </c>
      <c r="C3" s="164" t="s">
        <v>305</v>
      </c>
      <c r="D3" s="165">
        <f>Table1[[#This Row],[Total]]</f>
        <v>128</v>
      </c>
      <c r="E3" s="166">
        <v>128</v>
      </c>
      <c r="F3" s="166"/>
      <c r="G3" s="166">
        <f>Table1[[#This Row],[RM cost]]+Table1[[#This Row],[Extra cost]]</f>
        <v>128</v>
      </c>
      <c r="I3" s="170" t="s">
        <v>98</v>
      </c>
      <c r="J3" s="187">
        <v>3</v>
      </c>
      <c r="K3" s="187">
        <v>400</v>
      </c>
    </row>
    <row r="4" spans="1:12" ht="26" customHeight="1">
      <c r="A4" s="62" t="s">
        <v>177</v>
      </c>
      <c r="B4">
        <v>7.85</v>
      </c>
      <c r="C4" s="164" t="s">
        <v>306</v>
      </c>
      <c r="D4" s="5">
        <f>Table1[[#This Row],[Total]]</f>
        <v>255</v>
      </c>
      <c r="E4" s="166">
        <v>120</v>
      </c>
      <c r="F4" s="166">
        <v>135</v>
      </c>
      <c r="G4" s="166">
        <f>Table1[[#This Row],[RM cost]]+Table1[[#This Row],[Extra cost]]</f>
        <v>255</v>
      </c>
      <c r="I4" s="170" t="s">
        <v>99</v>
      </c>
      <c r="J4">
        <v>5</v>
      </c>
      <c r="K4" s="187">
        <v>400</v>
      </c>
    </row>
    <row r="5" spans="1:12" ht="20.5" customHeight="1">
      <c r="A5" s="62" t="s">
        <v>178</v>
      </c>
      <c r="B5">
        <v>7.8</v>
      </c>
      <c r="C5" s="62" t="s">
        <v>307</v>
      </c>
      <c r="D5" s="5">
        <f>Table1[[#This Row],[Total]]</f>
        <v>150</v>
      </c>
      <c r="E5" s="166">
        <v>150</v>
      </c>
      <c r="F5" s="166"/>
      <c r="G5" s="166">
        <f>Table1[[#This Row],[RM cost]]+Table1[[#This Row],[Extra cost]]</f>
        <v>150</v>
      </c>
      <c r="I5" s="170" t="s">
        <v>100</v>
      </c>
      <c r="J5">
        <v>4</v>
      </c>
      <c r="K5" s="187">
        <v>400</v>
      </c>
    </row>
    <row r="6" spans="1:12" ht="27" customHeight="1">
      <c r="A6" s="62" t="s">
        <v>171</v>
      </c>
      <c r="B6">
        <v>8.67</v>
      </c>
      <c r="C6" s="164" t="s">
        <v>308</v>
      </c>
      <c r="D6" s="5">
        <f>Table1[[#This Row],[Total]]</f>
        <v>125</v>
      </c>
      <c r="E6" s="166">
        <v>125</v>
      </c>
      <c r="F6" s="166"/>
      <c r="G6" s="166">
        <f>Table1[[#This Row],[RM cost]]+Table1[[#This Row],[Extra cost]]</f>
        <v>125</v>
      </c>
      <c r="I6" s="170" t="s">
        <v>101</v>
      </c>
      <c r="J6">
        <v>0.17499999999999999</v>
      </c>
      <c r="K6">
        <v>500</v>
      </c>
    </row>
    <row r="7" spans="1:12">
      <c r="A7" s="62" t="s">
        <v>179</v>
      </c>
      <c r="B7">
        <v>7.7</v>
      </c>
      <c r="C7" s="62" t="s">
        <v>309</v>
      </c>
      <c r="D7" s="5">
        <f>Table1[[#This Row],[Total]]</f>
        <v>200</v>
      </c>
      <c r="E7" s="166">
        <v>200</v>
      </c>
      <c r="F7" s="166"/>
      <c r="G7" s="166">
        <f>Table1[[#This Row],[RM cost]]+Table1[[#This Row],[Extra cost]]</f>
        <v>200</v>
      </c>
      <c r="I7" s="170" t="s">
        <v>102</v>
      </c>
      <c r="J7">
        <v>0.2</v>
      </c>
      <c r="K7">
        <v>500</v>
      </c>
    </row>
    <row r="8" spans="1:12">
      <c r="A8" s="62" t="s">
        <v>180</v>
      </c>
      <c r="B8">
        <v>7.8</v>
      </c>
      <c r="C8" s="62" t="s">
        <v>310</v>
      </c>
      <c r="D8" s="5">
        <f>Table1[[#This Row],[Total]]</f>
        <v>590</v>
      </c>
      <c r="E8" s="166">
        <v>590</v>
      </c>
      <c r="F8" s="166"/>
      <c r="G8" s="166">
        <f>Table1[[#This Row],[RM cost]]+Table1[[#This Row],[Extra cost]]</f>
        <v>590</v>
      </c>
      <c r="I8" s="170" t="s">
        <v>103</v>
      </c>
      <c r="J8">
        <v>1</v>
      </c>
      <c r="K8">
        <v>500</v>
      </c>
    </row>
    <row r="9" spans="1:12">
      <c r="A9" s="62" t="s">
        <v>181</v>
      </c>
      <c r="B9">
        <v>8.16</v>
      </c>
      <c r="C9" s="62" t="s">
        <v>311</v>
      </c>
      <c r="D9" s="5">
        <f>Table1[[#This Row],[Total]]</f>
        <v>950</v>
      </c>
      <c r="E9" s="166">
        <v>950</v>
      </c>
      <c r="F9" s="166"/>
      <c r="G9" s="166">
        <f>Table1[[#This Row],[RM cost]]+Table1[[#This Row],[Extra cost]]</f>
        <v>950</v>
      </c>
      <c r="I9" s="170" t="s">
        <v>104</v>
      </c>
      <c r="J9">
        <v>0.5</v>
      </c>
      <c r="K9">
        <v>500</v>
      </c>
    </row>
    <row r="10" spans="1:12">
      <c r="A10" s="62" t="s">
        <v>182</v>
      </c>
      <c r="B10">
        <v>7.3</v>
      </c>
      <c r="C10" s="62" t="s">
        <v>312</v>
      </c>
      <c r="D10" s="5">
        <f>Table1[[#This Row],[Total]]</f>
        <v>100</v>
      </c>
      <c r="E10" s="166">
        <v>100</v>
      </c>
      <c r="F10" s="166"/>
      <c r="G10" s="166">
        <f>Table1[[#This Row],[RM cost]]+Table1[[#This Row],[Extra cost]]</f>
        <v>100</v>
      </c>
      <c r="I10" s="170" t="s">
        <v>105</v>
      </c>
      <c r="J10">
        <v>0.3</v>
      </c>
      <c r="K10">
        <v>500</v>
      </c>
    </row>
    <row r="11" spans="1:12">
      <c r="A11" s="62" t="s">
        <v>164</v>
      </c>
      <c r="B11">
        <v>7.8609999999999998</v>
      </c>
      <c r="C11" s="62" t="s">
        <v>313</v>
      </c>
      <c r="D11" s="5">
        <f>Table1[[#This Row],[Total]]</f>
        <v>230</v>
      </c>
      <c r="E11" s="166">
        <v>230</v>
      </c>
      <c r="F11" s="166"/>
      <c r="G11" s="166">
        <v>230</v>
      </c>
      <c r="I11" s="170" t="s">
        <v>106</v>
      </c>
      <c r="J11">
        <v>2</v>
      </c>
      <c r="K11">
        <v>500</v>
      </c>
    </row>
    <row r="12" spans="1:12">
      <c r="A12" s="62" t="s">
        <v>314</v>
      </c>
      <c r="B12" s="62">
        <v>7.8</v>
      </c>
      <c r="C12" s="62" t="s">
        <v>315</v>
      </c>
      <c r="D12" s="5">
        <f>Table1[[#This Row],[Total]]</f>
        <v>985</v>
      </c>
      <c r="E12" s="166">
        <v>985</v>
      </c>
      <c r="F12" s="166"/>
      <c r="G12" s="166">
        <f>Table1[[#This Row],[RM cost]]+Table1[[#This Row],[Extra cost]]</f>
        <v>985</v>
      </c>
      <c r="I12" s="170" t="s">
        <v>107</v>
      </c>
      <c r="J12">
        <v>0.01</v>
      </c>
      <c r="K12">
        <v>800</v>
      </c>
    </row>
    <row r="13" spans="1:12">
      <c r="A13" s="62" t="s">
        <v>316</v>
      </c>
      <c r="B13" s="62"/>
      <c r="C13" s="62" t="s">
        <v>317</v>
      </c>
      <c r="D13" s="5">
        <f>Table1[[#This Row],[Total]]</f>
        <v>200</v>
      </c>
      <c r="E13" s="166">
        <v>200</v>
      </c>
      <c r="F13" s="166"/>
      <c r="G13" s="166">
        <f>Table1[[#This Row],[RM cost]]+Table1[[#This Row],[Extra cost]]</f>
        <v>200</v>
      </c>
      <c r="I13" s="170" t="s">
        <v>108</v>
      </c>
      <c r="J13">
        <v>0.01</v>
      </c>
      <c r="K13">
        <v>800</v>
      </c>
    </row>
    <row r="14" spans="1:12">
      <c r="A14" s="62" t="s">
        <v>318</v>
      </c>
      <c r="B14" s="62"/>
      <c r="C14" s="62" t="s">
        <v>317</v>
      </c>
      <c r="D14" s="5">
        <f>Table1[[#This Row],[Total]]</f>
        <v>120</v>
      </c>
      <c r="E14" s="166">
        <v>120</v>
      </c>
      <c r="F14" s="166"/>
      <c r="G14" s="166">
        <f>Table1[[#This Row],[RM cost]]+Table1[[#This Row],[Extra cost]]</f>
        <v>120</v>
      </c>
      <c r="I14" s="170" t="s">
        <v>109</v>
      </c>
      <c r="J14">
        <v>0.2</v>
      </c>
      <c r="K14">
        <v>500</v>
      </c>
    </row>
    <row r="15" spans="1:12">
      <c r="A15" s="62" t="s">
        <v>319</v>
      </c>
      <c r="B15" s="62"/>
      <c r="C15" s="62" t="s">
        <v>320</v>
      </c>
      <c r="D15" s="5">
        <f>Table1[[#This Row],[Total]]</f>
        <v>500</v>
      </c>
      <c r="E15" s="166">
        <v>500</v>
      </c>
      <c r="F15" s="166"/>
      <c r="G15" s="166">
        <f>Table1[[#This Row],[RM cost]]+Table1[[#This Row],[Extra cost]]</f>
        <v>500</v>
      </c>
      <c r="I15" s="170" t="s">
        <v>110</v>
      </c>
      <c r="J15">
        <v>1.2</v>
      </c>
      <c r="K15">
        <v>1200</v>
      </c>
    </row>
    <row r="16" spans="1:12">
      <c r="A16" s="223" t="s">
        <v>168</v>
      </c>
      <c r="B16" s="62">
        <v>1.5</v>
      </c>
      <c r="C16" s="62" t="s">
        <v>321</v>
      </c>
      <c r="D16" s="5">
        <f>Table1[[#This Row],[Total]]</f>
        <v>1500</v>
      </c>
      <c r="E16" s="167"/>
      <c r="F16" s="167"/>
      <c r="G16" s="167">
        <v>1500</v>
      </c>
      <c r="I16" s="170" t="s">
        <v>111</v>
      </c>
      <c r="J16">
        <v>1</v>
      </c>
      <c r="K16">
        <v>1200</v>
      </c>
    </row>
    <row r="17" spans="1:11">
      <c r="A17" s="62"/>
      <c r="B17" s="62"/>
      <c r="C17" s="62"/>
      <c r="E17" s="62"/>
      <c r="F17" s="62"/>
      <c r="G17" s="62"/>
      <c r="I17" s="171" t="s">
        <v>112</v>
      </c>
      <c r="J17">
        <v>1</v>
      </c>
      <c r="K17">
        <v>1200</v>
      </c>
    </row>
    <row r="19" spans="1:11">
      <c r="A19" s="336" t="s">
        <v>260</v>
      </c>
      <c r="B19" s="336" t="s">
        <v>155</v>
      </c>
      <c r="C19" s="336" t="s">
        <v>322</v>
      </c>
      <c r="D19" s="336" t="s">
        <v>323</v>
      </c>
      <c r="E19" s="336" t="s">
        <v>324</v>
      </c>
    </row>
    <row r="20" spans="1:11">
      <c r="A20" s="336" t="s">
        <v>325</v>
      </c>
      <c r="B20" s="148">
        <v>136</v>
      </c>
      <c r="C20" s="148">
        <v>0.32</v>
      </c>
      <c r="D20" s="148">
        <v>1</v>
      </c>
      <c r="E20" s="148">
        <v>3</v>
      </c>
    </row>
    <row r="21" spans="1:11">
      <c r="A21" s="336" t="s">
        <v>326</v>
      </c>
      <c r="B21" s="148">
        <v>161</v>
      </c>
      <c r="C21" s="148">
        <v>0.32</v>
      </c>
      <c r="D21" s="148">
        <v>0.92</v>
      </c>
      <c r="E21" s="148">
        <f>AVERAGE(0.19,0.3)</f>
        <v>0.245</v>
      </c>
    </row>
    <row r="22" spans="1:11">
      <c r="A22" s="336" t="s">
        <v>327</v>
      </c>
      <c r="B22" s="148">
        <v>139</v>
      </c>
      <c r="C22" s="148">
        <v>0.32</v>
      </c>
      <c r="D22" s="148">
        <v>0.91</v>
      </c>
      <c r="E22" s="148">
        <f>AVERAGE(1,3.5)</f>
        <v>2.25</v>
      </c>
    </row>
    <row r="23" spans="1:11">
      <c r="A23" s="336" t="s">
        <v>261</v>
      </c>
      <c r="B23" s="148">
        <v>210</v>
      </c>
      <c r="C23" s="148">
        <v>0.4</v>
      </c>
      <c r="D23" s="148">
        <v>1.03</v>
      </c>
      <c r="E23" s="148">
        <f>AVERAGE(1.79,3.2)</f>
        <v>2.4950000000000001</v>
      </c>
    </row>
    <row r="24" spans="1:11">
      <c r="A24" s="336" t="s">
        <v>328</v>
      </c>
      <c r="B24" s="148">
        <v>481</v>
      </c>
      <c r="C24" s="148">
        <v>0.69</v>
      </c>
      <c r="D24" s="148">
        <v>1.01</v>
      </c>
      <c r="E24" s="148">
        <f>AVERAGE(1,3.2)</f>
        <v>2.1</v>
      </c>
    </row>
    <row r="25" spans="1:11">
      <c r="A25" s="336" t="s">
        <v>329</v>
      </c>
      <c r="B25" s="148">
        <v>300</v>
      </c>
      <c r="C25" s="148">
        <v>0.69</v>
      </c>
      <c r="D25" s="148">
        <v>1.41</v>
      </c>
      <c r="E25" s="148">
        <f>AVERAGE(2.8,3.4)</f>
        <v>3.0999999999999996</v>
      </c>
    </row>
    <row r="26" spans="1:11">
      <c r="A26" s="336" t="s">
        <v>330</v>
      </c>
      <c r="B26" s="148">
        <v>220</v>
      </c>
      <c r="C26" s="148">
        <v>0.69</v>
      </c>
      <c r="D26" s="148">
        <v>2.54</v>
      </c>
      <c r="E26" s="148">
        <v>72</v>
      </c>
    </row>
    <row r="27" spans="1:11">
      <c r="A27" s="336" t="s">
        <v>331</v>
      </c>
      <c r="B27" s="148">
        <v>257</v>
      </c>
      <c r="C27" s="148">
        <v>0.72</v>
      </c>
      <c r="D27" s="148">
        <v>1.1399999999999999</v>
      </c>
      <c r="E27" s="148">
        <v>2.7</v>
      </c>
    </row>
  </sheetData>
  <mergeCells count="1">
    <mergeCell ref="B1:C1"/>
  </mergeCells>
  <pageMargins left="0.7" right="0.7" top="0.75" bottom="0.75" header="0.3" footer="0.3"/>
  <pageSetup paperSize="9" scale="75" fitToHeight="0" orientation="landscape"/>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249977111117893"/>
    <pageSetUpPr fitToPage="1"/>
  </sheetPr>
  <dimension ref="A1:J33"/>
  <sheetViews>
    <sheetView workbookViewId="0">
      <selection activeCell="I10" sqref="I10"/>
    </sheetView>
  </sheetViews>
  <sheetFormatPr defaultColWidth="9" defaultRowHeight="14.5"/>
  <cols>
    <col min="1" max="1" width="21.26953125" style="357" customWidth="1"/>
    <col min="2" max="2" width="17.90625" style="357" customWidth="1"/>
    <col min="4" max="4" width="10.81640625" style="357" customWidth="1"/>
    <col min="5" max="5" width="19.1796875" style="357" customWidth="1"/>
    <col min="6" max="6" width="17.36328125" style="357" customWidth="1"/>
    <col min="7" max="7" width="11.453125" style="357" customWidth="1"/>
    <col min="8" max="8" width="11.81640625" style="357" customWidth="1"/>
  </cols>
  <sheetData>
    <row r="1" spans="1:8">
      <c r="A1" s="374" t="s">
        <v>332</v>
      </c>
      <c r="B1" s="374" t="s">
        <v>141</v>
      </c>
      <c r="C1" s="374" t="s">
        <v>333</v>
      </c>
      <c r="E1" s="540" t="s">
        <v>334</v>
      </c>
      <c r="F1" s="435"/>
    </row>
    <row r="2" spans="1:8" ht="14.5" customHeight="1">
      <c r="A2" s="336" t="s">
        <v>142</v>
      </c>
      <c r="B2" s="148" t="str">
        <f>IF('INJ. MOULDING ESTIMATION'!C9=TRUE,'INJ. MOULDING ESTIMATION'!C6,'INJ. MOULDING ESTIMATION'!C7)</f>
        <v>100</v>
      </c>
      <c r="C2" s="336" t="s">
        <v>247</v>
      </c>
      <c r="E2" s="459"/>
      <c r="F2" s="461"/>
    </row>
    <row r="3" spans="1:8">
      <c r="A3" s="336" t="s">
        <v>250</v>
      </c>
      <c r="B3" s="148" t="str">
        <f>IF('INJ. MOULDING ESTIMATION'!C9=TRUE,'INJ. MOULDING ESTIMATION'!C7,'INJ. MOULDING ESTIMATION'!C6)</f>
        <v>200</v>
      </c>
      <c r="C3" s="336" t="s">
        <v>247</v>
      </c>
      <c r="E3" s="149" t="s">
        <v>142</v>
      </c>
      <c r="F3" s="108">
        <f>VLOOKUP(F6,E12:H16,2,FALSE)+50</f>
        <v>564.86718601230632</v>
      </c>
    </row>
    <row r="4" spans="1:8">
      <c r="A4" s="336" t="s">
        <v>144</v>
      </c>
      <c r="B4" s="148" t="str">
        <f>'INJ. MOULDING ESTIMATION'!C8</f>
        <v>50</v>
      </c>
      <c r="C4" s="336" t="s">
        <v>247</v>
      </c>
      <c r="E4" s="149" t="s">
        <v>335</v>
      </c>
      <c r="F4" s="108">
        <f>VLOOKUP(F6,E12:G16,3,FALSE)+50</f>
        <v>514.86718601230632</v>
      </c>
    </row>
    <row r="5" spans="1:8">
      <c r="A5" s="336" t="s">
        <v>336</v>
      </c>
      <c r="B5" s="148">
        <f>B2*B3*B4</f>
        <v>1000000</v>
      </c>
      <c r="C5" s="336" t="s">
        <v>337</v>
      </c>
      <c r="E5" s="149" t="s">
        <v>338</v>
      </c>
      <c r="F5" s="108">
        <f>VLOOKUP($F$6,$E$12:$H$16,4,FALSE)</f>
        <v>412.77763404604082</v>
      </c>
    </row>
    <row r="6" spans="1:8">
      <c r="A6" s="336" t="s">
        <v>339</v>
      </c>
      <c r="B6" s="148">
        <f>'INJ. MOULDING ESTIMATION'!C17/100</f>
        <v>0.8</v>
      </c>
      <c r="C6" s="336"/>
      <c r="E6" s="149" t="s">
        <v>340</v>
      </c>
      <c r="F6" s="150">
        <f>INT(B10)</f>
        <v>2</v>
      </c>
    </row>
    <row r="7" spans="1:8">
      <c r="A7" s="336" t="s">
        <v>341</v>
      </c>
      <c r="B7" s="148">
        <f>B6*B2*B3</f>
        <v>16000</v>
      </c>
      <c r="C7" s="336" t="s">
        <v>342</v>
      </c>
      <c r="E7" s="149" t="s">
        <v>343</v>
      </c>
      <c r="F7" s="110">
        <v>50</v>
      </c>
    </row>
    <row r="8" spans="1:8">
      <c r="A8" s="310" t="s">
        <v>344</v>
      </c>
      <c r="B8">
        <f>2*((B2*B3)/2+B3*B4+B2*B4)</f>
        <v>50000</v>
      </c>
      <c r="C8" s="336"/>
      <c r="E8" s="149"/>
      <c r="F8" s="110"/>
    </row>
    <row r="9" spans="1:8">
      <c r="A9" s="336" t="s">
        <v>345</v>
      </c>
      <c r="B9" s="148" t="str">
        <f>'INJ. MOULDING ESTIMATION'!C12</f>
        <v>ABS</v>
      </c>
      <c r="C9" s="336"/>
      <c r="E9" s="149" t="s">
        <v>346</v>
      </c>
      <c r="F9" s="150">
        <f>F3*F4*F5</f>
        <v>120048770.89266355</v>
      </c>
    </row>
    <row r="10" spans="1:8">
      <c r="A10" s="336" t="s">
        <v>347</v>
      </c>
      <c r="B10" s="151" t="str">
        <f>'INJ. MOULDING ESTIMATION'!C14</f>
        <v>2</v>
      </c>
      <c r="C10" s="336"/>
    </row>
    <row r="11" spans="1:8">
      <c r="A11" s="336" t="s">
        <v>348</v>
      </c>
      <c r="B11" s="148">
        <f>'INJ. MOULDING ESTIMATION'!C20</f>
        <v>20000</v>
      </c>
      <c r="C11" s="336"/>
      <c r="E11" s="152" t="s">
        <v>340</v>
      </c>
      <c r="F11" s="153" t="s">
        <v>142</v>
      </c>
      <c r="G11" s="153" t="s">
        <v>250</v>
      </c>
      <c r="H11" s="153" t="s">
        <v>144</v>
      </c>
    </row>
    <row r="12" spans="1:8">
      <c r="A12" s="336" t="s">
        <v>349</v>
      </c>
      <c r="B12" s="154">
        <f>'No of Cavity'!B6</f>
        <v>19.399999999999999</v>
      </c>
      <c r="C12" s="336" t="s">
        <v>350</v>
      </c>
      <c r="E12" s="153">
        <v>1</v>
      </c>
      <c r="F12" s="155">
        <f>'Mould Layout'!B$28</f>
        <v>364.86718601230632</v>
      </c>
      <c r="G12" s="155">
        <f>'Mould Layout'!B$30</f>
        <v>464.86718601230632</v>
      </c>
      <c r="H12" s="155">
        <f>'Mould Layout'!B$32</f>
        <v>412.77763404604082</v>
      </c>
    </row>
    <row r="13" spans="1:8">
      <c r="A13" s="336" t="s">
        <v>264</v>
      </c>
      <c r="B13" s="148">
        <f>VLOOKUP(B9,Table11[],3,FALSE)*1000</f>
        <v>400</v>
      </c>
      <c r="C13" s="336"/>
      <c r="E13" s="153">
        <v>2</v>
      </c>
      <c r="F13" s="155">
        <f>'Mould Layout'!C$28</f>
        <v>514.86718601230632</v>
      </c>
      <c r="G13" s="155">
        <f>'Mould Layout'!C$30</f>
        <v>464.86718601230632</v>
      </c>
      <c r="H13" s="155">
        <f>'Mould Layout'!C$32</f>
        <v>412.77763404604082</v>
      </c>
    </row>
    <row r="14" spans="1:8">
      <c r="A14" s="336" t="s">
        <v>257</v>
      </c>
      <c r="B14" s="148">
        <f>'INJ. MOULDING ESTIMATION'!C10</f>
        <v>2</v>
      </c>
      <c r="C14" s="336" t="s">
        <v>247</v>
      </c>
      <c r="E14" s="153">
        <v>4</v>
      </c>
      <c r="F14" s="155">
        <f>'Mould Layout'!D$28</f>
        <v>514.86718601230632</v>
      </c>
      <c r="G14" s="155">
        <f>'Mould Layout'!D$30</f>
        <v>714.86718601230632</v>
      </c>
      <c r="H14" s="155">
        <f>'Mould Layout'!D$32</f>
        <v>412.77763404604082</v>
      </c>
    </row>
    <row r="15" spans="1:8">
      <c r="A15" s="336" t="s">
        <v>351</v>
      </c>
      <c r="B15" s="148">
        <f>'INJ. MOULDING ESTIMATION'!C11</f>
        <v>3</v>
      </c>
      <c r="C15" s="336" t="s">
        <v>247</v>
      </c>
      <c r="E15" s="153">
        <v>6</v>
      </c>
      <c r="F15" s="155">
        <f>'Mould Layout'!E$28</f>
        <v>514.86718601230632</v>
      </c>
      <c r="G15" s="155">
        <f>'Mould Layout'!E$30</f>
        <v>964.86718601230632</v>
      </c>
      <c r="H15" s="155">
        <f>'Mould Layout'!E$32</f>
        <v>412.77763404604082</v>
      </c>
    </row>
    <row r="16" spans="1:8">
      <c r="A16" s="336" t="s">
        <v>352</v>
      </c>
      <c r="B16" s="156">
        <f>'INJ. MOULDING ESTIMATION'!C19</f>
        <v>1000</v>
      </c>
      <c r="C16" s="336"/>
      <c r="E16" s="153">
        <v>8</v>
      </c>
      <c r="F16" s="155">
        <f>'Mould Layout'!F$28</f>
        <v>814.86718601230632</v>
      </c>
      <c r="G16" s="155">
        <f>'Mould Layout'!F30</f>
        <v>714.86718601230632</v>
      </c>
      <c r="H16" s="155">
        <f>'Mould Layout'!F$32</f>
        <v>412.77763404604082</v>
      </c>
    </row>
    <row r="17" spans="1:10">
      <c r="A17" s="282" t="s">
        <v>353</v>
      </c>
      <c r="B17" s="148"/>
      <c r="C17" s="336"/>
    </row>
    <row r="18" spans="1:10">
      <c r="A18" s="157" t="s">
        <v>354</v>
      </c>
      <c r="B18" s="158" t="s">
        <v>355</v>
      </c>
      <c r="D18">
        <f>B23</f>
        <v>5090700.6500000004</v>
      </c>
      <c r="E18" t="s">
        <v>254</v>
      </c>
    </row>
    <row r="19" spans="1:10">
      <c r="A19" s="352" t="s">
        <v>356</v>
      </c>
      <c r="B19" s="50">
        <f>'Mould Costing'!L100</f>
        <v>1195377.6499999999</v>
      </c>
      <c r="D19">
        <f>D18/B11</f>
        <v>254.53503250000003</v>
      </c>
      <c r="E19" t="s">
        <v>357</v>
      </c>
      <c r="G19" t="s">
        <v>358</v>
      </c>
      <c r="I19">
        <f>0.9*8</f>
        <v>7.2</v>
      </c>
    </row>
    <row r="20" spans="1:10">
      <c r="A20" s="352" t="s">
        <v>359</v>
      </c>
      <c r="B20" s="86">
        <f>'Part Cost'!B15</f>
        <v>3895323</v>
      </c>
      <c r="D20">
        <f>D18/B28</f>
        <v>254535.03250000003</v>
      </c>
      <c r="E20" t="s">
        <v>360</v>
      </c>
      <c r="G20" t="s">
        <v>361</v>
      </c>
      <c r="I20">
        <f>B12/3600</f>
        <v>5.3888888888888884E-3</v>
      </c>
    </row>
    <row r="21" spans="1:10">
      <c r="A21" s="259" t="s">
        <v>280</v>
      </c>
      <c r="B21" s="86">
        <f>B11</f>
        <v>20000</v>
      </c>
      <c r="D21" s="22">
        <f>8*3600/B12*0.9</f>
        <v>1336.0824742268044</v>
      </c>
      <c r="E21" t="s">
        <v>362</v>
      </c>
      <c r="G21" t="s">
        <v>363</v>
      </c>
      <c r="I21">
        <f>I19/I20</f>
        <v>1336.0824742268044</v>
      </c>
    </row>
    <row r="22" spans="1:10">
      <c r="A22" s="352"/>
      <c r="B22" s="86"/>
      <c r="D22" s="22">
        <f>D21*B28/B10</f>
        <v>13360.824742268043</v>
      </c>
      <c r="E22" t="s">
        <v>364</v>
      </c>
      <c r="G22" t="s">
        <v>365</v>
      </c>
      <c r="I22">
        <f>10%*I21</f>
        <v>133.60824742268045</v>
      </c>
    </row>
    <row r="23" spans="1:10" ht="23.5" customHeight="1">
      <c r="A23" s="159" t="s">
        <v>366</v>
      </c>
      <c r="B23" s="160">
        <f>SUM(B19,B20)</f>
        <v>5090700.6500000004</v>
      </c>
      <c r="G23" t="s">
        <v>367</v>
      </c>
      <c r="I23">
        <f>I21-I22</f>
        <v>1202.4742268041239</v>
      </c>
      <c r="J23" t="s">
        <v>368</v>
      </c>
    </row>
    <row r="24" spans="1:10">
      <c r="G24" t="s">
        <v>369</v>
      </c>
      <c r="I24">
        <f>I23*B10*'No of Cavity'!B10</f>
        <v>2404.9484536082477</v>
      </c>
      <c r="J24">
        <f>I24/(8*3600)</f>
        <v>8.3505154639175266E-2</v>
      </c>
    </row>
    <row r="28" spans="1:10">
      <c r="A28" s="161" t="s">
        <v>370</v>
      </c>
      <c r="B28" s="162">
        <f>B21/B16</f>
        <v>20</v>
      </c>
      <c r="E28" t="s">
        <v>371</v>
      </c>
      <c r="F28">
        <f>5%*D25</f>
        <v>0</v>
      </c>
    </row>
    <row r="29" spans="1:10">
      <c r="A29" s="161"/>
      <c r="B29" s="162"/>
      <c r="E29" t="s">
        <v>372</v>
      </c>
      <c r="F29">
        <f>F28*B21</f>
        <v>0</v>
      </c>
    </row>
    <row r="30" spans="1:10">
      <c r="A30" s="161"/>
      <c r="B30" s="162"/>
      <c r="E30" t="s">
        <v>373</v>
      </c>
      <c r="F30">
        <f>F29/B28</f>
        <v>0</v>
      </c>
    </row>
    <row r="31" spans="1:10">
      <c r="A31" s="161"/>
      <c r="B31" s="162"/>
    </row>
    <row r="32" spans="1:10">
      <c r="A32" s="161"/>
      <c r="B32" s="162"/>
    </row>
    <row r="33" spans="1:2">
      <c r="A33" s="163"/>
      <c r="B33" s="162"/>
    </row>
  </sheetData>
  <mergeCells count="1">
    <mergeCell ref="E1:F2"/>
  </mergeCells>
  <pageMargins left="0.7" right="0.7" top="0.75" bottom="0.75" header="0.3" footer="0.3"/>
  <pageSetup paperSize="9" scale="80" fitToHeight="0" orientation="landscape"/>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M29"/>
  <sheetViews>
    <sheetView showGridLines="0" zoomScale="49" zoomScaleNormal="49" workbookViewId="0">
      <selection activeCell="K3" sqref="K3"/>
    </sheetView>
  </sheetViews>
  <sheetFormatPr defaultColWidth="9" defaultRowHeight="20.149999999999999" customHeight="1"/>
  <cols>
    <col min="1" max="1" width="46.7265625" style="357" customWidth="1"/>
    <col min="2" max="2" width="25.81640625" style="374" customWidth="1"/>
    <col min="5" max="5" width="11.54296875" style="62" customWidth="1"/>
    <col min="6" max="6" width="12.26953125" style="62" customWidth="1"/>
    <col min="7" max="7" width="29.81640625" style="62" customWidth="1"/>
    <col min="8" max="9" width="8.81640625" style="357" customWidth="1"/>
    <col min="10" max="10" width="13.453125" style="357" customWidth="1"/>
    <col min="11" max="13" width="9.453125" style="357" customWidth="1"/>
  </cols>
  <sheetData>
    <row r="1" spans="1:11" ht="20.149999999999999" customHeight="1">
      <c r="A1" s="541" t="s">
        <v>374</v>
      </c>
      <c r="B1" s="439"/>
      <c r="C1" s="440"/>
      <c r="E1" s="131" t="s">
        <v>268</v>
      </c>
      <c r="G1" s="515" t="s">
        <v>375</v>
      </c>
      <c r="H1" s="439"/>
      <c r="I1" s="440"/>
      <c r="J1" s="265" t="s">
        <v>376</v>
      </c>
    </row>
    <row r="2" spans="1:11" s="336" customFormat="1" ht="20.149999999999999" customHeight="1">
      <c r="A2" s="373"/>
      <c r="B2" s="373" t="s">
        <v>377</v>
      </c>
      <c r="C2" s="373" t="s">
        <v>244</v>
      </c>
      <c r="E2" s="132">
        <v>1</v>
      </c>
      <c r="G2" s="542" t="s">
        <v>378</v>
      </c>
      <c r="H2" s="439"/>
      <c r="I2" s="440"/>
      <c r="J2" s="147">
        <v>3</v>
      </c>
    </row>
    <row r="3" spans="1:11" ht="20.149999999999999" customHeight="1">
      <c r="A3" s="265" t="s">
        <v>379</v>
      </c>
      <c r="B3" s="133">
        <f>'Input-Output'!B16</f>
        <v>1000</v>
      </c>
      <c r="C3" s="109" t="s">
        <v>380</v>
      </c>
      <c r="E3" s="132">
        <v>2</v>
      </c>
      <c r="G3" s="542" t="s">
        <v>381</v>
      </c>
      <c r="H3" s="439"/>
      <c r="I3" s="440"/>
      <c r="J3" s="70">
        <f>INDEX(F11:K19,MATCH('Input-Output'!B9,E11:E19,1),MATCH('Input-Output'!B14,F10:K10,1))*1.2</f>
        <v>8.4</v>
      </c>
    </row>
    <row r="4" spans="1:11" ht="20.149999999999999" customHeight="1">
      <c r="A4" s="265" t="s">
        <v>382</v>
      </c>
      <c r="B4" s="134">
        <v>0.9</v>
      </c>
      <c r="C4" s="109"/>
      <c r="E4" s="132">
        <v>4</v>
      </c>
      <c r="G4" s="542" t="s">
        <v>383</v>
      </c>
      <c r="H4" s="439"/>
      <c r="I4" s="440"/>
      <c r="J4" s="265">
        <v>5</v>
      </c>
    </row>
    <row r="5" spans="1:11" ht="20.149999999999999" customHeight="1">
      <c r="A5" s="265" t="s">
        <v>384</v>
      </c>
      <c r="B5" s="134">
        <v>0.02</v>
      </c>
      <c r="C5" s="109"/>
      <c r="E5" s="132">
        <v>6</v>
      </c>
      <c r="G5" s="542" t="s">
        <v>385</v>
      </c>
      <c r="H5" s="439"/>
      <c r="I5" s="440"/>
      <c r="J5" s="265">
        <v>3</v>
      </c>
    </row>
    <row r="6" spans="1:11" ht="20.149999999999999" customHeight="1">
      <c r="A6" s="265" t="s">
        <v>386</v>
      </c>
      <c r="B6" s="135">
        <f>J6</f>
        <v>19.399999999999999</v>
      </c>
      <c r="C6" s="109" t="s">
        <v>387</v>
      </c>
      <c r="E6" s="132">
        <v>8</v>
      </c>
      <c r="G6" s="545" t="s">
        <v>388</v>
      </c>
      <c r="H6" s="439"/>
      <c r="I6" s="440"/>
      <c r="J6" s="5">
        <f>SUM(J2:J5)</f>
        <v>19.399999999999999</v>
      </c>
    </row>
    <row r="7" spans="1:11" ht="20.149999999999999" customHeight="1">
      <c r="A7" s="265" t="s">
        <v>386</v>
      </c>
      <c r="B7" s="136">
        <f>B6/3600</f>
        <v>5.3888888888888884E-3</v>
      </c>
      <c r="C7" s="109" t="s">
        <v>389</v>
      </c>
      <c r="G7" s="62" t="s">
        <v>390</v>
      </c>
      <c r="H7">
        <f>ROUNDUP('Input-Output'!B14,0)</f>
        <v>2</v>
      </c>
    </row>
    <row r="8" spans="1:11" ht="20.149999999999999" customHeight="1">
      <c r="A8" s="265" t="s">
        <v>391</v>
      </c>
      <c r="B8" s="135">
        <f>0.9*8</f>
        <v>7.2</v>
      </c>
      <c r="C8" s="109" t="s">
        <v>389</v>
      </c>
      <c r="E8" s="544" t="s">
        <v>392</v>
      </c>
      <c r="F8" s="439"/>
      <c r="G8" s="439"/>
      <c r="H8" s="439"/>
      <c r="I8" s="439"/>
      <c r="J8" s="439"/>
      <c r="K8" s="440"/>
    </row>
    <row r="9" spans="1:11" ht="20.149999999999999" customHeight="1">
      <c r="A9" s="265" t="s">
        <v>393</v>
      </c>
      <c r="B9" s="135">
        <v>1</v>
      </c>
      <c r="C9" s="109"/>
      <c r="E9" s="543" t="s">
        <v>147</v>
      </c>
      <c r="F9" s="376" t="s">
        <v>394</v>
      </c>
      <c r="G9" s="376" t="s">
        <v>247</v>
      </c>
      <c r="H9" s="376" t="s">
        <v>247</v>
      </c>
      <c r="I9" s="376" t="s">
        <v>247</v>
      </c>
      <c r="J9" s="376" t="s">
        <v>247</v>
      </c>
      <c r="K9" s="376" t="s">
        <v>247</v>
      </c>
    </row>
    <row r="10" spans="1:11" ht="20.149999999999999" customHeight="1">
      <c r="A10" s="265" t="s">
        <v>277</v>
      </c>
      <c r="B10" s="135">
        <f>'INJ. MOULDING ESTIMATION'!C18</f>
        <v>1</v>
      </c>
      <c r="C10" s="109"/>
      <c r="E10" s="452"/>
      <c r="F10" s="372">
        <v>1</v>
      </c>
      <c r="G10" s="372">
        <v>2</v>
      </c>
      <c r="H10" s="372">
        <v>3</v>
      </c>
      <c r="I10" s="372">
        <v>4</v>
      </c>
      <c r="J10" s="372">
        <v>5</v>
      </c>
      <c r="K10" s="372">
        <v>6</v>
      </c>
    </row>
    <row r="11" spans="1:11" ht="20.149999999999999" customHeight="1">
      <c r="A11" s="265" t="s">
        <v>395</v>
      </c>
      <c r="B11" s="137">
        <f>B3/B4</f>
        <v>1111.1111111111111</v>
      </c>
      <c r="C11" s="109"/>
      <c r="E11" s="138" t="s">
        <v>261</v>
      </c>
      <c r="F11" s="139">
        <v>1.8</v>
      </c>
      <c r="G11" s="139">
        <v>7</v>
      </c>
      <c r="H11" s="139">
        <v>15.8</v>
      </c>
      <c r="I11" s="139">
        <v>28.4</v>
      </c>
      <c r="J11" s="139">
        <v>44.4</v>
      </c>
      <c r="K11" s="139">
        <v>63.4</v>
      </c>
    </row>
    <row r="12" spans="1:11" ht="20.149999999999999" customHeight="1">
      <c r="A12" s="265" t="s">
        <v>396</v>
      </c>
      <c r="B12" s="137">
        <f>B11+(B11*B5)</f>
        <v>1133.3333333333333</v>
      </c>
      <c r="C12" s="109"/>
      <c r="E12" s="138" t="s">
        <v>325</v>
      </c>
      <c r="F12" s="139">
        <v>1.3</v>
      </c>
      <c r="G12" s="139">
        <v>5.4</v>
      </c>
      <c r="H12" s="139">
        <v>12.1</v>
      </c>
      <c r="I12" s="139">
        <v>21.4</v>
      </c>
      <c r="J12" s="139">
        <v>33.5</v>
      </c>
      <c r="K12" s="139">
        <v>48.4</v>
      </c>
    </row>
    <row r="13" spans="1:11" ht="20.149999999999999" customHeight="1">
      <c r="A13" s="265" t="s">
        <v>397</v>
      </c>
      <c r="B13" s="135">
        <f>ROUNDUP(B12,0)</f>
        <v>1134</v>
      </c>
      <c r="C13" s="109"/>
      <c r="E13" s="138" t="s">
        <v>326</v>
      </c>
      <c r="F13" s="139">
        <v>3.2</v>
      </c>
      <c r="G13" s="139">
        <v>12.6</v>
      </c>
      <c r="H13" s="139">
        <v>28.4</v>
      </c>
      <c r="I13" s="139">
        <v>50.1</v>
      </c>
      <c r="J13" s="139">
        <v>79</v>
      </c>
      <c r="K13" s="139">
        <v>114</v>
      </c>
    </row>
    <row r="14" spans="1:11" ht="20.149999999999999" customHeight="1">
      <c r="A14" s="265" t="s">
        <v>398</v>
      </c>
      <c r="B14" s="136">
        <f>B7*B13</f>
        <v>6.1109999999999998</v>
      </c>
      <c r="C14" s="109" t="s">
        <v>389</v>
      </c>
      <c r="E14" s="138" t="s">
        <v>328</v>
      </c>
      <c r="F14" s="139">
        <v>1.6</v>
      </c>
      <c r="G14" s="139">
        <v>6.4</v>
      </c>
      <c r="H14" s="139">
        <v>14.4</v>
      </c>
      <c r="I14" s="139">
        <v>25.6</v>
      </c>
      <c r="J14" s="139">
        <v>40</v>
      </c>
      <c r="K14" s="139">
        <v>57.6</v>
      </c>
    </row>
    <row r="15" spans="1:11" ht="20.149999999999999" customHeight="1">
      <c r="A15" s="265" t="s">
        <v>399</v>
      </c>
      <c r="B15" s="119">
        <f>B10*B9*B8</f>
        <v>7.2</v>
      </c>
      <c r="C15" s="109" t="s">
        <v>389</v>
      </c>
      <c r="E15" s="138" t="s">
        <v>400</v>
      </c>
      <c r="F15" s="139">
        <v>2.1</v>
      </c>
      <c r="G15" s="139">
        <v>8.1999999999999993</v>
      </c>
      <c r="H15" s="139">
        <v>18.5</v>
      </c>
      <c r="I15" s="139">
        <v>32.799999999999997</v>
      </c>
      <c r="J15" s="139">
        <v>51.5</v>
      </c>
      <c r="K15" s="139">
        <v>74.2</v>
      </c>
    </row>
    <row r="16" spans="1:11" ht="20.149999999999999" customHeight="1">
      <c r="A16" s="265" t="s">
        <v>401</v>
      </c>
      <c r="B16" s="136">
        <f>B14/B15</f>
        <v>0.84874999999999989</v>
      </c>
      <c r="C16" s="109"/>
      <c r="E16" s="138" t="s">
        <v>329</v>
      </c>
      <c r="F16" s="139">
        <v>1.9</v>
      </c>
      <c r="G16" s="139">
        <v>7.7</v>
      </c>
      <c r="H16" s="139">
        <v>17.3</v>
      </c>
      <c r="I16" s="139">
        <v>30.7</v>
      </c>
      <c r="J16" s="139">
        <v>48</v>
      </c>
      <c r="K16" s="139">
        <v>69.2</v>
      </c>
    </row>
    <row r="17" spans="1:11" ht="20.149999999999999" customHeight="1">
      <c r="A17" s="265" t="s">
        <v>402</v>
      </c>
      <c r="B17" s="140">
        <f>IF(B16&lt;1,1,IF(B16&lt;2,2,IF(B16&lt;4,4,IF(B16&lt;6,6,IF(B16&gt;6,8)))))</f>
        <v>1</v>
      </c>
      <c r="C17" s="141"/>
      <c r="E17" s="138" t="s">
        <v>327</v>
      </c>
      <c r="F17" s="139">
        <v>2.5</v>
      </c>
      <c r="G17" s="139">
        <v>9.9</v>
      </c>
      <c r="H17" s="139">
        <v>22.3</v>
      </c>
      <c r="I17" s="139">
        <v>39.5</v>
      </c>
      <c r="J17" s="139">
        <v>61.8</v>
      </c>
      <c r="K17" s="139">
        <v>88.9</v>
      </c>
    </row>
    <row r="18" spans="1:11" ht="20.149999999999999" customHeight="1">
      <c r="A18" s="79" t="s">
        <v>403</v>
      </c>
      <c r="B18" s="142">
        <f>IF('Input-Output'!B2&lt;100,8,IF('Input-Output'!B2&lt;300,6,IF('Input-Output'!B2&lt;400,4,IF('Input-Output'!B2&lt;500,2,IF('Input-Output'!B2&gt;=500,1)))))</f>
        <v>1</v>
      </c>
      <c r="C18" s="109"/>
      <c r="E18" s="138" t="s">
        <v>331</v>
      </c>
      <c r="F18" s="428">
        <v>1.925</v>
      </c>
      <c r="G18" s="428">
        <v>7.4</v>
      </c>
      <c r="H18" s="428">
        <v>16.475000000000001</v>
      </c>
      <c r="I18" s="428">
        <v>29.0625</v>
      </c>
      <c r="J18" s="428">
        <v>45.4</v>
      </c>
      <c r="K18" s="428">
        <v>65.212500000000006</v>
      </c>
    </row>
    <row r="19" spans="1:11" ht="20.149999999999999" customHeight="1">
      <c r="A19" s="265" t="s">
        <v>268</v>
      </c>
      <c r="B19" s="143">
        <f>MIN(B18,B17)</f>
        <v>1</v>
      </c>
      <c r="C19" s="109"/>
      <c r="E19" s="138" t="s">
        <v>330</v>
      </c>
      <c r="F19" s="428">
        <v>2.0406249999999999</v>
      </c>
      <c r="G19" s="428">
        <v>8.0749999999999993</v>
      </c>
      <c r="H19" s="428">
        <v>18.159375000000001</v>
      </c>
      <c r="I19" s="428">
        <v>32.1953125</v>
      </c>
      <c r="J19" s="428">
        <v>50.45</v>
      </c>
      <c r="K19" s="428">
        <v>72.614062500000003</v>
      </c>
    </row>
    <row r="21" spans="1:11" ht="20.149999999999999" customHeight="1">
      <c r="A21" s="144" t="s">
        <v>142</v>
      </c>
      <c r="B21" s="144" t="s">
        <v>404</v>
      </c>
      <c r="C21" s="144" t="s">
        <v>405</v>
      </c>
      <c r="D21" s="144" t="s">
        <v>406</v>
      </c>
      <c r="E21" s="144" t="s">
        <v>407</v>
      </c>
      <c r="F21" s="144" t="s">
        <v>408</v>
      </c>
    </row>
    <row r="22" spans="1:11" ht="20.149999999999999" customHeight="1">
      <c r="A22" s="144" t="s">
        <v>409</v>
      </c>
      <c r="B22" s="144" t="s">
        <v>410</v>
      </c>
      <c r="C22" s="144"/>
      <c r="D22" s="144"/>
      <c r="E22" s="144"/>
      <c r="F22" s="144"/>
    </row>
    <row r="23" spans="1:11" ht="20.149999999999999" customHeight="1">
      <c r="A23" s="145">
        <v>700</v>
      </c>
      <c r="B23" s="146">
        <v>976</v>
      </c>
      <c r="C23" s="146"/>
      <c r="D23" s="146"/>
      <c r="E23" s="146"/>
      <c r="F23" s="146"/>
    </row>
    <row r="24" spans="1:11" ht="20.149999999999999" customHeight="1">
      <c r="A24" s="146">
        <v>600</v>
      </c>
      <c r="B24" s="146">
        <v>849</v>
      </c>
      <c r="C24" s="146"/>
      <c r="D24" s="146"/>
      <c r="E24" s="146"/>
      <c r="F24" s="146"/>
    </row>
    <row r="25" spans="1:11" ht="20.149999999999999" customHeight="1">
      <c r="A25" s="146">
        <v>500</v>
      </c>
      <c r="B25" s="146">
        <v>722</v>
      </c>
      <c r="C25" s="146"/>
      <c r="D25" s="146"/>
      <c r="E25" s="146"/>
      <c r="F25" s="146"/>
    </row>
    <row r="26" spans="1:11" ht="20.149999999999999" customHeight="1">
      <c r="A26" s="146">
        <v>400</v>
      </c>
      <c r="B26" s="146">
        <v>594</v>
      </c>
      <c r="C26" s="146">
        <v>1153</v>
      </c>
      <c r="D26" s="146"/>
      <c r="E26" s="146"/>
      <c r="F26" s="146"/>
    </row>
    <row r="27" spans="1:11" ht="20.149999999999999" customHeight="1">
      <c r="A27" s="146">
        <v>300</v>
      </c>
      <c r="B27" s="146">
        <v>476</v>
      </c>
      <c r="C27" s="146">
        <v>899</v>
      </c>
      <c r="D27" s="146">
        <v>1029</v>
      </c>
      <c r="E27" s="146">
        <v>1159</v>
      </c>
      <c r="F27" s="146"/>
    </row>
    <row r="28" spans="1:11" ht="20.149999999999999" customHeight="1">
      <c r="A28" s="146">
        <v>200</v>
      </c>
      <c r="B28" s="146">
        <v>357</v>
      </c>
      <c r="C28" s="146">
        <v>644</v>
      </c>
      <c r="D28" s="146">
        <v>753</v>
      </c>
      <c r="E28" s="146">
        <v>845</v>
      </c>
      <c r="F28" s="146"/>
    </row>
    <row r="29" spans="1:11" ht="20.149999999999999" customHeight="1">
      <c r="A29" s="146">
        <v>100</v>
      </c>
      <c r="B29" s="146">
        <v>246</v>
      </c>
      <c r="C29" s="146">
        <v>422</v>
      </c>
      <c r="D29" s="146">
        <v>475</v>
      </c>
      <c r="E29" s="146">
        <v>528</v>
      </c>
      <c r="F29" s="146">
        <v>881</v>
      </c>
    </row>
  </sheetData>
  <mergeCells count="9">
    <mergeCell ref="E9:E10"/>
    <mergeCell ref="E8:K8"/>
    <mergeCell ref="G6:I6"/>
    <mergeCell ref="G5:I5"/>
    <mergeCell ref="A1:C1"/>
    <mergeCell ref="G4:I4"/>
    <mergeCell ref="G3:I3"/>
    <mergeCell ref="G1:I1"/>
    <mergeCell ref="G2:I2"/>
  </mergeCells>
  <conditionalFormatting sqref="B10">
    <cfRule type="expression" dxfId="112" priority="2">
      <formula>$B$16&gt;$B$18</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pageSetUpPr fitToPage="1"/>
  </sheetPr>
  <dimension ref="A1:J27"/>
  <sheetViews>
    <sheetView workbookViewId="0">
      <selection activeCell="B6" sqref="B6"/>
    </sheetView>
  </sheetViews>
  <sheetFormatPr defaultColWidth="9" defaultRowHeight="14.5"/>
  <cols>
    <col min="1" max="1" width="17.7265625" style="357" customWidth="1"/>
    <col min="2" max="2" width="17.453125" style="357" customWidth="1"/>
  </cols>
  <sheetData>
    <row r="1" spans="1:10">
      <c r="A1" t="s">
        <v>411</v>
      </c>
      <c r="B1" t="s">
        <v>412</v>
      </c>
    </row>
    <row r="2" spans="1:10">
      <c r="A2">
        <v>0.5</v>
      </c>
      <c r="B2" s="22">
        <v>0.7</v>
      </c>
    </row>
    <row r="3" spans="1:10">
      <c r="A3">
        <v>1</v>
      </c>
      <c r="B3" s="22">
        <v>1</v>
      </c>
    </row>
    <row r="4" spans="1:10">
      <c r="A4">
        <v>2</v>
      </c>
      <c r="B4" s="22">
        <v>1.43964313567828</v>
      </c>
    </row>
    <row r="5" spans="1:10">
      <c r="A5">
        <v>3</v>
      </c>
      <c r="B5" s="22">
        <v>1.8450750596794501</v>
      </c>
    </row>
    <row r="6" spans="1:10">
      <c r="A6">
        <v>4</v>
      </c>
      <c r="B6" s="22">
        <v>2.3069947754257498</v>
      </c>
    </row>
    <row r="7" spans="1:10">
      <c r="A7">
        <v>5</v>
      </c>
      <c r="B7" s="22">
        <v>2.7160873413908702</v>
      </c>
    </row>
    <row r="8" spans="1:10" ht="15" customHeight="1" thickBot="1"/>
    <row r="9" spans="1:10" ht="26" customHeight="1">
      <c r="A9" s="553" t="s">
        <v>413</v>
      </c>
      <c r="B9" s="554"/>
      <c r="C9" s="554"/>
      <c r="D9" s="554"/>
      <c r="E9" s="554"/>
      <c r="F9" s="554"/>
      <c r="G9" s="554"/>
      <c r="H9" s="554"/>
      <c r="I9" s="554"/>
      <c r="J9" s="555"/>
    </row>
    <row r="10" spans="1:10">
      <c r="A10" s="549" t="s">
        <v>414</v>
      </c>
      <c r="B10" s="439"/>
      <c r="C10" s="439"/>
      <c r="D10" s="439"/>
      <c r="E10" s="439"/>
      <c r="F10" s="439"/>
      <c r="G10" s="439"/>
      <c r="H10" s="439"/>
      <c r="I10" s="439"/>
      <c r="J10" s="550"/>
    </row>
    <row r="11" spans="1:10" ht="39" customHeight="1">
      <c r="A11" s="551" t="s">
        <v>415</v>
      </c>
      <c r="B11" s="460"/>
      <c r="C11" s="460"/>
      <c r="D11" s="460"/>
      <c r="E11" s="460"/>
      <c r="F11" s="460"/>
      <c r="G11" s="460"/>
      <c r="H11" s="460"/>
      <c r="I11" s="460"/>
      <c r="J11" s="552"/>
    </row>
    <row r="12" spans="1:10" ht="11" customHeight="1">
      <c r="A12" s="216"/>
      <c r="B12" s="215"/>
      <c r="C12" s="215"/>
      <c r="D12" s="215"/>
      <c r="E12" s="215"/>
      <c r="F12" s="215"/>
      <c r="G12" s="215"/>
      <c r="H12" s="215"/>
      <c r="I12" s="215"/>
      <c r="J12" s="217"/>
    </row>
    <row r="13" spans="1:10">
      <c r="A13" s="549" t="s">
        <v>416</v>
      </c>
      <c r="B13" s="439"/>
      <c r="C13" s="439"/>
      <c r="D13" s="439"/>
      <c r="E13" s="439"/>
      <c r="F13" s="439"/>
      <c r="G13" s="439"/>
      <c r="H13" s="439"/>
      <c r="I13" s="439"/>
      <c r="J13" s="550"/>
    </row>
    <row r="14" spans="1:10" ht="48" customHeight="1">
      <c r="A14" s="551" t="s">
        <v>417</v>
      </c>
      <c r="B14" s="460"/>
      <c r="C14" s="460"/>
      <c r="D14" s="460"/>
      <c r="E14" s="460"/>
      <c r="F14" s="460"/>
      <c r="G14" s="460"/>
      <c r="H14" s="460"/>
      <c r="I14" s="460"/>
      <c r="J14" s="552"/>
    </row>
    <row r="15" spans="1:10" ht="11.5" customHeight="1">
      <c r="A15" s="216"/>
      <c r="B15" s="215"/>
      <c r="C15" s="215"/>
      <c r="D15" s="215"/>
      <c r="E15" s="215"/>
      <c r="F15" s="215"/>
      <c r="G15" s="215"/>
      <c r="H15" s="215"/>
      <c r="I15" s="215"/>
      <c r="J15" s="217"/>
    </row>
    <row r="16" spans="1:10" ht="14" customHeight="1">
      <c r="A16" s="549" t="s">
        <v>418</v>
      </c>
      <c r="B16" s="439"/>
      <c r="C16" s="439"/>
      <c r="D16" s="439"/>
      <c r="E16" s="439"/>
      <c r="F16" s="439"/>
      <c r="G16" s="439"/>
      <c r="H16" s="439"/>
      <c r="I16" s="439"/>
      <c r="J16" s="550"/>
    </row>
    <row r="17" spans="1:10" ht="49.5" customHeight="1">
      <c r="A17" s="551" t="s">
        <v>419</v>
      </c>
      <c r="B17" s="460"/>
      <c r="C17" s="460"/>
      <c r="D17" s="460"/>
      <c r="E17" s="460"/>
      <c r="F17" s="460"/>
      <c r="G17" s="460"/>
      <c r="H17" s="460"/>
      <c r="I17" s="460"/>
      <c r="J17" s="552"/>
    </row>
    <row r="18" spans="1:10" ht="14.5" customHeight="1">
      <c r="A18" s="216"/>
      <c r="B18" s="215"/>
      <c r="C18" s="215"/>
      <c r="D18" s="215"/>
      <c r="E18" s="215"/>
      <c r="F18" s="215"/>
      <c r="G18" s="215"/>
      <c r="H18" s="215"/>
      <c r="I18" s="215"/>
      <c r="J18" s="217"/>
    </row>
    <row r="19" spans="1:10">
      <c r="A19" s="549" t="s">
        <v>420</v>
      </c>
      <c r="B19" s="439"/>
      <c r="C19" s="439"/>
      <c r="D19" s="439"/>
      <c r="E19" s="439"/>
      <c r="F19" s="439"/>
      <c r="G19" s="439"/>
      <c r="H19" s="439"/>
      <c r="I19" s="439"/>
      <c r="J19" s="550"/>
    </row>
    <row r="20" spans="1:10" ht="52" customHeight="1">
      <c r="A20" s="551" t="s">
        <v>421</v>
      </c>
      <c r="B20" s="460"/>
      <c r="C20" s="460"/>
      <c r="D20" s="460"/>
      <c r="E20" s="460"/>
      <c r="F20" s="460"/>
      <c r="G20" s="460"/>
      <c r="H20" s="460"/>
      <c r="I20" s="460"/>
      <c r="J20" s="552"/>
    </row>
    <row r="21" spans="1:10" ht="11" customHeight="1">
      <c r="A21" s="218"/>
      <c r="B21" s="219"/>
      <c r="C21" s="219"/>
      <c r="D21" s="219"/>
      <c r="E21" s="219"/>
      <c r="F21" s="219"/>
      <c r="G21" s="219"/>
      <c r="H21" s="219"/>
      <c r="I21" s="219"/>
      <c r="J21" s="220"/>
    </row>
    <row r="22" spans="1:10">
      <c r="A22" s="549" t="s">
        <v>422</v>
      </c>
      <c r="B22" s="439"/>
      <c r="C22" s="439"/>
      <c r="D22" s="439"/>
      <c r="E22" s="439"/>
      <c r="F22" s="439"/>
      <c r="G22" s="439"/>
      <c r="H22" s="439"/>
      <c r="I22" s="439"/>
      <c r="J22" s="550"/>
    </row>
    <row r="23" spans="1:10" ht="46" customHeight="1">
      <c r="A23" s="551" t="s">
        <v>423</v>
      </c>
      <c r="B23" s="460"/>
      <c r="C23" s="460"/>
      <c r="D23" s="460"/>
      <c r="E23" s="460"/>
      <c r="F23" s="460"/>
      <c r="G23" s="460"/>
      <c r="H23" s="460"/>
      <c r="I23" s="460"/>
      <c r="J23" s="552"/>
    </row>
    <row r="24" spans="1:10">
      <c r="A24" s="216"/>
      <c r="B24" s="215"/>
      <c r="C24" s="215"/>
      <c r="D24" s="215"/>
      <c r="E24" s="215"/>
      <c r="F24" s="215"/>
      <c r="G24" s="215"/>
      <c r="H24" s="215"/>
      <c r="I24" s="215"/>
      <c r="J24" s="217"/>
    </row>
    <row r="25" spans="1:10">
      <c r="A25" s="549" t="s">
        <v>424</v>
      </c>
      <c r="B25" s="439"/>
      <c r="C25" s="439"/>
      <c r="D25" s="439"/>
      <c r="E25" s="439"/>
      <c r="F25" s="439"/>
      <c r="G25" s="439"/>
      <c r="H25" s="439"/>
      <c r="I25" s="439"/>
      <c r="J25" s="550"/>
    </row>
    <row r="26" spans="1:10" ht="49.5" customHeight="1">
      <c r="A26" s="551" t="s">
        <v>425</v>
      </c>
      <c r="B26" s="460"/>
      <c r="C26" s="460"/>
      <c r="D26" s="460"/>
      <c r="E26" s="460"/>
      <c r="F26" s="460"/>
      <c r="G26" s="460"/>
      <c r="H26" s="460"/>
      <c r="I26" s="460"/>
      <c r="J26" s="552"/>
    </row>
    <row r="27" spans="1:10" ht="47" customHeight="1" thickBot="1">
      <c r="A27" s="546" t="s">
        <v>426</v>
      </c>
      <c r="B27" s="547"/>
      <c r="C27" s="547"/>
      <c r="D27" s="547"/>
      <c r="E27" s="547"/>
      <c r="F27" s="547"/>
      <c r="G27" s="547"/>
      <c r="H27" s="547"/>
      <c r="I27" s="547"/>
      <c r="J27" s="548"/>
    </row>
  </sheetData>
  <mergeCells count="14">
    <mergeCell ref="A14:J14"/>
    <mergeCell ref="A22:J22"/>
    <mergeCell ref="A17:J17"/>
    <mergeCell ref="A9:J9"/>
    <mergeCell ref="A10:J10"/>
    <mergeCell ref="A13:J13"/>
    <mergeCell ref="A11:J11"/>
    <mergeCell ref="A27:J27"/>
    <mergeCell ref="A19:J19"/>
    <mergeCell ref="A20:J20"/>
    <mergeCell ref="A26:J26"/>
    <mergeCell ref="A16:J16"/>
    <mergeCell ref="A25:J25"/>
    <mergeCell ref="A23:J23"/>
  </mergeCells>
  <pageMargins left="0.25" right="0.25" top="0.75" bottom="0.75" header="0.3" footer="0.3"/>
  <pageSetup paperSize="9" scale="92" orientation="portrait"/>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B2:M20"/>
  <sheetViews>
    <sheetView showGridLines="0" zoomScale="50" zoomScaleNormal="50" workbookViewId="0">
      <selection activeCell="C17" sqref="C17"/>
    </sheetView>
  </sheetViews>
  <sheetFormatPr defaultColWidth="9" defaultRowHeight="14.5"/>
  <cols>
    <col min="2" max="2" width="43.1796875" style="357" customWidth="1"/>
    <col min="3" max="3" width="40.81640625" style="357" customWidth="1"/>
  </cols>
  <sheetData>
    <row r="2" spans="2:13">
      <c r="B2" s="556" t="s">
        <v>427</v>
      </c>
      <c r="C2" s="463"/>
      <c r="D2" s="435"/>
      <c r="E2" s="125"/>
    </row>
    <row r="3" spans="2:13">
      <c r="B3" s="459"/>
      <c r="C3" s="460"/>
      <c r="D3" s="461"/>
      <c r="E3" s="125"/>
    </row>
    <row r="4" spans="2:13">
      <c r="B4" s="70" t="s">
        <v>428</v>
      </c>
      <c r="C4" s="70" t="s">
        <v>429</v>
      </c>
      <c r="D4" s="70"/>
      <c r="E4" s="62"/>
    </row>
    <row r="5" spans="2:13">
      <c r="B5" s="70"/>
      <c r="C5" s="429">
        <f>C16+1+1</f>
        <v>5.7433593006153156</v>
      </c>
      <c r="D5" s="70" t="s">
        <v>430</v>
      </c>
      <c r="E5" s="62"/>
    </row>
    <row r="6" spans="2:13">
      <c r="B6" s="70"/>
      <c r="C6" s="70"/>
      <c r="D6" s="70"/>
      <c r="E6" s="62"/>
    </row>
    <row r="7" spans="2:13">
      <c r="B7" s="557" t="s">
        <v>431</v>
      </c>
      <c r="C7" s="440"/>
      <c r="D7" s="70"/>
      <c r="E7" s="62"/>
    </row>
    <row r="8" spans="2:13" ht="26" customHeight="1">
      <c r="B8" s="70"/>
      <c r="C8" s="126" t="s">
        <v>432</v>
      </c>
      <c r="D8" s="265"/>
      <c r="F8" s="127" t="s">
        <v>433</v>
      </c>
    </row>
    <row r="9" spans="2:13">
      <c r="B9" s="70" t="s">
        <v>434</v>
      </c>
      <c r="C9" s="128">
        <f>(2/3*'Input-Output'!B2/10*'Input-Output'!B3/10*'Input-Output'!B10*'Input-Output'!B13*0.33)*'Input-Output'!B10</f>
        <v>70400</v>
      </c>
      <c r="D9" s="70" t="s">
        <v>435</v>
      </c>
      <c r="E9" s="62"/>
    </row>
    <row r="10" spans="2:13" ht="26" customHeight="1">
      <c r="B10" s="70" t="s">
        <v>436</v>
      </c>
      <c r="C10" s="70"/>
      <c r="D10" s="70"/>
      <c r="E10" s="62"/>
      <c r="F10" s="31">
        <f>C5*10</f>
        <v>57.43359300615316</v>
      </c>
      <c r="H10" s="129" t="s">
        <v>433</v>
      </c>
      <c r="I10" s="31">
        <f>C17*10</f>
        <v>47.43359300615316</v>
      </c>
      <c r="L10" s="129" t="s">
        <v>433</v>
      </c>
      <c r="M10" s="31">
        <f>C16*10</f>
        <v>37.43359300615316</v>
      </c>
    </row>
    <row r="11" spans="2:13">
      <c r="B11" s="70" t="s">
        <v>437</v>
      </c>
      <c r="C11" s="70"/>
      <c r="D11" s="70"/>
      <c r="E11" s="62"/>
    </row>
    <row r="12" spans="2:13">
      <c r="B12" s="70" t="s">
        <v>438</v>
      </c>
      <c r="C12" s="70"/>
      <c r="D12" s="70"/>
      <c r="E12" s="62"/>
    </row>
    <row r="13" spans="2:13">
      <c r="B13" s="70"/>
      <c r="C13" s="70"/>
      <c r="D13" s="70"/>
      <c r="E13" s="62"/>
    </row>
    <row r="14" spans="2:13">
      <c r="B14" s="70" t="s">
        <v>439</v>
      </c>
      <c r="C14" s="70"/>
      <c r="D14" s="70"/>
      <c r="E14" s="62"/>
    </row>
    <row r="15" spans="2:13">
      <c r="B15" s="70"/>
      <c r="C15" s="126" t="s">
        <v>440</v>
      </c>
      <c r="D15" s="70"/>
      <c r="E15" s="62"/>
    </row>
    <row r="16" spans="2:13">
      <c r="B16" s="70"/>
      <c r="C16" s="429">
        <f>SQRT((4*C9)/(C19*C20*3.14))</f>
        <v>3.7433593006153156</v>
      </c>
      <c r="D16" s="70" t="s">
        <v>430</v>
      </c>
      <c r="E16" s="62"/>
    </row>
    <row r="17" spans="2:12">
      <c r="B17" s="70"/>
      <c r="C17" s="429">
        <f>C16+1</f>
        <v>4.7433593006153156</v>
      </c>
      <c r="D17" s="70"/>
      <c r="E17" s="62"/>
    </row>
    <row r="18" spans="2:12">
      <c r="B18" s="70" t="s">
        <v>441</v>
      </c>
      <c r="C18" s="70"/>
      <c r="D18" s="70"/>
      <c r="E18" s="62"/>
    </row>
    <row r="19" spans="2:12">
      <c r="B19" s="70" t="s">
        <v>442</v>
      </c>
      <c r="C19" s="130">
        <v>4</v>
      </c>
      <c r="D19" s="70"/>
      <c r="E19" s="62"/>
      <c r="H19" s="81">
        <f>'Mould Costing'!F15</f>
        <v>124.15857511186422</v>
      </c>
      <c r="L19" s="81">
        <f>'Mould Costing'!F14</f>
        <v>124.15857511186422</v>
      </c>
    </row>
    <row r="20" spans="2:12" ht="16.5" customHeight="1">
      <c r="B20" s="70" t="s">
        <v>443</v>
      </c>
      <c r="C20" s="130">
        <v>1600</v>
      </c>
      <c r="D20" s="70" t="s">
        <v>444</v>
      </c>
      <c r="E20" s="62"/>
    </row>
  </sheetData>
  <mergeCells count="2">
    <mergeCell ref="B2:D3"/>
    <mergeCell ref="B7:C7"/>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2:Q32"/>
  <sheetViews>
    <sheetView showGridLines="0" topLeftCell="A5" zoomScale="67" zoomScaleNormal="67" workbookViewId="0">
      <selection activeCell="B32" sqref="B32"/>
    </sheetView>
  </sheetViews>
  <sheetFormatPr defaultColWidth="9" defaultRowHeight="14.5"/>
  <cols>
    <col min="1" max="1" width="14.1796875" style="357" customWidth="1"/>
    <col min="10" max="10" width="9.26953125" style="357" customWidth="1"/>
    <col min="11" max="11" width="8.54296875" style="357" customWidth="1"/>
    <col min="14" max="14" width="20.1796875" style="357" customWidth="1"/>
    <col min="15" max="15" width="8.81640625" style="374" customWidth="1"/>
    <col min="17" max="17" width="10.1796875" style="357" customWidth="1"/>
  </cols>
  <sheetData>
    <row r="2" spans="10:17">
      <c r="K2">
        <v>25</v>
      </c>
    </row>
    <row r="4" spans="10:17">
      <c r="L4" s="374">
        <v>25</v>
      </c>
      <c r="N4" s="560" t="s">
        <v>445</v>
      </c>
      <c r="O4" s="561"/>
      <c r="P4" s="457"/>
      <c r="Q4" s="457"/>
    </row>
    <row r="5" spans="10:17">
      <c r="K5" s="59">
        <f>'Guide Pillar'!F10</f>
        <v>57.43359300615316</v>
      </c>
    </row>
    <row r="7" spans="10:17">
      <c r="J7" s="62">
        <v>50</v>
      </c>
      <c r="N7" s="119"/>
      <c r="O7" s="375"/>
      <c r="P7" s="119" t="s">
        <v>142</v>
      </c>
      <c r="Q7" s="119" t="s">
        <v>250</v>
      </c>
    </row>
    <row r="8" spans="10:17">
      <c r="N8" s="119" t="s">
        <v>446</v>
      </c>
      <c r="O8" s="375" t="s">
        <v>447</v>
      </c>
      <c r="P8" s="225" t="e">
        <f>VLOOKUP(O11,N13:P18,2,FALSE)</f>
        <v>#N/A</v>
      </c>
      <c r="Q8" s="225" t="e">
        <f>VLOOKUP(O11,N13:P18,3,FALSE)</f>
        <v>#N/A</v>
      </c>
    </row>
    <row r="9" spans="10:17">
      <c r="N9" s="119" t="s">
        <v>446</v>
      </c>
      <c r="O9" s="375" t="s">
        <v>430</v>
      </c>
      <c r="P9" s="430" t="e">
        <f>P8/10</f>
        <v>#N/A</v>
      </c>
      <c r="Q9" s="430" t="e">
        <f>Q8/10</f>
        <v>#N/A</v>
      </c>
    </row>
    <row r="11" spans="10:17">
      <c r="N11" s="375" t="s">
        <v>340</v>
      </c>
      <c r="O11" s="375" t="str">
        <f>'Input-Output'!B10</f>
        <v>2</v>
      </c>
    </row>
    <row r="12" spans="10:17">
      <c r="K12" s="374" t="str">
        <f>'Input-Output'!B3</f>
        <v>200</v>
      </c>
    </row>
    <row r="13" spans="10:17">
      <c r="N13" s="119"/>
      <c r="O13" s="375" t="s">
        <v>142</v>
      </c>
      <c r="P13" s="119" t="s">
        <v>250</v>
      </c>
    </row>
    <row r="14" spans="10:17">
      <c r="N14" s="375">
        <f t="array" ref="N14:N18">TRANSPOSE(B26:F26)</f>
        <v>1</v>
      </c>
      <c r="O14" s="120">
        <f t="array" ref="O14:O18">TRANSPOSE(B28:F28)</f>
        <v>364.86718601230632</v>
      </c>
      <c r="P14" s="121">
        <f t="array" ref="P14:P18">TRANSPOSE(B30:F30)</f>
        <v>464.86718601230632</v>
      </c>
      <c r="Q14" s="124"/>
    </row>
    <row r="15" spans="10:17">
      <c r="N15" s="375">
        <v>2</v>
      </c>
      <c r="O15" s="120">
        <v>514.86718601230632</v>
      </c>
      <c r="P15" s="121">
        <v>464.86718601230632</v>
      </c>
      <c r="Q15" s="124"/>
    </row>
    <row r="16" spans="10:17">
      <c r="N16" s="375">
        <v>4</v>
      </c>
      <c r="O16" s="120">
        <v>514.86718601230632</v>
      </c>
      <c r="P16" s="121">
        <v>714.86718601230632</v>
      </c>
    </row>
    <row r="17" spans="1:16">
      <c r="I17" s="374" t="str">
        <f>'Input-Output'!B2</f>
        <v>100</v>
      </c>
      <c r="N17" s="375">
        <v>6</v>
      </c>
      <c r="O17" s="120">
        <v>514.86718601230632</v>
      </c>
      <c r="P17" s="121">
        <v>964.86718601230632</v>
      </c>
    </row>
    <row r="18" spans="1:16">
      <c r="N18" s="375">
        <v>8</v>
      </c>
      <c r="O18" s="120">
        <v>814.86718601230632</v>
      </c>
      <c r="P18" s="121">
        <v>714.86718601230632</v>
      </c>
    </row>
    <row r="25" spans="1:16">
      <c r="A25" s="558" t="s">
        <v>445</v>
      </c>
      <c r="B25" s="559" t="s">
        <v>448</v>
      </c>
      <c r="C25" s="439"/>
      <c r="D25" s="439"/>
      <c r="E25" s="439"/>
      <c r="F25" s="440"/>
    </row>
    <row r="26" spans="1:16">
      <c r="A26" s="452"/>
      <c r="B26" s="375">
        <v>1</v>
      </c>
      <c r="C26" s="375">
        <v>2</v>
      </c>
      <c r="D26" s="375">
        <v>4</v>
      </c>
      <c r="E26" s="375">
        <v>6</v>
      </c>
      <c r="F26" s="375">
        <v>8</v>
      </c>
      <c r="H26" s="521" t="s">
        <v>449</v>
      </c>
      <c r="I26" s="439"/>
      <c r="J26" s="440"/>
      <c r="K26" s="122" t="str">
        <f>'Input-Output'!B2</f>
        <v>100</v>
      </c>
      <c r="L26" s="361" t="s">
        <v>247</v>
      </c>
    </row>
    <row r="27" spans="1:16">
      <c r="A27" s="115" t="s">
        <v>450</v>
      </c>
      <c r="B27" s="376" t="s">
        <v>451</v>
      </c>
      <c r="C27" s="376" t="s">
        <v>452</v>
      </c>
      <c r="D27" s="376" t="s">
        <v>452</v>
      </c>
      <c r="E27" s="376" t="s">
        <v>452</v>
      </c>
      <c r="F27" s="376" t="s">
        <v>453</v>
      </c>
      <c r="H27" s="521" t="s">
        <v>454</v>
      </c>
      <c r="I27" s="439"/>
      <c r="J27" s="440"/>
      <c r="K27" s="122" t="str">
        <f>'Input-Output'!B3</f>
        <v>200</v>
      </c>
      <c r="L27" s="361" t="s">
        <v>247</v>
      </c>
    </row>
    <row r="28" spans="1:16" ht="29" customHeight="1">
      <c r="A28" s="116" t="s">
        <v>455</v>
      </c>
      <c r="B28" s="117">
        <f>K26+2*K29</f>
        <v>364.86718601230632</v>
      </c>
      <c r="C28" s="117">
        <f>2*K26+K28+2*K29</f>
        <v>514.86718601230632</v>
      </c>
      <c r="D28" s="117">
        <f>2*K26+K28+2*K29</f>
        <v>514.86718601230632</v>
      </c>
      <c r="E28" s="117">
        <f>2*K26+K28+2*K29</f>
        <v>514.86718601230632</v>
      </c>
      <c r="F28" s="117">
        <f>4*K26+3*K28+2*K29</f>
        <v>814.86718601230632</v>
      </c>
      <c r="H28" s="521" t="s">
        <v>456</v>
      </c>
      <c r="I28" s="439"/>
      <c r="J28" s="440"/>
      <c r="K28" s="122">
        <f>'Input-Output'!F7</f>
        <v>50</v>
      </c>
      <c r="L28" s="361" t="s">
        <v>247</v>
      </c>
    </row>
    <row r="29" spans="1:16">
      <c r="A29" s="115" t="s">
        <v>457</v>
      </c>
      <c r="B29" s="376" t="s">
        <v>458</v>
      </c>
      <c r="C29" s="376" t="s">
        <v>459</v>
      </c>
      <c r="D29" s="376" t="s">
        <v>460</v>
      </c>
      <c r="E29" s="376" t="s">
        <v>461</v>
      </c>
      <c r="F29" s="376" t="s">
        <v>462</v>
      </c>
      <c r="H29" s="521" t="s">
        <v>463</v>
      </c>
      <c r="I29" s="439"/>
      <c r="J29" s="440"/>
      <c r="K29" s="123">
        <f>L4+K5+J7</f>
        <v>132.43359300615316</v>
      </c>
      <c r="L29" s="352" t="s">
        <v>247</v>
      </c>
    </row>
    <row r="30" spans="1:16">
      <c r="A30" s="116" t="s">
        <v>455</v>
      </c>
      <c r="B30" s="117">
        <f>K27+2*K29</f>
        <v>464.86718601230632</v>
      </c>
      <c r="C30" s="117">
        <f>K27+2*K29</f>
        <v>464.86718601230632</v>
      </c>
      <c r="D30" s="117">
        <f>K28+2*K27+2*K29</f>
        <v>714.86718601230632</v>
      </c>
      <c r="E30" s="117">
        <f>3*K27+2*K28+2*K29</f>
        <v>964.86718601230632</v>
      </c>
      <c r="F30" s="117">
        <f>2*K27+K28+2*K29</f>
        <v>714.86718601230632</v>
      </c>
    </row>
    <row r="31" spans="1:16">
      <c r="A31" s="115" t="s">
        <v>228</v>
      </c>
      <c r="B31" s="375"/>
      <c r="C31" s="375"/>
      <c r="D31" s="375"/>
      <c r="E31" s="375"/>
      <c r="F31" s="375"/>
    </row>
    <row r="32" spans="1:16">
      <c r="A32" s="116" t="s">
        <v>455</v>
      </c>
      <c r="B32" s="118">
        <f>'Mould Costing'!$F$9+'Mould Costing'!$F$10+'Mould Costing'!$F$11+'Mould Costing'!$F$14+'Mould Costing'!$F$15</f>
        <v>412.77763404604082</v>
      </c>
      <c r="C32" s="118">
        <f>'Mould Costing'!$F$9+'Mould Costing'!$F$10+'Mould Costing'!$F$11+'Mould Costing'!$F$14+'Mould Costing'!$F$15</f>
        <v>412.77763404604082</v>
      </c>
      <c r="D32" s="118">
        <f>'Mould Costing'!$F$9+'Mould Costing'!$F$10+'Mould Costing'!$F$11+'Mould Costing'!$F$14+'Mould Costing'!$F$15</f>
        <v>412.77763404604082</v>
      </c>
      <c r="E32" s="118">
        <f>'Mould Costing'!$F$9+'Mould Costing'!$F$10+'Mould Costing'!$F$11+'Mould Costing'!$F$14+'Mould Costing'!$F$15</f>
        <v>412.77763404604082</v>
      </c>
      <c r="F32" s="118">
        <f>'Mould Costing'!$F$9+'Mould Costing'!$F$10+'Mould Costing'!$F$11+'Mould Costing'!$F$14+'Mould Costing'!$F$15</f>
        <v>412.77763404604082</v>
      </c>
    </row>
  </sheetData>
  <mergeCells count="7">
    <mergeCell ref="N4:Q4"/>
    <mergeCell ref="H26:J26"/>
    <mergeCell ref="H29:J29"/>
    <mergeCell ref="H28:J28"/>
    <mergeCell ref="A25:A26"/>
    <mergeCell ref="B25:F25"/>
    <mergeCell ref="H27:J2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pageSetUpPr fitToPage="1"/>
  </sheetPr>
  <dimension ref="A1:W34"/>
  <sheetViews>
    <sheetView topLeftCell="A2" zoomScale="72" zoomScaleNormal="51" workbookViewId="0">
      <selection activeCell="D7" sqref="D7"/>
    </sheetView>
  </sheetViews>
  <sheetFormatPr defaultColWidth="9" defaultRowHeight="14.5"/>
  <cols>
    <col min="1" max="1" width="3.90625" style="357" customWidth="1"/>
    <col min="2" max="2" width="57.453125" style="357" customWidth="1"/>
    <col min="3" max="3" width="17" style="357" customWidth="1"/>
    <col min="6" max="6" width="23.90625" style="357" customWidth="1"/>
    <col min="8" max="8" width="20.1796875" style="357" customWidth="1"/>
    <col min="10" max="10" width="17.81640625" style="357" customWidth="1"/>
    <col min="11" max="11" width="3.1796875" style="357" customWidth="1"/>
    <col min="19" max="19" width="17.90625" style="357" customWidth="1"/>
    <col min="20" max="20" width="14.1796875" style="357" customWidth="1"/>
    <col min="21" max="21" width="18.26953125" style="357" customWidth="1"/>
    <col min="22" max="22" width="15.6328125" style="357" customWidth="1"/>
    <col min="23" max="23" width="12.1796875" style="357" customWidth="1"/>
  </cols>
  <sheetData>
    <row r="1" spans="1:16">
      <c r="A1" s="91"/>
      <c r="B1" s="345"/>
      <c r="C1" s="345"/>
      <c r="D1" s="345"/>
      <c r="E1" s="345"/>
      <c r="F1" s="345"/>
      <c r="G1" s="345"/>
      <c r="H1" s="345"/>
      <c r="I1" s="345"/>
      <c r="J1" s="345"/>
      <c r="K1" s="346"/>
    </row>
    <row r="2" spans="1:16">
      <c r="A2" s="92"/>
      <c r="B2" s="564" t="s">
        <v>464</v>
      </c>
      <c r="C2" s="439"/>
      <c r="D2" s="440"/>
      <c r="F2" s="565" t="s">
        <v>465</v>
      </c>
      <c r="G2" s="439"/>
      <c r="H2" s="439"/>
      <c r="I2" s="439"/>
      <c r="J2" s="440"/>
      <c r="K2" s="350"/>
    </row>
    <row r="3" spans="1:16">
      <c r="A3" s="92"/>
      <c r="B3" s="566" t="s">
        <v>466</v>
      </c>
      <c r="C3" s="439"/>
      <c r="D3" s="440"/>
      <c r="F3" s="93" t="s">
        <v>260</v>
      </c>
      <c r="G3" s="93" t="s">
        <v>467</v>
      </c>
      <c r="H3" s="93" t="s">
        <v>468</v>
      </c>
      <c r="I3" s="93" t="s">
        <v>469</v>
      </c>
      <c r="J3" s="93" t="s">
        <v>470</v>
      </c>
      <c r="K3" s="350"/>
    </row>
    <row r="4" spans="1:16">
      <c r="A4" s="92"/>
      <c r="B4" s="265"/>
      <c r="C4" s="265"/>
      <c r="D4" s="265"/>
      <c r="F4" s="94" t="s">
        <v>325</v>
      </c>
      <c r="G4" s="95">
        <v>0.33</v>
      </c>
      <c r="H4" s="95">
        <v>0.35</v>
      </c>
      <c r="I4" s="95">
        <v>8.0000000000000007E-5</v>
      </c>
      <c r="J4" s="95">
        <v>100</v>
      </c>
      <c r="K4" s="350"/>
    </row>
    <row r="5" spans="1:16">
      <c r="A5" s="92"/>
      <c r="B5" s="70" t="s">
        <v>471</v>
      </c>
      <c r="C5" s="367" t="s">
        <v>430</v>
      </c>
      <c r="D5" s="96">
        <f>POWER(((5*D6*D7^4)/(32*(2*10^6)*D9*D10)),1/3)</f>
        <v>7.4158575111864229</v>
      </c>
      <c r="F5" s="97" t="s">
        <v>326</v>
      </c>
      <c r="G5" s="95">
        <v>0.2</v>
      </c>
      <c r="H5" s="95">
        <v>0.42</v>
      </c>
      <c r="I5" s="95">
        <v>2.0000000000000001E-4</v>
      </c>
      <c r="J5" s="95">
        <v>110</v>
      </c>
      <c r="K5" s="350"/>
    </row>
    <row r="6" spans="1:16" ht="16.5" customHeight="1">
      <c r="A6" s="92"/>
      <c r="B6" s="70" t="s">
        <v>472</v>
      </c>
      <c r="C6" s="367" t="s">
        <v>444</v>
      </c>
      <c r="D6" s="367">
        <f>'Input-Output'!B13*0.33</f>
        <v>132</v>
      </c>
      <c r="F6" s="94" t="s">
        <v>327</v>
      </c>
      <c r="G6" s="95">
        <v>0.47</v>
      </c>
      <c r="H6" s="95">
        <v>0.42</v>
      </c>
      <c r="I6" s="95">
        <v>2.0000000000000001E-4</v>
      </c>
      <c r="J6" s="95">
        <v>150</v>
      </c>
      <c r="K6" s="350"/>
    </row>
    <row r="7" spans="1:16">
      <c r="A7" s="92"/>
      <c r="B7" s="70" t="s">
        <v>473</v>
      </c>
      <c r="C7" s="367" t="s">
        <v>430</v>
      </c>
      <c r="D7" s="98">
        <f>'Mould Costing'!B3/10</f>
        <v>56.486718601230635</v>
      </c>
      <c r="F7" s="97" t="s">
        <v>261</v>
      </c>
      <c r="G7" s="95">
        <v>0.35</v>
      </c>
      <c r="H7" s="95">
        <v>0.35</v>
      </c>
      <c r="I7" s="95">
        <v>8.0000000000000007E-5</v>
      </c>
      <c r="J7" s="95">
        <v>105</v>
      </c>
      <c r="K7" s="350"/>
    </row>
    <row r="8" spans="1:16" ht="16.5" customHeight="1">
      <c r="A8" s="92"/>
      <c r="B8" s="70" t="s">
        <v>474</v>
      </c>
      <c r="C8" s="367" t="s">
        <v>475</v>
      </c>
      <c r="D8" s="367" t="s">
        <v>476</v>
      </c>
      <c r="F8" s="94" t="s">
        <v>328</v>
      </c>
      <c r="G8" s="95">
        <v>0.4</v>
      </c>
      <c r="H8" s="95">
        <v>0.35</v>
      </c>
      <c r="I8" s="95">
        <v>8.0000000000000007E-5</v>
      </c>
      <c r="J8" s="95">
        <v>200</v>
      </c>
      <c r="K8" s="350"/>
    </row>
    <row r="9" spans="1:16">
      <c r="A9" s="92"/>
      <c r="B9" s="70" t="s">
        <v>477</v>
      </c>
      <c r="C9" s="367" t="s">
        <v>430</v>
      </c>
      <c r="D9" s="98">
        <f>'Mould Costing'!B4/10</f>
        <v>51.486718601230635</v>
      </c>
      <c r="F9" s="97" t="s">
        <v>329</v>
      </c>
      <c r="G9" s="95">
        <v>0.28000000000000003</v>
      </c>
      <c r="H9" s="95">
        <v>0.36</v>
      </c>
      <c r="I9" s="95">
        <v>1.1E-4</v>
      </c>
      <c r="J9" s="95">
        <v>170</v>
      </c>
      <c r="K9" s="350"/>
    </row>
    <row r="10" spans="1:16">
      <c r="A10" s="92"/>
      <c r="B10" s="99" t="s">
        <v>478</v>
      </c>
      <c r="C10" s="367" t="s">
        <v>430</v>
      </c>
      <c r="D10" s="367">
        <v>5.0000000000000001E-3</v>
      </c>
      <c r="F10" s="94" t="s">
        <v>330</v>
      </c>
      <c r="G10" s="95">
        <v>0.26</v>
      </c>
      <c r="H10" s="95">
        <v>0.2</v>
      </c>
      <c r="I10" s="95">
        <v>6.0000000000000002E-5</v>
      </c>
      <c r="J10" s="95">
        <v>260</v>
      </c>
      <c r="K10" s="350"/>
    </row>
    <row r="11" spans="1:16">
      <c r="A11" s="92"/>
      <c r="B11" s="62"/>
      <c r="C11" s="62"/>
      <c r="D11" s="62"/>
      <c r="E11" s="62"/>
      <c r="F11" s="97" t="s">
        <v>331</v>
      </c>
      <c r="G11" s="95">
        <v>0.37</v>
      </c>
      <c r="H11" s="95">
        <v>0.4</v>
      </c>
      <c r="I11" s="95">
        <v>1.4999999999999999E-4</v>
      </c>
      <c r="J11" s="95">
        <v>225</v>
      </c>
      <c r="K11" s="350"/>
    </row>
    <row r="12" spans="1:16">
      <c r="A12" s="92"/>
      <c r="B12" s="100" t="s">
        <v>479</v>
      </c>
      <c r="C12" s="101">
        <f>'Input-Output'!B15+1.5</f>
        <v>4.5</v>
      </c>
      <c r="D12" s="102" t="s">
        <v>247</v>
      </c>
      <c r="K12" s="350"/>
    </row>
    <row r="13" spans="1:16">
      <c r="A13" s="103"/>
      <c r="B13" s="104" t="s">
        <v>480</v>
      </c>
      <c r="C13" s="101">
        <f>C12/4.5</f>
        <v>1</v>
      </c>
      <c r="D13" s="102" t="s">
        <v>247</v>
      </c>
      <c r="F13" s="562" t="s">
        <v>481</v>
      </c>
      <c r="G13" s="440"/>
      <c r="H13" s="562"/>
      <c r="I13" s="440"/>
      <c r="K13" s="350"/>
    </row>
    <row r="14" spans="1:16">
      <c r="A14" s="92"/>
      <c r="F14" s="341" t="s">
        <v>482</v>
      </c>
      <c r="G14" s="342"/>
      <c r="H14" s="78">
        <f>C25</f>
        <v>4520.153696969699</v>
      </c>
      <c r="I14" s="265" t="s">
        <v>483</v>
      </c>
      <c r="K14" s="350"/>
    </row>
    <row r="15" spans="1:16">
      <c r="A15" s="92"/>
      <c r="B15" s="568" t="s">
        <v>484</v>
      </c>
      <c r="C15" s="439"/>
      <c r="D15" s="440"/>
      <c r="F15" s="341" t="s">
        <v>482</v>
      </c>
      <c r="G15" s="342"/>
      <c r="H15" s="78">
        <f>H14*G19</f>
        <v>460.9291127873941</v>
      </c>
      <c r="I15" s="265" t="s">
        <v>485</v>
      </c>
      <c r="K15" s="350"/>
    </row>
    <row r="16" spans="1:16" ht="29" customHeight="1">
      <c r="A16" s="92"/>
      <c r="B16" s="567" t="s">
        <v>486</v>
      </c>
      <c r="C16" s="439"/>
      <c r="D16" s="440"/>
      <c r="F16" s="563" t="s">
        <v>268</v>
      </c>
      <c r="G16" s="440"/>
      <c r="H16" s="78" t="str">
        <f>'Input-Output'!B10</f>
        <v>2</v>
      </c>
      <c r="I16" s="265"/>
      <c r="K16" s="350"/>
      <c r="P16" t="s">
        <v>487</v>
      </c>
    </row>
    <row r="17" spans="1:11" ht="16.5" customHeight="1">
      <c r="A17" s="92"/>
      <c r="B17" s="105" t="s">
        <v>488</v>
      </c>
      <c r="C17" s="106">
        <f>POWER(((5*C18*C19^4)/(32*(2*10^6)*C21*C22)),1/3)</f>
        <v>1.8730241911156187</v>
      </c>
      <c r="D17" s="265" t="s">
        <v>489</v>
      </c>
      <c r="E17" s="105"/>
      <c r="F17" s="563" t="s">
        <v>490</v>
      </c>
      <c r="G17" s="440"/>
      <c r="H17" s="78">
        <f>H16*H15</f>
        <v>921.85822557478821</v>
      </c>
      <c r="I17" s="265" t="s">
        <v>485</v>
      </c>
      <c r="K17" s="350"/>
    </row>
    <row r="18" spans="1:11">
      <c r="A18" s="92"/>
      <c r="B18" s="107" t="s">
        <v>491</v>
      </c>
      <c r="C18" s="108">
        <f>C25*G19</f>
        <v>460.9291127873941</v>
      </c>
      <c r="D18" s="265"/>
      <c r="F18" s="265" t="s">
        <v>483</v>
      </c>
      <c r="G18" s="265" t="s">
        <v>485</v>
      </c>
      <c r="K18" s="350"/>
    </row>
    <row r="19" spans="1:11">
      <c r="A19" s="92"/>
      <c r="B19" s="107" t="s">
        <v>492</v>
      </c>
      <c r="C19" s="108">
        <f>'Mould Costing'!D13/10</f>
        <v>15</v>
      </c>
      <c r="D19" s="265" t="s">
        <v>489</v>
      </c>
      <c r="F19" s="109">
        <v>1</v>
      </c>
      <c r="G19" s="265">
        <v>0.10197199999999999</v>
      </c>
      <c r="K19" s="350"/>
    </row>
    <row r="20" spans="1:11" ht="16.5" customHeight="1">
      <c r="A20" s="92"/>
      <c r="B20" s="107" t="s">
        <v>493</v>
      </c>
      <c r="C20" s="110" t="s">
        <v>476</v>
      </c>
      <c r="D20" s="265"/>
      <c r="K20" s="350"/>
    </row>
    <row r="21" spans="1:11">
      <c r="A21" s="92"/>
      <c r="B21" s="107" t="s">
        <v>494</v>
      </c>
      <c r="C21" s="108">
        <f>'Mould Costing'!E13/10</f>
        <v>55.486718601230635</v>
      </c>
      <c r="D21" s="265" t="s">
        <v>489</v>
      </c>
      <c r="F21" s="111"/>
      <c r="K21" s="350"/>
    </row>
    <row r="22" spans="1:11">
      <c r="A22" s="92"/>
      <c r="B22" s="107" t="s">
        <v>495</v>
      </c>
      <c r="C22" s="110">
        <v>5.0000000000000001E-3</v>
      </c>
      <c r="D22" s="265" t="s">
        <v>489</v>
      </c>
      <c r="K22" s="350"/>
    </row>
    <row r="23" spans="1:11">
      <c r="A23" s="92"/>
      <c r="K23" s="350"/>
    </row>
    <row r="24" spans="1:11">
      <c r="A24" s="92"/>
      <c r="B24" s="112" t="s">
        <v>496</v>
      </c>
      <c r="K24" s="350"/>
    </row>
    <row r="25" spans="1:11">
      <c r="A25" s="92"/>
      <c r="B25" s="112" t="s">
        <v>482</v>
      </c>
      <c r="C25" s="22">
        <f>(C26*C27*C28*C31*C32)/(C30/(2*C33)*(1-(C29/2)))</f>
        <v>4520.153696969699</v>
      </c>
      <c r="D25" t="s">
        <v>497</v>
      </c>
      <c r="E25" t="s">
        <v>498</v>
      </c>
      <c r="K25" s="350"/>
    </row>
    <row r="26" spans="1:11">
      <c r="A26" s="92"/>
      <c r="B26" s="112" t="s">
        <v>499</v>
      </c>
      <c r="C26">
        <f>VLOOKUP('Input-Output'!B9,Table11[],5,0)*10^5</f>
        <v>249500</v>
      </c>
      <c r="D26" t="s">
        <v>500</v>
      </c>
      <c r="E26" t="s">
        <v>501</v>
      </c>
      <c r="K26" s="350"/>
    </row>
    <row r="27" spans="1:11">
      <c r="A27" s="92"/>
      <c r="B27" s="112" t="s">
        <v>502</v>
      </c>
      <c r="C27">
        <f>2*'Input-Output'!B4/10*'Input-Output'!B3/10+2*'Input-Output'!B4/10*'Input-Output'!B2/10</f>
        <v>300</v>
      </c>
      <c r="D27" t="s">
        <v>503</v>
      </c>
      <c r="E27" t="s">
        <v>504</v>
      </c>
      <c r="K27" s="350"/>
    </row>
    <row r="28" spans="1:11">
      <c r="A28" s="92"/>
      <c r="B28" s="112" t="s">
        <v>505</v>
      </c>
      <c r="C28" s="113">
        <f>VLOOKUP('Input-Output'!$B$9,'Core &amp; Ejector Plate'!$F$4:$J$11,2,FALSE)</f>
        <v>0.35</v>
      </c>
      <c r="E28" t="s">
        <v>506</v>
      </c>
      <c r="K28" s="350"/>
    </row>
    <row r="29" spans="1:11">
      <c r="A29" s="92"/>
      <c r="B29" s="112" t="s">
        <v>507</v>
      </c>
      <c r="C29" s="113">
        <f>VLOOKUP('Input-Output'!$B$9,'Core &amp; Ejector Plate'!$F$4:$J$11,3,FALSE)</f>
        <v>0.35</v>
      </c>
      <c r="E29" t="s">
        <v>508</v>
      </c>
      <c r="K29" s="350"/>
    </row>
    <row r="30" spans="1:11">
      <c r="A30" s="92"/>
      <c r="B30" s="112" t="s">
        <v>509</v>
      </c>
      <c r="C30" s="114">
        <f>((2*'Input-Output'!B2/10+(2*'Input-Output'!B3/10))/3.14)</f>
        <v>19.108280254777068</v>
      </c>
      <c r="D30" t="s">
        <v>510</v>
      </c>
      <c r="E30" t="s">
        <v>511</v>
      </c>
      <c r="K30" s="350"/>
    </row>
    <row r="31" spans="1:11">
      <c r="A31" s="92"/>
      <c r="B31" s="112" t="s">
        <v>512</v>
      </c>
      <c r="C31" s="113">
        <f>VLOOKUP('Input-Output'!$B$9,'Core &amp; Ejector Plate'!$F$4:$J$11,4,FALSE)</f>
        <v>8.0000000000000007E-5</v>
      </c>
      <c r="D31" t="s">
        <v>513</v>
      </c>
      <c r="E31" t="s">
        <v>514</v>
      </c>
      <c r="K31" s="350"/>
    </row>
    <row r="32" spans="1:11">
      <c r="A32" s="92"/>
      <c r="B32" s="112" t="s">
        <v>515</v>
      </c>
      <c r="C32" s="113">
        <f>VLOOKUP('Input-Output'!$B$9,'Core &amp; Ejector Plate'!$F$4:$J$11,5,FALSE)-20</f>
        <v>85</v>
      </c>
      <c r="D32" t="s">
        <v>516</v>
      </c>
      <c r="E32" t="s">
        <v>517</v>
      </c>
      <c r="K32" s="350"/>
    </row>
    <row r="33" spans="1:11">
      <c r="A33" s="92"/>
      <c r="B33" s="112" t="s">
        <v>518</v>
      </c>
      <c r="C33">
        <f>'Input-Output'!B14/10</f>
        <v>0.2</v>
      </c>
      <c r="D33" t="s">
        <v>510</v>
      </c>
      <c r="E33" t="s">
        <v>519</v>
      </c>
      <c r="K33" s="350"/>
    </row>
    <row r="34" spans="1:11">
      <c r="A34" s="347"/>
      <c r="B34" s="348"/>
      <c r="C34" s="348"/>
      <c r="D34" s="348"/>
      <c r="E34" s="348"/>
      <c r="F34" s="348"/>
      <c r="G34" s="348"/>
      <c r="H34" s="348"/>
      <c r="I34" s="348"/>
      <c r="J34" s="348"/>
      <c r="K34" s="349"/>
    </row>
  </sheetData>
  <mergeCells count="9">
    <mergeCell ref="H13:I13"/>
    <mergeCell ref="F17:G17"/>
    <mergeCell ref="B2:D2"/>
    <mergeCell ref="F2:J2"/>
    <mergeCell ref="B3:D3"/>
    <mergeCell ref="F16:G16"/>
    <mergeCell ref="B16:D16"/>
    <mergeCell ref="F13:G13"/>
    <mergeCell ref="B15:D15"/>
  </mergeCells>
  <pageMargins left="0.7" right="0.7" top="0.75" bottom="0.75" header="0.3" footer="0.3"/>
  <pageSetup scale="54" fitToHeight="0"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00"/>
  </sheetPr>
  <dimension ref="A1:O174"/>
  <sheetViews>
    <sheetView topLeftCell="A29" zoomScale="54" zoomScaleNormal="54" workbookViewId="0">
      <selection activeCell="E101" sqref="E101"/>
    </sheetView>
  </sheetViews>
  <sheetFormatPr defaultColWidth="9" defaultRowHeight="14.5"/>
  <cols>
    <col min="1" max="1" width="9.36328125" style="357" customWidth="1"/>
    <col min="2" max="2" width="24.26953125" style="357" customWidth="1"/>
    <col min="3" max="3" width="31.81640625" style="357" customWidth="1"/>
    <col min="4" max="4" width="21.1796875" style="357" customWidth="1"/>
    <col min="5" max="5" width="20.36328125" style="357" customWidth="1"/>
    <col min="6" max="6" width="29.26953125" style="357" customWidth="1"/>
    <col min="7" max="7" width="27.7265625" style="357" customWidth="1"/>
    <col min="8" max="8" width="18.36328125" style="357" customWidth="1"/>
    <col min="9" max="9" width="14.26953125" style="357" customWidth="1"/>
    <col min="10" max="10" width="17.90625" style="357" customWidth="1"/>
    <col min="11" max="11" width="25.36328125" style="357" customWidth="1"/>
    <col min="12" max="12" width="16.1796875" style="357" customWidth="1"/>
  </cols>
  <sheetData>
    <row r="1" spans="1:15">
      <c r="M1" s="374"/>
      <c r="N1" s="374"/>
    </row>
    <row r="2" spans="1:15">
      <c r="A2" s="569" t="s">
        <v>157</v>
      </c>
      <c r="B2" s="457"/>
      <c r="C2" s="74">
        <f>SUM(L4:L19)</f>
        <v>82</v>
      </c>
      <c r="D2" s="74"/>
      <c r="E2" s="74"/>
      <c r="M2" s="374"/>
      <c r="N2" s="431"/>
    </row>
    <row r="3" spans="1:15" ht="16.5" customHeight="1">
      <c r="A3" s="75" t="s">
        <v>520</v>
      </c>
      <c r="B3" s="76" t="s">
        <v>521</v>
      </c>
      <c r="C3" s="76" t="s">
        <v>522</v>
      </c>
      <c r="D3" s="77" t="s">
        <v>523</v>
      </c>
      <c r="E3" s="77" t="s">
        <v>524</v>
      </c>
      <c r="F3" s="77" t="s">
        <v>525</v>
      </c>
      <c r="G3" s="77" t="s">
        <v>526</v>
      </c>
      <c r="H3" s="77" t="s">
        <v>527</v>
      </c>
      <c r="I3" s="77" t="s">
        <v>528</v>
      </c>
      <c r="J3" s="77" t="s">
        <v>529</v>
      </c>
      <c r="K3" s="77" t="s">
        <v>530</v>
      </c>
      <c r="L3" s="82" t="s">
        <v>531</v>
      </c>
      <c r="M3" s="336"/>
      <c r="N3" s="336"/>
      <c r="O3" s="336"/>
    </row>
    <row r="4" spans="1:15">
      <c r="A4" s="342">
        <v>1</v>
      </c>
      <c r="B4" s="70" t="s">
        <v>532</v>
      </c>
      <c r="C4" s="70" t="s">
        <v>98</v>
      </c>
      <c r="D4" s="78">
        <f>(('Mould Costing'!$D$9+10)/10)*(('Mould Costing'!$E$9+10)/10)*(('Mould Costing'!$F$9+10)/10)</f>
        <v>14759.582580944376</v>
      </c>
      <c r="E4" s="78">
        <f>(('Mould Costing'!$D$9)/10)*(('Mould Costing'!$E$9)/10)*(('Mould Costing'!$F$9)/10)</f>
        <v>10220.125393382687</v>
      </c>
      <c r="F4" s="78">
        <f>D4-E4</f>
        <v>4539.4571875616894</v>
      </c>
      <c r="G4" s="78">
        <f>VLOOKUP(C4,Table15[],2,FALSE)</f>
        <v>3</v>
      </c>
      <c r="H4" s="78">
        <f>F4/G4</f>
        <v>1513.1523958538965</v>
      </c>
      <c r="I4" s="78"/>
      <c r="J4" s="83">
        <v>30</v>
      </c>
      <c r="K4" s="83">
        <v>45</v>
      </c>
      <c r="L4" s="42">
        <f>ROUNDUP((K4+J4+H4+I4)/60,0)</f>
        <v>27</v>
      </c>
      <c r="M4" s="336"/>
      <c r="N4" s="336"/>
    </row>
    <row r="5" spans="1:15">
      <c r="A5" s="342">
        <v>2</v>
      </c>
      <c r="B5" s="265" t="s">
        <v>533</v>
      </c>
      <c r="C5" s="70" t="s">
        <v>101</v>
      </c>
      <c r="D5" s="78">
        <f>(('Mould Costing'!$D$9+1)/10)*(('Mould Costing'!$E$9+1)/10)*(('Mould Costing'!$F$9+1)/10)</f>
        <v>10662.229502790633</v>
      </c>
      <c r="E5" s="78">
        <f>(('Mould Costing'!$D$9)/10)*(('Mould Costing'!$E$9)/10)*(('Mould Costing'!$F$9)/10)</f>
        <v>10220.125393382687</v>
      </c>
      <c r="F5" s="78">
        <f>D5-E5</f>
        <v>442.10410940794645</v>
      </c>
      <c r="G5" s="78">
        <f>VLOOKUP(C5,Table15[],2,FALSE)</f>
        <v>0.17499999999999999</v>
      </c>
      <c r="H5" s="78">
        <f>F5/G5</f>
        <v>2526.3091966168372</v>
      </c>
      <c r="I5" s="265"/>
      <c r="J5" s="83">
        <v>30</v>
      </c>
      <c r="K5" s="83">
        <v>45</v>
      </c>
      <c r="L5" s="42">
        <f t="shared" ref="L5:L19" si="0">ROUNDUP((K5+H5+I5+J5)/60,0)</f>
        <v>44</v>
      </c>
      <c r="M5" s="336"/>
      <c r="N5" s="336"/>
    </row>
    <row r="6" spans="1:15">
      <c r="A6" s="342">
        <v>3</v>
      </c>
      <c r="B6" s="265" t="s">
        <v>534</v>
      </c>
      <c r="C6" s="70" t="s">
        <v>103</v>
      </c>
      <c r="D6" s="78">
        <f>3.14/4*('Mould Costing'!$E$21/10*('Mould Costing'!$E$21+10)/10*('Mould Costing'!F9/10))</f>
        <v>306.15000000000003</v>
      </c>
      <c r="E6" s="78">
        <v>0</v>
      </c>
      <c r="F6" s="78">
        <f>D6-E6</f>
        <v>306.15000000000003</v>
      </c>
      <c r="G6" s="78">
        <f>VLOOKUP(C6,Table15[],2,FALSE)</f>
        <v>1</v>
      </c>
      <c r="H6" s="78">
        <f>F6/G6</f>
        <v>306.15000000000003</v>
      </c>
      <c r="I6" s="265"/>
      <c r="J6" s="83">
        <v>30</v>
      </c>
      <c r="K6" s="83">
        <v>45</v>
      </c>
      <c r="L6" s="42">
        <f t="shared" si="0"/>
        <v>7</v>
      </c>
      <c r="M6" s="336"/>
      <c r="N6" s="336"/>
    </row>
    <row r="7" spans="1:15">
      <c r="A7" s="342">
        <v>4</v>
      </c>
      <c r="B7" s="265" t="s">
        <v>535</v>
      </c>
      <c r="C7" s="70" t="s">
        <v>103</v>
      </c>
      <c r="D7" s="78">
        <f>0.785*3*3*'Mould Costing'!F9/10</f>
        <v>17.662500000000001</v>
      </c>
      <c r="E7" s="78">
        <v>0</v>
      </c>
      <c r="F7" s="78">
        <f>D7-E7</f>
        <v>17.662500000000001</v>
      </c>
      <c r="G7" s="78">
        <f>VLOOKUP(C7,Table15[],2,FALSE)</f>
        <v>1</v>
      </c>
      <c r="H7" s="78">
        <f>F7/G7</f>
        <v>17.662500000000001</v>
      </c>
      <c r="I7" s="265"/>
      <c r="J7" s="83">
        <v>30</v>
      </c>
      <c r="K7" s="83">
        <v>45</v>
      </c>
      <c r="L7" s="42">
        <f t="shared" si="0"/>
        <v>2</v>
      </c>
    </row>
    <row r="8" spans="1:15">
      <c r="A8" s="342">
        <v>5</v>
      </c>
      <c r="B8" s="265" t="s">
        <v>536</v>
      </c>
      <c r="C8" s="70" t="s">
        <v>104</v>
      </c>
      <c r="D8" s="78">
        <f>0.785*2*('Mould Costing'!F9/10)*4</f>
        <v>15.700000000000001</v>
      </c>
      <c r="E8" s="78">
        <v>0</v>
      </c>
      <c r="F8" s="78">
        <f>D8-E8</f>
        <v>15.700000000000001</v>
      </c>
      <c r="G8" s="78">
        <f>VLOOKUP(C8,Table15[],2,FALSE)</f>
        <v>0.5</v>
      </c>
      <c r="H8" s="78">
        <f>F8/G8</f>
        <v>31.400000000000002</v>
      </c>
      <c r="I8" s="265"/>
      <c r="J8" s="83">
        <v>30</v>
      </c>
      <c r="K8" s="83">
        <v>45</v>
      </c>
      <c r="L8" s="42">
        <f t="shared" si="0"/>
        <v>2</v>
      </c>
    </row>
    <row r="9" spans="1:15">
      <c r="A9" s="342">
        <v>6</v>
      </c>
      <c r="B9" s="265" t="s">
        <v>113</v>
      </c>
      <c r="C9" s="70" t="s">
        <v>98</v>
      </c>
      <c r="D9" s="265"/>
      <c r="E9" s="265"/>
      <c r="F9" s="265"/>
      <c r="G9" s="78">
        <f>VLOOKUP(C9,Table15[],2,FALSE)</f>
        <v>3</v>
      </c>
      <c r="H9" s="265"/>
      <c r="I9" s="265"/>
      <c r="J9" s="83"/>
      <c r="K9" s="83"/>
      <c r="L9" s="42">
        <f t="shared" si="0"/>
        <v>0</v>
      </c>
    </row>
    <row r="10" spans="1:15">
      <c r="A10" s="342"/>
      <c r="B10" s="265"/>
      <c r="C10" s="70" t="s">
        <v>98</v>
      </c>
      <c r="D10" s="265"/>
      <c r="E10" s="265"/>
      <c r="F10" s="265"/>
      <c r="G10" s="78">
        <f>VLOOKUP(C10,Table15[],2,FALSE)</f>
        <v>3</v>
      </c>
      <c r="H10" s="265"/>
      <c r="I10" s="265"/>
      <c r="J10" s="265"/>
      <c r="K10" s="265"/>
      <c r="L10" s="42">
        <f t="shared" si="0"/>
        <v>0</v>
      </c>
    </row>
    <row r="11" spans="1:15">
      <c r="A11" s="342"/>
      <c r="B11" s="265"/>
      <c r="C11" s="70" t="s">
        <v>98</v>
      </c>
      <c r="D11" s="265"/>
      <c r="E11" s="265"/>
      <c r="F11" s="265"/>
      <c r="G11" s="78">
        <f>VLOOKUP(C11,Table15[],2,FALSE)</f>
        <v>3</v>
      </c>
      <c r="H11" s="265"/>
      <c r="I11" s="265"/>
      <c r="J11" s="265"/>
      <c r="K11" s="265"/>
      <c r="L11" s="42">
        <f t="shared" si="0"/>
        <v>0</v>
      </c>
    </row>
    <row r="12" spans="1:15">
      <c r="A12" s="342"/>
      <c r="B12" s="265"/>
      <c r="C12" s="70" t="s">
        <v>98</v>
      </c>
      <c r="D12" s="265"/>
      <c r="E12" s="265"/>
      <c r="F12" s="265"/>
      <c r="G12" s="78">
        <f>VLOOKUP(C12,Table15[],2,FALSE)</f>
        <v>3</v>
      </c>
      <c r="H12" s="265"/>
      <c r="I12" s="265"/>
      <c r="J12" s="265"/>
      <c r="K12" s="265"/>
      <c r="L12" s="42">
        <f t="shared" si="0"/>
        <v>0</v>
      </c>
    </row>
    <row r="13" spans="1:15">
      <c r="A13" s="342"/>
      <c r="B13" s="265"/>
      <c r="C13" s="70" t="s">
        <v>98</v>
      </c>
      <c r="D13" s="265"/>
      <c r="E13" s="265"/>
      <c r="F13" s="265"/>
      <c r="G13" s="78">
        <f>VLOOKUP(C13,Table15[],2,FALSE)</f>
        <v>3</v>
      </c>
      <c r="H13" s="265"/>
      <c r="I13" s="265"/>
      <c r="J13" s="265"/>
      <c r="K13" s="265"/>
      <c r="L13" s="42">
        <f t="shared" si="0"/>
        <v>0</v>
      </c>
    </row>
    <row r="14" spans="1:15">
      <c r="A14" s="342"/>
      <c r="B14" s="265"/>
      <c r="C14" s="70" t="s">
        <v>98</v>
      </c>
      <c r="D14" s="265"/>
      <c r="E14" s="265"/>
      <c r="F14" s="265"/>
      <c r="G14" s="78">
        <f>VLOOKUP(C14,Table15[],2,FALSE)</f>
        <v>3</v>
      </c>
      <c r="H14" s="265"/>
      <c r="I14" s="265"/>
      <c r="J14" s="265"/>
      <c r="K14" s="265"/>
      <c r="L14" s="42">
        <f t="shared" si="0"/>
        <v>0</v>
      </c>
    </row>
    <row r="15" spans="1:15">
      <c r="A15" s="342"/>
      <c r="B15" s="265"/>
      <c r="C15" s="70" t="s">
        <v>98</v>
      </c>
      <c r="D15" s="265"/>
      <c r="E15" s="265"/>
      <c r="F15" s="265"/>
      <c r="G15" s="78">
        <f>VLOOKUP(C15,Table15[],2,FALSE)</f>
        <v>3</v>
      </c>
      <c r="H15" s="265"/>
      <c r="I15" s="265"/>
      <c r="J15" s="265"/>
      <c r="K15" s="265"/>
      <c r="L15" s="42">
        <f t="shared" si="0"/>
        <v>0</v>
      </c>
    </row>
    <row r="16" spans="1:15">
      <c r="A16" s="342"/>
      <c r="B16" s="265"/>
      <c r="C16" s="70" t="s">
        <v>98</v>
      </c>
      <c r="D16" s="265"/>
      <c r="E16" s="265"/>
      <c r="F16" s="265"/>
      <c r="G16" s="78">
        <f>VLOOKUP(C16,Table15[],2,FALSE)</f>
        <v>3</v>
      </c>
      <c r="H16" s="265"/>
      <c r="I16" s="265"/>
      <c r="J16" s="265"/>
      <c r="K16" s="265"/>
      <c r="L16" s="42">
        <f t="shared" si="0"/>
        <v>0</v>
      </c>
    </row>
    <row r="17" spans="1:15">
      <c r="A17" s="342"/>
      <c r="B17" s="265"/>
      <c r="C17" s="70" t="s">
        <v>98</v>
      </c>
      <c r="D17" s="265"/>
      <c r="E17" s="265"/>
      <c r="F17" s="265"/>
      <c r="G17" s="78">
        <f>VLOOKUP(C17,Table15[],2,FALSE)</f>
        <v>3</v>
      </c>
      <c r="H17" s="265"/>
      <c r="I17" s="265"/>
      <c r="J17" s="265"/>
      <c r="K17" s="265"/>
      <c r="L17" s="42">
        <f t="shared" si="0"/>
        <v>0</v>
      </c>
    </row>
    <row r="18" spans="1:15">
      <c r="A18" s="342"/>
      <c r="B18" s="265"/>
      <c r="C18" s="70" t="s">
        <v>98</v>
      </c>
      <c r="D18" s="265"/>
      <c r="E18" s="265"/>
      <c r="F18" s="265"/>
      <c r="G18" s="78">
        <f>VLOOKUP(C18,Table15[],2,FALSE)</f>
        <v>3</v>
      </c>
      <c r="H18" s="265"/>
      <c r="I18" s="265"/>
      <c r="J18" s="265"/>
      <c r="K18" s="265"/>
      <c r="L18" s="42">
        <f t="shared" si="0"/>
        <v>0</v>
      </c>
    </row>
    <row r="19" spans="1:15">
      <c r="A19" s="361"/>
      <c r="B19" s="79"/>
      <c r="C19" s="79"/>
      <c r="D19" s="79"/>
      <c r="E19" s="79"/>
      <c r="F19" s="79"/>
      <c r="G19" s="79"/>
      <c r="H19" s="79"/>
      <c r="I19" s="79"/>
      <c r="J19" s="79"/>
      <c r="K19" s="79"/>
      <c r="L19" s="44">
        <f t="shared" si="0"/>
        <v>0</v>
      </c>
    </row>
    <row r="21" spans="1:15">
      <c r="A21" s="569" t="s">
        <v>159</v>
      </c>
      <c r="B21" s="457"/>
      <c r="C21" s="74">
        <f>SUM(L23:L38)</f>
        <v>75</v>
      </c>
      <c r="D21" s="74"/>
      <c r="E21" s="74"/>
      <c r="M21" s="374"/>
      <c r="N21" s="431"/>
    </row>
    <row r="22" spans="1:15" ht="16.5" customHeight="1">
      <c r="A22" s="75" t="s">
        <v>520</v>
      </c>
      <c r="B22" s="76" t="s">
        <v>521</v>
      </c>
      <c r="C22" s="76" t="s">
        <v>522</v>
      </c>
      <c r="D22" s="77" t="s">
        <v>523</v>
      </c>
      <c r="E22" s="77" t="s">
        <v>524</v>
      </c>
      <c r="F22" s="77" t="s">
        <v>525</v>
      </c>
      <c r="G22" s="77" t="s">
        <v>526</v>
      </c>
      <c r="H22" s="77" t="s">
        <v>527</v>
      </c>
      <c r="I22" s="77" t="s">
        <v>528</v>
      </c>
      <c r="J22" s="77" t="s">
        <v>529</v>
      </c>
      <c r="K22" s="77" t="s">
        <v>530</v>
      </c>
      <c r="L22" s="82" t="s">
        <v>531</v>
      </c>
      <c r="M22" s="336"/>
      <c r="N22" s="336"/>
      <c r="O22" s="336"/>
    </row>
    <row r="23" spans="1:15">
      <c r="A23" s="342">
        <v>1</v>
      </c>
      <c r="B23" s="70" t="s">
        <v>532</v>
      </c>
      <c r="C23" s="70" t="s">
        <v>98</v>
      </c>
      <c r="D23" s="78">
        <f>(('Mould Costing'!$D$10+10)/10)*(('Mould Costing'!$E$10+10)/10)*(('Mould Costing'!$F$10+10)/10)</f>
        <v>14759.582580944376</v>
      </c>
      <c r="E23" s="78">
        <f>(('Mould Costing'!$D$10)/10)*(('Mould Costing'!$E$10)/10)*(('Mould Costing'!$F$10)/10)</f>
        <v>10220.125393382687</v>
      </c>
      <c r="F23" s="78">
        <f>D23-E23</f>
        <v>4539.4571875616894</v>
      </c>
      <c r="G23" s="78">
        <f>VLOOKUP(C23,Table15[],2,FALSE)</f>
        <v>3</v>
      </c>
      <c r="H23" s="78">
        <f>F23/G23</f>
        <v>1513.1523958538965</v>
      </c>
      <c r="I23" s="78"/>
      <c r="J23" s="265">
        <v>30</v>
      </c>
      <c r="K23" s="265">
        <v>45</v>
      </c>
      <c r="L23" s="42">
        <f>ROUNDUP((K23+J23+H23+I23)/60,0)</f>
        <v>27</v>
      </c>
      <c r="M23" s="84"/>
    </row>
    <row r="24" spans="1:15">
      <c r="A24" s="342">
        <v>2</v>
      </c>
      <c r="B24" s="265" t="s">
        <v>533</v>
      </c>
      <c r="C24" s="70" t="s">
        <v>101</v>
      </c>
      <c r="D24" s="78">
        <f>(('Mould Costing'!$D$10+1)/10)*(('Mould Costing'!$E$10+1)/10)*(('Mould Costing'!$F$10+1)/10)</f>
        <v>10662.229502790633</v>
      </c>
      <c r="E24" s="78">
        <f>(('Mould Costing'!$D$10)/10)*(('Mould Costing'!$E$10)/10)*(('Mould Costing'!$F$10)/10)</f>
        <v>10220.125393382687</v>
      </c>
      <c r="F24" s="78">
        <f>D24-E24</f>
        <v>442.10410940794645</v>
      </c>
      <c r="G24" s="78">
        <f>VLOOKUP(C24,Table15[],2,FALSE)</f>
        <v>0.17499999999999999</v>
      </c>
      <c r="H24" s="78">
        <f>F24/G24</f>
        <v>2526.3091966168372</v>
      </c>
      <c r="I24" s="265"/>
      <c r="J24" s="265">
        <v>30</v>
      </c>
      <c r="K24" s="265">
        <v>45</v>
      </c>
      <c r="L24" s="42">
        <f t="shared" ref="L24:L38" si="1">ROUNDUP((K24+H24+I24+J24)/60,0)</f>
        <v>44</v>
      </c>
    </row>
    <row r="25" spans="1:15">
      <c r="A25" s="342">
        <v>3</v>
      </c>
      <c r="B25" s="265" t="s">
        <v>537</v>
      </c>
      <c r="C25" s="70" t="s">
        <v>103</v>
      </c>
      <c r="D25" s="78">
        <f>3.14/4*4*4*('Mould Costing'!$F$10/10)</f>
        <v>31.400000000000002</v>
      </c>
      <c r="E25" s="78">
        <v>0</v>
      </c>
      <c r="F25" s="78">
        <f>D25-E25</f>
        <v>31.400000000000002</v>
      </c>
      <c r="G25" s="78">
        <f>VLOOKUP(C25,Table15[],2,FALSE)</f>
        <v>1</v>
      </c>
      <c r="H25" s="78">
        <f>F25/G25</f>
        <v>31.400000000000002</v>
      </c>
      <c r="I25" s="265"/>
      <c r="J25" s="265">
        <v>30</v>
      </c>
      <c r="K25" s="265">
        <v>45</v>
      </c>
      <c r="L25" s="42">
        <f t="shared" si="1"/>
        <v>2</v>
      </c>
    </row>
    <row r="26" spans="1:15">
      <c r="A26" s="342">
        <v>4</v>
      </c>
      <c r="B26" s="265" t="s">
        <v>536</v>
      </c>
      <c r="C26" s="70" t="s">
        <v>104</v>
      </c>
      <c r="D26" s="78">
        <f>0.785*2*('Mould Costing'!F10/10)*4</f>
        <v>15.700000000000001</v>
      </c>
      <c r="E26" s="78">
        <v>0</v>
      </c>
      <c r="F26" s="78">
        <f>D26-E26</f>
        <v>15.700000000000001</v>
      </c>
      <c r="G26" s="78">
        <f>VLOOKUP(C26,Table15[],2,FALSE)</f>
        <v>0.5</v>
      </c>
      <c r="H26" s="78">
        <f>F26/G26</f>
        <v>31.400000000000002</v>
      </c>
      <c r="I26" s="265"/>
      <c r="J26" s="265">
        <v>30</v>
      </c>
      <c r="K26" s="265">
        <v>45</v>
      </c>
      <c r="L26" s="42">
        <f t="shared" si="1"/>
        <v>2</v>
      </c>
    </row>
    <row r="27" spans="1:15">
      <c r="A27" s="342">
        <v>5</v>
      </c>
      <c r="B27" s="265" t="s">
        <v>113</v>
      </c>
      <c r="C27" s="70" t="s">
        <v>104</v>
      </c>
      <c r="D27" s="78"/>
      <c r="E27" s="78"/>
      <c r="F27" s="78">
        <f>D27-E27</f>
        <v>0</v>
      </c>
      <c r="G27" s="78">
        <f>VLOOKUP(C27,Table15[],2,FALSE)</f>
        <v>0.5</v>
      </c>
      <c r="H27" s="78">
        <f>F27/G27</f>
        <v>0</v>
      </c>
      <c r="I27" s="265"/>
      <c r="J27" s="265"/>
      <c r="K27" s="265"/>
      <c r="L27" s="42">
        <f t="shared" si="1"/>
        <v>0</v>
      </c>
    </row>
    <row r="28" spans="1:15">
      <c r="A28" s="342"/>
      <c r="B28" s="265"/>
      <c r="C28" s="70" t="s">
        <v>98</v>
      </c>
      <c r="D28" s="265"/>
      <c r="E28" s="265"/>
      <c r="F28" s="265"/>
      <c r="G28" s="78">
        <f>VLOOKUP(C28,Table15[],2,FALSE)</f>
        <v>3</v>
      </c>
      <c r="H28" s="265"/>
      <c r="I28" s="265"/>
      <c r="J28" s="265"/>
      <c r="K28" s="265"/>
      <c r="L28" s="42">
        <f t="shared" si="1"/>
        <v>0</v>
      </c>
    </row>
    <row r="29" spans="1:15">
      <c r="A29" s="342"/>
      <c r="B29" s="265"/>
      <c r="C29" s="70" t="s">
        <v>98</v>
      </c>
      <c r="D29" s="265"/>
      <c r="E29" s="265"/>
      <c r="F29" s="265"/>
      <c r="G29" s="78">
        <f>VLOOKUP(C29,Table15[],2,FALSE)</f>
        <v>3</v>
      </c>
      <c r="H29" s="265"/>
      <c r="I29" s="265"/>
      <c r="J29" s="265"/>
      <c r="K29" s="265"/>
      <c r="L29" s="42">
        <f t="shared" si="1"/>
        <v>0</v>
      </c>
    </row>
    <row r="30" spans="1:15">
      <c r="A30" s="342"/>
      <c r="B30" s="265"/>
      <c r="C30" s="70" t="s">
        <v>98</v>
      </c>
      <c r="D30" s="265"/>
      <c r="E30" s="265"/>
      <c r="F30" s="265"/>
      <c r="G30" s="78">
        <f>VLOOKUP(C30,Table15[],2,FALSE)</f>
        <v>3</v>
      </c>
      <c r="H30" s="265"/>
      <c r="I30" s="265"/>
      <c r="J30" s="265"/>
      <c r="K30" s="265"/>
      <c r="L30" s="42">
        <f t="shared" si="1"/>
        <v>0</v>
      </c>
    </row>
    <row r="31" spans="1:15">
      <c r="A31" s="342"/>
      <c r="B31" s="265"/>
      <c r="C31" s="70" t="s">
        <v>98</v>
      </c>
      <c r="D31" s="265"/>
      <c r="E31" s="265"/>
      <c r="F31" s="265"/>
      <c r="G31" s="78">
        <f>VLOOKUP(C31,Table15[],2,FALSE)</f>
        <v>3</v>
      </c>
      <c r="H31" s="265"/>
      <c r="I31" s="265"/>
      <c r="J31" s="265"/>
      <c r="K31" s="265"/>
      <c r="L31" s="42">
        <f t="shared" si="1"/>
        <v>0</v>
      </c>
    </row>
    <row r="32" spans="1:15">
      <c r="A32" s="342"/>
      <c r="B32" s="265"/>
      <c r="C32" s="70" t="s">
        <v>98</v>
      </c>
      <c r="D32" s="265"/>
      <c r="E32" s="265"/>
      <c r="F32" s="265"/>
      <c r="G32" s="78">
        <f>VLOOKUP(C32,Table15[],2,FALSE)</f>
        <v>3</v>
      </c>
      <c r="H32" s="265"/>
      <c r="I32" s="265"/>
      <c r="J32" s="265"/>
      <c r="K32" s="265"/>
      <c r="L32" s="42">
        <f t="shared" si="1"/>
        <v>0</v>
      </c>
    </row>
    <row r="33" spans="1:12">
      <c r="A33" s="342"/>
      <c r="B33" s="265"/>
      <c r="C33" s="70" t="s">
        <v>98</v>
      </c>
      <c r="D33" s="265"/>
      <c r="E33" s="265"/>
      <c r="F33" s="265"/>
      <c r="G33" s="78">
        <f>VLOOKUP(C33,Table15[],2,FALSE)</f>
        <v>3</v>
      </c>
      <c r="H33" s="265"/>
      <c r="I33" s="265"/>
      <c r="J33" s="265"/>
      <c r="K33" s="265"/>
      <c r="L33" s="42">
        <f t="shared" si="1"/>
        <v>0</v>
      </c>
    </row>
    <row r="34" spans="1:12">
      <c r="A34" s="342"/>
      <c r="B34" s="265"/>
      <c r="C34" s="70" t="s">
        <v>98</v>
      </c>
      <c r="D34" s="265"/>
      <c r="E34" s="265"/>
      <c r="F34" s="265"/>
      <c r="G34" s="78">
        <f>VLOOKUP(C34,Table15[],2,FALSE)</f>
        <v>3</v>
      </c>
      <c r="H34" s="265"/>
      <c r="I34" s="265"/>
      <c r="J34" s="265"/>
      <c r="K34" s="265"/>
      <c r="L34" s="42">
        <f t="shared" si="1"/>
        <v>0</v>
      </c>
    </row>
    <row r="35" spans="1:12">
      <c r="A35" s="342"/>
      <c r="B35" s="265"/>
      <c r="C35" s="70" t="s">
        <v>98</v>
      </c>
      <c r="D35" s="265"/>
      <c r="E35" s="265"/>
      <c r="F35" s="265"/>
      <c r="G35" s="78">
        <f>VLOOKUP(C35,Table15[],2,FALSE)</f>
        <v>3</v>
      </c>
      <c r="H35" s="265"/>
      <c r="I35" s="265"/>
      <c r="J35" s="265"/>
      <c r="K35" s="265"/>
      <c r="L35" s="42">
        <f t="shared" si="1"/>
        <v>0</v>
      </c>
    </row>
    <row r="36" spans="1:12">
      <c r="A36" s="342"/>
      <c r="B36" s="265"/>
      <c r="C36" s="70" t="s">
        <v>98</v>
      </c>
      <c r="D36" s="265"/>
      <c r="E36" s="265"/>
      <c r="F36" s="265"/>
      <c r="G36" s="78">
        <f>VLOOKUP(C36,Table15[],2,FALSE)</f>
        <v>3</v>
      </c>
      <c r="H36" s="265"/>
      <c r="I36" s="265"/>
      <c r="J36" s="265"/>
      <c r="K36" s="265"/>
      <c r="L36" s="42">
        <f t="shared" si="1"/>
        <v>0</v>
      </c>
    </row>
    <row r="37" spans="1:12">
      <c r="A37" s="342"/>
      <c r="B37" s="265"/>
      <c r="C37" s="70" t="s">
        <v>98</v>
      </c>
      <c r="D37" s="265"/>
      <c r="E37" s="265"/>
      <c r="F37" s="265"/>
      <c r="G37" s="78">
        <f>VLOOKUP(C37,Table15[],2,FALSE)</f>
        <v>3</v>
      </c>
      <c r="H37" s="265"/>
      <c r="I37" s="265"/>
      <c r="J37" s="265"/>
      <c r="K37" s="265"/>
      <c r="L37" s="42">
        <f t="shared" si="1"/>
        <v>0</v>
      </c>
    </row>
    <row r="38" spans="1:12">
      <c r="A38" s="361"/>
      <c r="B38" s="79"/>
      <c r="C38" s="79"/>
      <c r="D38" s="79"/>
      <c r="E38" s="79"/>
      <c r="F38" s="79"/>
      <c r="G38" s="80"/>
      <c r="H38" s="79"/>
      <c r="I38" s="79"/>
      <c r="J38" s="79"/>
      <c r="K38" s="79"/>
      <c r="L38" s="44">
        <f t="shared" si="1"/>
        <v>0</v>
      </c>
    </row>
    <row r="40" spans="1:12">
      <c r="A40" s="569" t="s">
        <v>160</v>
      </c>
      <c r="B40" s="457"/>
      <c r="C40" s="74">
        <f>SUM(L42:L57)</f>
        <v>58</v>
      </c>
      <c r="D40" s="74"/>
      <c r="E40" s="74"/>
    </row>
    <row r="41" spans="1:12" ht="16.5" customHeight="1">
      <c r="A41" s="75" t="s">
        <v>520</v>
      </c>
      <c r="B41" s="76" t="s">
        <v>521</v>
      </c>
      <c r="C41" s="76" t="s">
        <v>522</v>
      </c>
      <c r="D41" s="77" t="s">
        <v>523</v>
      </c>
      <c r="E41" s="77" t="s">
        <v>524</v>
      </c>
      <c r="F41" s="77" t="s">
        <v>525</v>
      </c>
      <c r="G41" s="77" t="s">
        <v>526</v>
      </c>
      <c r="H41" s="77" t="s">
        <v>527</v>
      </c>
      <c r="I41" s="77" t="s">
        <v>528</v>
      </c>
      <c r="J41" s="77" t="s">
        <v>529</v>
      </c>
      <c r="K41" s="77" t="s">
        <v>530</v>
      </c>
      <c r="L41" s="85" t="s">
        <v>538</v>
      </c>
    </row>
    <row r="42" spans="1:12">
      <c r="A42" s="342">
        <v>1</v>
      </c>
      <c r="B42" s="70" t="s">
        <v>532</v>
      </c>
      <c r="C42" s="70" t="s">
        <v>98</v>
      </c>
      <c r="D42" s="78">
        <f>('Mould Costing'!$D$11+30)*('Mould Costing'!$E$11+30)*('Mould Costing'!$F$11+10)/1000</f>
        <v>20661.744250515403</v>
      </c>
      <c r="E42" s="78">
        <f>('Mould Costing'!$D$11)*('Mould Costing'!$E$11)*('Mould Costing'!$F$11)/1000</f>
        <v>16006.320407295259</v>
      </c>
      <c r="F42" s="78">
        <f>D42-E42</f>
        <v>4655.4238432201437</v>
      </c>
      <c r="G42" s="78">
        <f>VLOOKUP(C42,Table15[],2,FALSE)</f>
        <v>3</v>
      </c>
      <c r="H42" s="81">
        <f>F42/G42</f>
        <v>1551.8079477400479</v>
      </c>
      <c r="I42" s="265"/>
      <c r="J42" s="265">
        <v>30</v>
      </c>
      <c r="K42" s="265">
        <v>45</v>
      </c>
      <c r="L42" s="42">
        <f>ROUNDUP((K42+H42+I42+J42)/60,0)</f>
        <v>28</v>
      </c>
    </row>
    <row r="43" spans="1:12">
      <c r="A43" s="342">
        <v>2</v>
      </c>
      <c r="B43" s="265" t="s">
        <v>533</v>
      </c>
      <c r="C43" s="70" t="s">
        <v>101</v>
      </c>
      <c r="D43" s="78">
        <f>('Mould Costing'!$D$11+1)*('Mould Costing'!$E$11+1)*('Mould Costing'!$F$11+1)/1000</f>
        <v>16243.529776584826</v>
      </c>
      <c r="E43" s="78">
        <f>('Mould Costing'!$D$11)*('Mould Costing'!$E$11)*('Mould Costing'!$F$11)/1000</f>
        <v>16006.320407295259</v>
      </c>
      <c r="F43" s="78">
        <f>D43-E43</f>
        <v>237.20936928956689</v>
      </c>
      <c r="G43" s="78">
        <f>VLOOKUP(C43,Table15[],2,FALSE)</f>
        <v>0.17499999999999999</v>
      </c>
      <c r="H43" s="78">
        <f>F43/G43</f>
        <v>1355.4821102260967</v>
      </c>
      <c r="I43" s="265"/>
      <c r="J43" s="265">
        <v>30</v>
      </c>
      <c r="K43" s="265">
        <v>45</v>
      </c>
      <c r="L43" s="42">
        <f>ROUNDUP((K43+H43+I43+J43)/60,0)</f>
        <v>24</v>
      </c>
    </row>
    <row r="44" spans="1:12">
      <c r="A44" s="342">
        <v>3</v>
      </c>
      <c r="B44" s="265" t="s">
        <v>539</v>
      </c>
      <c r="C44" s="70" t="s">
        <v>103</v>
      </c>
      <c r="D44" s="78">
        <f>3.14/4*4*4*('Mould Costing'!F11/10)</f>
        <v>143.76236768082433</v>
      </c>
      <c r="E44" s="265">
        <v>0</v>
      </c>
      <c r="F44" s="78">
        <f>D44-E44</f>
        <v>143.76236768082433</v>
      </c>
      <c r="G44" s="78">
        <f>VLOOKUP(C44,Table15[],2,FALSE)</f>
        <v>1</v>
      </c>
      <c r="H44" s="78">
        <f>F44/G44</f>
        <v>143.76236768082433</v>
      </c>
      <c r="I44" s="265"/>
      <c r="J44" s="265">
        <v>30</v>
      </c>
      <c r="K44" s="265">
        <v>45</v>
      </c>
      <c r="L44" s="42">
        <f>ROUNDUP((K44+H44+I44+J44)/60,0)</f>
        <v>4</v>
      </c>
    </row>
    <row r="45" spans="1:12">
      <c r="A45" s="342">
        <v>4</v>
      </c>
      <c r="B45" s="265" t="s">
        <v>540</v>
      </c>
      <c r="C45" s="70" t="s">
        <v>103</v>
      </c>
      <c r="D45" s="78">
        <f>3.14/4*2*2*('Mould Costing'!F12/10)</f>
        <v>9.6492959601030428</v>
      </c>
      <c r="E45" s="265">
        <v>0</v>
      </c>
      <c r="F45" s="78">
        <f>D45-E45</f>
        <v>9.6492959601030428</v>
      </c>
      <c r="G45" s="78">
        <f>VLOOKUP(C45,Table15[],2,FALSE)</f>
        <v>1</v>
      </c>
      <c r="H45" s="78">
        <f>F45/G45</f>
        <v>9.6492959601030428</v>
      </c>
      <c r="I45" s="265"/>
      <c r="J45" s="265">
        <v>30</v>
      </c>
      <c r="K45" s="265">
        <v>45</v>
      </c>
      <c r="L45" s="42">
        <f>ROUNDUP((K45+H45+I45+J45)/60,0)</f>
        <v>2</v>
      </c>
    </row>
    <row r="46" spans="1:12">
      <c r="A46" s="352"/>
      <c r="B46" s="265"/>
      <c r="C46" s="70"/>
      <c r="D46" s="265"/>
      <c r="E46" s="265"/>
      <c r="F46" s="265"/>
      <c r="G46" s="265"/>
      <c r="H46" s="265"/>
      <c r="I46" s="265"/>
      <c r="J46" s="265"/>
      <c r="K46" s="265"/>
      <c r="L46" s="86"/>
    </row>
    <row r="47" spans="1:12">
      <c r="A47" s="352"/>
      <c r="B47" s="265"/>
      <c r="C47" s="70"/>
      <c r="D47" s="265"/>
      <c r="E47" s="265"/>
      <c r="F47" s="265"/>
      <c r="G47" s="265"/>
      <c r="H47" s="265"/>
      <c r="I47" s="265"/>
      <c r="J47" s="265"/>
      <c r="K47" s="265"/>
      <c r="L47" s="86"/>
    </row>
    <row r="48" spans="1:12">
      <c r="A48" s="352"/>
      <c r="B48" s="265"/>
      <c r="C48" s="70"/>
      <c r="D48" s="265"/>
      <c r="E48" s="265"/>
      <c r="F48" s="265"/>
      <c r="G48" s="265"/>
      <c r="H48" s="265"/>
      <c r="I48" s="265"/>
      <c r="J48" s="265"/>
      <c r="K48" s="265"/>
      <c r="L48" s="86"/>
    </row>
    <row r="49" spans="1:12">
      <c r="A49" s="352"/>
      <c r="B49" s="265"/>
      <c r="C49" s="70"/>
      <c r="D49" s="265"/>
      <c r="E49" s="265"/>
      <c r="F49" s="265"/>
      <c r="G49" s="265"/>
      <c r="H49" s="265"/>
      <c r="I49" s="265"/>
      <c r="J49" s="265"/>
      <c r="K49" s="265"/>
      <c r="L49" s="86"/>
    </row>
    <row r="50" spans="1:12">
      <c r="A50" s="352"/>
      <c r="B50" s="265"/>
      <c r="C50" s="70"/>
      <c r="D50" s="265"/>
      <c r="E50" s="265"/>
      <c r="F50" s="265"/>
      <c r="G50" s="265"/>
      <c r="H50" s="265"/>
      <c r="I50" s="265"/>
      <c r="J50" s="265"/>
      <c r="K50" s="265"/>
      <c r="L50" s="86"/>
    </row>
    <row r="51" spans="1:12">
      <c r="A51" s="352"/>
      <c r="B51" s="265"/>
      <c r="C51" s="70"/>
      <c r="D51" s="265"/>
      <c r="E51" s="265"/>
      <c r="F51" s="265"/>
      <c r="G51" s="265"/>
      <c r="H51" s="265"/>
      <c r="I51" s="265"/>
      <c r="J51" s="265"/>
      <c r="K51" s="265"/>
      <c r="L51" s="86"/>
    </row>
    <row r="52" spans="1:12">
      <c r="A52" s="352"/>
      <c r="B52" s="265"/>
      <c r="C52" s="70"/>
      <c r="D52" s="265"/>
      <c r="E52" s="265"/>
      <c r="F52" s="265"/>
      <c r="G52" s="265"/>
      <c r="H52" s="265"/>
      <c r="I52" s="265"/>
      <c r="J52" s="265"/>
      <c r="K52" s="265"/>
      <c r="L52" s="86"/>
    </row>
    <row r="53" spans="1:12">
      <c r="A53" s="352"/>
      <c r="B53" s="265"/>
      <c r="C53" s="70"/>
      <c r="D53" s="265"/>
      <c r="E53" s="265"/>
      <c r="F53" s="265"/>
      <c r="G53" s="265"/>
      <c r="H53" s="265"/>
      <c r="I53" s="265"/>
      <c r="J53" s="265"/>
      <c r="K53" s="265"/>
      <c r="L53" s="86"/>
    </row>
    <row r="54" spans="1:12">
      <c r="A54" s="352"/>
      <c r="B54" s="265"/>
      <c r="C54" s="70"/>
      <c r="D54" s="265"/>
      <c r="E54" s="265"/>
      <c r="F54" s="265"/>
      <c r="G54" s="265"/>
      <c r="H54" s="265"/>
      <c r="I54" s="265"/>
      <c r="J54" s="265"/>
      <c r="K54" s="265"/>
      <c r="L54" s="86"/>
    </row>
    <row r="55" spans="1:12">
      <c r="A55" s="352"/>
      <c r="B55" s="265"/>
      <c r="C55" s="70"/>
      <c r="D55" s="265"/>
      <c r="E55" s="265"/>
      <c r="F55" s="265"/>
      <c r="G55" s="265"/>
      <c r="H55" s="265"/>
      <c r="I55" s="265"/>
      <c r="J55" s="265"/>
      <c r="K55" s="265"/>
      <c r="L55" s="86"/>
    </row>
    <row r="56" spans="1:12">
      <c r="A56" s="352"/>
      <c r="B56" s="265"/>
      <c r="C56" s="70"/>
      <c r="D56" s="265"/>
      <c r="E56" s="265"/>
      <c r="F56" s="265"/>
      <c r="G56" s="265"/>
      <c r="H56" s="265"/>
      <c r="I56" s="265"/>
      <c r="J56" s="265"/>
      <c r="K56" s="265"/>
      <c r="L56" s="86"/>
    </row>
    <row r="57" spans="1:12">
      <c r="A57" s="361"/>
      <c r="B57" s="79"/>
      <c r="C57" s="79"/>
      <c r="D57" s="79"/>
      <c r="E57" s="79"/>
      <c r="F57" s="79"/>
      <c r="G57" s="79"/>
      <c r="H57" s="79"/>
      <c r="I57" s="79"/>
      <c r="J57" s="79"/>
      <c r="K57" s="79"/>
      <c r="L57" s="87"/>
    </row>
    <row r="59" spans="1:12">
      <c r="A59" s="569" t="s">
        <v>161</v>
      </c>
      <c r="B59" s="457"/>
      <c r="C59" s="74" t="e">
        <f>SUM(L61:L76)</f>
        <v>#N/A</v>
      </c>
      <c r="D59" s="74"/>
      <c r="E59" s="74"/>
    </row>
    <row r="60" spans="1:12" ht="16.5" customHeight="1">
      <c r="A60" s="75" t="s">
        <v>520</v>
      </c>
      <c r="B60" s="76" t="s">
        <v>521</v>
      </c>
      <c r="C60" s="76" t="s">
        <v>522</v>
      </c>
      <c r="D60" s="77" t="s">
        <v>523</v>
      </c>
      <c r="E60" s="77" t="s">
        <v>524</v>
      </c>
      <c r="F60" s="77" t="s">
        <v>525</v>
      </c>
      <c r="G60" s="77" t="s">
        <v>526</v>
      </c>
      <c r="H60" s="77" t="s">
        <v>527</v>
      </c>
      <c r="I60" s="77" t="s">
        <v>528</v>
      </c>
      <c r="J60" s="77" t="s">
        <v>529</v>
      </c>
      <c r="K60" s="77" t="s">
        <v>530</v>
      </c>
      <c r="L60" s="85" t="s">
        <v>538</v>
      </c>
    </row>
    <row r="61" spans="1:12">
      <c r="A61" s="342">
        <v>1</v>
      </c>
      <c r="B61" s="70" t="s">
        <v>532</v>
      </c>
      <c r="C61" s="70" t="s">
        <v>98</v>
      </c>
      <c r="D61" s="78">
        <f>('Mould Costing'!$D$12+10)*('Mould Costing'!$E$12+10)*('Mould Costing'!$F$12+10)/1000</f>
        <v>3681.1483414328472</v>
      </c>
      <c r="E61" s="78">
        <f>('Mould Costing'!$D$12)*('Mould Costing'!$E$12)*('Mould Costing'!$F$12)/1000</f>
        <v>2557.6804282081007</v>
      </c>
      <c r="F61" s="78">
        <f t="shared" ref="F61:F76" si="2">D61-E61</f>
        <v>1123.4679132247466</v>
      </c>
      <c r="G61" s="78">
        <f>VLOOKUP(C61,Table15[],2,FALSE)</f>
        <v>3</v>
      </c>
      <c r="H61" s="81">
        <f t="shared" ref="H61:H76" si="3">F61/G61</f>
        <v>374.48930440824887</v>
      </c>
      <c r="I61" s="265"/>
      <c r="J61" s="265">
        <v>30</v>
      </c>
      <c r="K61" s="265">
        <v>45</v>
      </c>
      <c r="L61" s="42">
        <f t="shared" ref="L61:L76" si="4">ROUNDUP((K61+H61+I61+J61)/60,0)</f>
        <v>8</v>
      </c>
    </row>
    <row r="62" spans="1:12">
      <c r="A62" s="342">
        <v>2</v>
      </c>
      <c r="B62" s="265" t="s">
        <v>533</v>
      </c>
      <c r="C62" s="70" t="s">
        <v>101</v>
      </c>
      <c r="D62" s="78">
        <f>('Mould Costing'!$D$12+1)*('Mould Costing'!$E$12+1)*('Mould Costing'!$F$12+1)/1000</f>
        <v>2663.3078426792645</v>
      </c>
      <c r="E62" s="78">
        <f>('Mould Costing'!$D$12)*('Mould Costing'!$E$12)*('Mould Costing'!$F$12)/1000</f>
        <v>2557.6804282081007</v>
      </c>
      <c r="F62" s="78">
        <f t="shared" si="2"/>
        <v>105.62741447116377</v>
      </c>
      <c r="G62" s="78">
        <f>VLOOKUP(C62,Table15[],2,FALSE)</f>
        <v>0.17499999999999999</v>
      </c>
      <c r="H62" s="78">
        <f t="shared" si="3"/>
        <v>603.5852255495073</v>
      </c>
      <c r="I62" s="265"/>
      <c r="J62" s="265">
        <v>30</v>
      </c>
      <c r="K62" s="265">
        <v>45</v>
      </c>
      <c r="L62" s="42">
        <f t="shared" si="4"/>
        <v>12</v>
      </c>
    </row>
    <row r="63" spans="1:12">
      <c r="A63" s="342">
        <v>3</v>
      </c>
      <c r="B63" s="265" t="s">
        <v>541</v>
      </c>
      <c r="C63" s="70" t="s">
        <v>103</v>
      </c>
      <c r="D63" s="78">
        <f>3.14*1.5*1.5*('Mould Costing'!F12/10)*4</f>
        <v>86.843663640927375</v>
      </c>
      <c r="E63" s="265">
        <v>0</v>
      </c>
      <c r="F63" s="78">
        <f t="shared" si="2"/>
        <v>86.843663640927375</v>
      </c>
      <c r="G63" s="78">
        <f>VLOOKUP(C63,Table15[],2,FALSE)</f>
        <v>1</v>
      </c>
      <c r="H63" s="78">
        <f t="shared" si="3"/>
        <v>86.843663640927375</v>
      </c>
      <c r="I63" s="265"/>
      <c r="J63" s="265">
        <v>30</v>
      </c>
      <c r="K63" s="265">
        <v>45</v>
      </c>
      <c r="L63" s="42">
        <f t="shared" si="4"/>
        <v>3</v>
      </c>
    </row>
    <row r="64" spans="1:12">
      <c r="A64" s="342">
        <v>4</v>
      </c>
      <c r="B64" s="265" t="s">
        <v>542</v>
      </c>
      <c r="C64" s="70" t="s">
        <v>99</v>
      </c>
      <c r="D64" s="78">
        <f>3.14/4*2*2*1*4</f>
        <v>12.56</v>
      </c>
      <c r="E64" s="265">
        <v>0</v>
      </c>
      <c r="F64" s="78">
        <f t="shared" si="2"/>
        <v>12.56</v>
      </c>
      <c r="G64" s="78">
        <f>VLOOKUP(C64,Table15[],2,FALSE)</f>
        <v>5</v>
      </c>
      <c r="H64" s="78">
        <f t="shared" si="3"/>
        <v>2.512</v>
      </c>
      <c r="I64" s="265"/>
      <c r="J64" s="265">
        <v>30</v>
      </c>
      <c r="K64" s="265">
        <v>45</v>
      </c>
      <c r="L64" s="42">
        <f t="shared" si="4"/>
        <v>2</v>
      </c>
    </row>
    <row r="65" spans="1:12">
      <c r="A65" s="342">
        <v>5</v>
      </c>
      <c r="B65" s="265" t="s">
        <v>536</v>
      </c>
      <c r="C65" s="70" t="s">
        <v>104</v>
      </c>
      <c r="D65" s="78">
        <f>0.785*0.6*0.6*'Mould Costing'!F12</f>
        <v>8.6843663640927371</v>
      </c>
      <c r="E65" s="265">
        <v>0</v>
      </c>
      <c r="F65" s="78">
        <f t="shared" si="2"/>
        <v>8.6843663640927371</v>
      </c>
      <c r="G65" s="78">
        <f>VLOOKUP(C65,Table15[],2,FALSE)</f>
        <v>0.5</v>
      </c>
      <c r="H65" s="78">
        <f t="shared" si="3"/>
        <v>17.368732728185474</v>
      </c>
      <c r="I65" s="265"/>
      <c r="J65" s="265">
        <v>30</v>
      </c>
      <c r="K65" s="265">
        <v>45</v>
      </c>
      <c r="L65" s="42">
        <f t="shared" si="4"/>
        <v>2</v>
      </c>
    </row>
    <row r="66" spans="1:12">
      <c r="A66" s="352">
        <v>6</v>
      </c>
      <c r="B66" s="265" t="s">
        <v>543</v>
      </c>
      <c r="C66" s="70" t="s">
        <v>112</v>
      </c>
      <c r="D66" s="78">
        <f>50%*D63</f>
        <v>43.421831820463687</v>
      </c>
      <c r="E66" s="265">
        <v>0</v>
      </c>
      <c r="F66" s="78">
        <f t="shared" si="2"/>
        <v>43.421831820463687</v>
      </c>
      <c r="G66" s="78">
        <f>VLOOKUP(C66,Table15[],2,FALSE)</f>
        <v>1</v>
      </c>
      <c r="H66" s="78">
        <f t="shared" si="3"/>
        <v>43.421831820463687</v>
      </c>
      <c r="I66" s="265">
        <v>30</v>
      </c>
      <c r="J66" s="265"/>
      <c r="K66" s="265"/>
      <c r="L66" s="42">
        <f t="shared" si="4"/>
        <v>2</v>
      </c>
    </row>
    <row r="67" spans="1:12">
      <c r="A67" s="352"/>
      <c r="B67" s="265"/>
      <c r="C67" s="70"/>
      <c r="D67" s="265"/>
      <c r="E67" s="265"/>
      <c r="F67" s="78">
        <f t="shared" si="2"/>
        <v>0</v>
      </c>
      <c r="G67" s="78" t="e">
        <f>VLOOKUP(C67,Table15[],2,FALSE)</f>
        <v>#N/A</v>
      </c>
      <c r="H67" s="78" t="e">
        <f t="shared" si="3"/>
        <v>#N/A</v>
      </c>
      <c r="I67" s="265"/>
      <c r="J67" s="265"/>
      <c r="K67" s="265"/>
      <c r="L67" s="42" t="e">
        <f t="shared" si="4"/>
        <v>#N/A</v>
      </c>
    </row>
    <row r="68" spans="1:12">
      <c r="A68" s="352"/>
      <c r="B68" s="265"/>
      <c r="C68" s="70"/>
      <c r="D68" s="265"/>
      <c r="E68" s="265"/>
      <c r="F68" s="78">
        <f t="shared" si="2"/>
        <v>0</v>
      </c>
      <c r="G68" s="78" t="e">
        <f>VLOOKUP(C68,Table15[],2,FALSE)</f>
        <v>#N/A</v>
      </c>
      <c r="H68" s="78" t="e">
        <f t="shared" si="3"/>
        <v>#N/A</v>
      </c>
      <c r="I68" s="265"/>
      <c r="J68" s="265"/>
      <c r="K68" s="265"/>
      <c r="L68" s="42" t="e">
        <f t="shared" si="4"/>
        <v>#N/A</v>
      </c>
    </row>
    <row r="69" spans="1:12">
      <c r="A69" s="352"/>
      <c r="B69" s="265"/>
      <c r="C69" s="70"/>
      <c r="D69" s="265"/>
      <c r="E69" s="265"/>
      <c r="F69" s="78">
        <f t="shared" si="2"/>
        <v>0</v>
      </c>
      <c r="G69" s="78" t="e">
        <f>VLOOKUP(C69,Table15[],2,FALSE)</f>
        <v>#N/A</v>
      </c>
      <c r="H69" s="78" t="e">
        <f t="shared" si="3"/>
        <v>#N/A</v>
      </c>
      <c r="I69" s="265"/>
      <c r="J69" s="265"/>
      <c r="K69" s="265"/>
      <c r="L69" s="42" t="e">
        <f t="shared" si="4"/>
        <v>#N/A</v>
      </c>
    </row>
    <row r="70" spans="1:12">
      <c r="A70" s="352"/>
      <c r="B70" s="265"/>
      <c r="C70" s="70"/>
      <c r="D70" s="265"/>
      <c r="E70" s="265"/>
      <c r="F70" s="78">
        <f t="shared" si="2"/>
        <v>0</v>
      </c>
      <c r="G70" s="78" t="e">
        <f>VLOOKUP(C70,Table15[],2,FALSE)</f>
        <v>#N/A</v>
      </c>
      <c r="H70" s="78" t="e">
        <f t="shared" si="3"/>
        <v>#N/A</v>
      </c>
      <c r="I70" s="265"/>
      <c r="J70" s="265"/>
      <c r="K70" s="265"/>
      <c r="L70" s="42" t="e">
        <f t="shared" si="4"/>
        <v>#N/A</v>
      </c>
    </row>
    <row r="71" spans="1:12">
      <c r="A71" s="352"/>
      <c r="B71" s="265"/>
      <c r="C71" s="70"/>
      <c r="D71" s="265"/>
      <c r="E71" s="265"/>
      <c r="F71" s="78">
        <f t="shared" si="2"/>
        <v>0</v>
      </c>
      <c r="G71" s="78" t="e">
        <f>VLOOKUP(C71,Table15[],2,FALSE)</f>
        <v>#N/A</v>
      </c>
      <c r="H71" s="78" t="e">
        <f t="shared" si="3"/>
        <v>#N/A</v>
      </c>
      <c r="I71" s="265"/>
      <c r="J71" s="265"/>
      <c r="K71" s="265"/>
      <c r="L71" s="42" t="e">
        <f t="shared" si="4"/>
        <v>#N/A</v>
      </c>
    </row>
    <row r="72" spans="1:12">
      <c r="A72" s="352"/>
      <c r="B72" s="265"/>
      <c r="C72" s="70"/>
      <c r="D72" s="265"/>
      <c r="E72" s="265"/>
      <c r="F72" s="78">
        <f t="shared" si="2"/>
        <v>0</v>
      </c>
      <c r="G72" s="78" t="e">
        <f>VLOOKUP(C72,Table15[],2,FALSE)</f>
        <v>#N/A</v>
      </c>
      <c r="H72" s="78" t="e">
        <f t="shared" si="3"/>
        <v>#N/A</v>
      </c>
      <c r="I72" s="265"/>
      <c r="J72" s="265"/>
      <c r="K72" s="265"/>
      <c r="L72" s="42" t="e">
        <f t="shared" si="4"/>
        <v>#N/A</v>
      </c>
    </row>
    <row r="73" spans="1:12">
      <c r="A73" s="352"/>
      <c r="B73" s="265"/>
      <c r="C73" s="70"/>
      <c r="D73" s="265"/>
      <c r="E73" s="265"/>
      <c r="F73" s="78">
        <f t="shared" si="2"/>
        <v>0</v>
      </c>
      <c r="G73" s="78" t="e">
        <f>VLOOKUP(C73,Table15[],2,FALSE)</f>
        <v>#N/A</v>
      </c>
      <c r="H73" s="78" t="e">
        <f t="shared" si="3"/>
        <v>#N/A</v>
      </c>
      <c r="I73" s="265"/>
      <c r="J73" s="265"/>
      <c r="K73" s="265"/>
      <c r="L73" s="42" t="e">
        <f t="shared" si="4"/>
        <v>#N/A</v>
      </c>
    </row>
    <row r="74" spans="1:12">
      <c r="A74" s="352"/>
      <c r="B74" s="265"/>
      <c r="C74" s="70"/>
      <c r="D74" s="265"/>
      <c r="E74" s="265"/>
      <c r="F74" s="78">
        <f t="shared" si="2"/>
        <v>0</v>
      </c>
      <c r="G74" s="78" t="e">
        <f>VLOOKUP(C74,Table15[],2,FALSE)</f>
        <v>#N/A</v>
      </c>
      <c r="H74" s="78" t="e">
        <f t="shared" si="3"/>
        <v>#N/A</v>
      </c>
      <c r="I74" s="265"/>
      <c r="J74" s="265"/>
      <c r="K74" s="265"/>
      <c r="L74" s="42" t="e">
        <f t="shared" si="4"/>
        <v>#N/A</v>
      </c>
    </row>
    <row r="75" spans="1:12">
      <c r="A75" s="352"/>
      <c r="B75" s="265"/>
      <c r="C75" s="70"/>
      <c r="D75" s="265"/>
      <c r="E75" s="265"/>
      <c r="F75" s="78">
        <f t="shared" si="2"/>
        <v>0</v>
      </c>
      <c r="G75" s="78" t="e">
        <f>VLOOKUP(C75,Table15[],2,FALSE)</f>
        <v>#N/A</v>
      </c>
      <c r="H75" s="78" t="e">
        <f t="shared" si="3"/>
        <v>#N/A</v>
      </c>
      <c r="I75" s="265"/>
      <c r="J75" s="265"/>
      <c r="K75" s="265"/>
      <c r="L75" s="42" t="e">
        <f t="shared" si="4"/>
        <v>#N/A</v>
      </c>
    </row>
    <row r="76" spans="1:12">
      <c r="A76" s="361"/>
      <c r="B76" s="79"/>
      <c r="C76" s="79"/>
      <c r="D76" s="79"/>
      <c r="E76" s="79"/>
      <c r="F76" s="78">
        <f t="shared" si="2"/>
        <v>0</v>
      </c>
      <c r="G76" s="78" t="e">
        <f>VLOOKUP(C76,Table15[],2,FALSE)</f>
        <v>#N/A</v>
      </c>
      <c r="H76" s="78" t="e">
        <f t="shared" si="3"/>
        <v>#N/A</v>
      </c>
      <c r="I76" s="79"/>
      <c r="J76" s="79"/>
      <c r="K76" s="79"/>
      <c r="L76" s="42" t="e">
        <f t="shared" si="4"/>
        <v>#N/A</v>
      </c>
    </row>
    <row r="78" spans="1:12">
      <c r="A78" s="569" t="s">
        <v>162</v>
      </c>
      <c r="B78" s="457"/>
      <c r="C78" s="74">
        <f>SUM(L80:L95)</f>
        <v>24</v>
      </c>
      <c r="D78" s="74"/>
      <c r="E78" s="74"/>
    </row>
    <row r="79" spans="1:12" ht="16.5" customHeight="1">
      <c r="A79" s="75" t="s">
        <v>520</v>
      </c>
      <c r="B79" s="76" t="s">
        <v>521</v>
      </c>
      <c r="C79" s="76" t="s">
        <v>522</v>
      </c>
      <c r="D79" s="77" t="s">
        <v>523</v>
      </c>
      <c r="E79" s="77" t="s">
        <v>524</v>
      </c>
      <c r="F79" s="77" t="s">
        <v>544</v>
      </c>
      <c r="G79" s="77" t="s">
        <v>526</v>
      </c>
      <c r="H79" s="77" t="s">
        <v>527</v>
      </c>
      <c r="I79" s="77" t="s">
        <v>528</v>
      </c>
      <c r="J79" s="77" t="s">
        <v>529</v>
      </c>
      <c r="K79" s="77" t="s">
        <v>530</v>
      </c>
      <c r="L79" s="85" t="s">
        <v>538</v>
      </c>
    </row>
    <row r="80" spans="1:12">
      <c r="A80" s="342">
        <v>1</v>
      </c>
      <c r="B80" s="70" t="s">
        <v>532</v>
      </c>
      <c r="C80" s="70" t="s">
        <v>98</v>
      </c>
      <c r="D80" s="78">
        <f>('Mould Costing'!$D$13+10)*('Mould Costing'!$E$13+10)*('Mould Costing'!$F$13+10)/1000</f>
        <v>2596.6033442892194</v>
      </c>
      <c r="E80" s="78">
        <f>('Mould Costing'!$D$13)*('Mould Costing'!$E$13)*('Mould Costing'!$F$13)/1000</f>
        <v>1558.9194933859494</v>
      </c>
      <c r="F80" s="78">
        <f>D80-E80</f>
        <v>1037.68385090327</v>
      </c>
      <c r="G80" s="78">
        <f>VLOOKUP(C80,Table15[],2,FALSE)</f>
        <v>3</v>
      </c>
      <c r="H80" s="81">
        <f>F80/G80</f>
        <v>345.89461696775669</v>
      </c>
      <c r="I80" s="265"/>
      <c r="J80" s="265">
        <v>30</v>
      </c>
      <c r="K80" s="265">
        <v>45</v>
      </c>
      <c r="L80" s="42">
        <f>ROUNDUP((K80+H80+I80+J80)/60,0)</f>
        <v>8</v>
      </c>
    </row>
    <row r="81" spans="1:12">
      <c r="A81" s="342">
        <v>2</v>
      </c>
      <c r="B81" s="265" t="s">
        <v>533</v>
      </c>
      <c r="C81" s="70" t="s">
        <v>101</v>
      </c>
      <c r="D81" s="78">
        <f>('Mould Costing'!$D$13+1)*('Mould Costing'!$E$13+1)*('Mould Costing'!$F$13+1)/1000</f>
        <v>1656.0765016249654</v>
      </c>
      <c r="E81" s="78">
        <f>('Mould Costing'!$D$13)*('Mould Costing'!$E$13)*('Mould Costing'!$F$13)/1000</f>
        <v>1558.9194933859494</v>
      </c>
      <c r="F81" s="78">
        <f>D81-E81</f>
        <v>97.157008239016022</v>
      </c>
      <c r="G81" s="78">
        <f>VLOOKUP(C81,Table15[],2,FALSE)</f>
        <v>0.17499999999999999</v>
      </c>
      <c r="H81" s="78">
        <f>F81/G81</f>
        <v>555.18290422294876</v>
      </c>
      <c r="I81" s="265"/>
      <c r="J81" s="265">
        <v>30</v>
      </c>
      <c r="K81" s="265">
        <v>45</v>
      </c>
      <c r="L81" s="42">
        <f>ROUNDUP((K81+H81+I81+J81)/60,0)</f>
        <v>11</v>
      </c>
    </row>
    <row r="82" spans="1:12">
      <c r="A82" s="342">
        <v>3</v>
      </c>
      <c r="B82" s="265" t="s">
        <v>545</v>
      </c>
      <c r="C82" s="70" t="s">
        <v>103</v>
      </c>
      <c r="D82" s="78">
        <f>3.14*1.5*1.5*('Mould Costing'!F13/10)*4</f>
        <v>52.93166364092739</v>
      </c>
      <c r="E82" s="265">
        <v>0</v>
      </c>
      <c r="F82" s="78">
        <f>D82-E82</f>
        <v>52.93166364092739</v>
      </c>
      <c r="G82" s="78">
        <f>VLOOKUP(C82,Table15[],2,FALSE)</f>
        <v>1</v>
      </c>
      <c r="H82" s="78">
        <f>F82/G82</f>
        <v>52.93166364092739</v>
      </c>
      <c r="I82" s="265"/>
      <c r="J82" s="265">
        <v>30</v>
      </c>
      <c r="K82" s="265">
        <v>45</v>
      </c>
      <c r="L82" s="42">
        <f>ROUNDUP((K82+H82+I82+J82)/60,0)</f>
        <v>3</v>
      </c>
    </row>
    <row r="83" spans="1:12">
      <c r="A83" s="342">
        <v>4</v>
      </c>
      <c r="B83" s="265" t="s">
        <v>546</v>
      </c>
      <c r="C83" s="70" t="s">
        <v>99</v>
      </c>
      <c r="D83" s="78">
        <f>3.14*2*2*1*4</f>
        <v>50.24</v>
      </c>
      <c r="E83" s="265">
        <v>0</v>
      </c>
      <c r="F83" s="78">
        <f>D83-E83</f>
        <v>50.24</v>
      </c>
      <c r="G83" s="78">
        <f>VLOOKUP(C83,Table15[],2,FALSE)</f>
        <v>5</v>
      </c>
      <c r="H83" s="78">
        <f>F83/G83</f>
        <v>10.048</v>
      </c>
      <c r="I83" s="265"/>
      <c r="J83" s="265">
        <v>30</v>
      </c>
      <c r="K83" s="265">
        <v>45</v>
      </c>
      <c r="L83" s="42">
        <f>ROUNDUP((K83+H83+I83+J83)/60,0)</f>
        <v>2</v>
      </c>
    </row>
    <row r="84" spans="1:12">
      <c r="A84" s="352"/>
      <c r="B84" s="265"/>
      <c r="C84" s="70"/>
      <c r="D84" s="265"/>
      <c r="E84" s="265"/>
      <c r="F84" s="265"/>
      <c r="G84" s="265"/>
      <c r="H84" s="265"/>
      <c r="I84" s="265"/>
      <c r="J84" s="265"/>
      <c r="K84" s="265"/>
      <c r="L84" s="86"/>
    </row>
    <row r="85" spans="1:12">
      <c r="A85" s="352"/>
      <c r="B85" s="265"/>
      <c r="C85" s="70"/>
      <c r="D85" s="265"/>
      <c r="E85" s="265"/>
      <c r="F85" s="265"/>
      <c r="G85" s="265"/>
      <c r="H85" s="265"/>
      <c r="I85" s="265"/>
      <c r="J85" s="265"/>
      <c r="K85" s="265"/>
      <c r="L85" s="86"/>
    </row>
    <row r="86" spans="1:12">
      <c r="A86" s="352"/>
      <c r="B86" s="265"/>
      <c r="C86" s="70"/>
      <c r="D86" s="265"/>
      <c r="E86" s="265"/>
      <c r="F86" s="265"/>
      <c r="G86" s="265"/>
      <c r="H86" s="265"/>
      <c r="I86" s="265"/>
      <c r="J86" s="265"/>
      <c r="K86" s="265"/>
      <c r="L86" s="86"/>
    </row>
    <row r="87" spans="1:12">
      <c r="A87" s="352"/>
      <c r="B87" s="265"/>
      <c r="C87" s="70"/>
      <c r="D87" s="265"/>
      <c r="E87" s="265"/>
      <c r="F87" s="265"/>
      <c r="G87" s="265"/>
      <c r="H87" s="265"/>
      <c r="I87" s="265"/>
      <c r="J87" s="265"/>
      <c r="K87" s="265"/>
      <c r="L87" s="86"/>
    </row>
    <row r="88" spans="1:12">
      <c r="A88" s="352"/>
      <c r="B88" s="265"/>
      <c r="C88" s="70"/>
      <c r="D88" s="265"/>
      <c r="E88" s="265"/>
      <c r="F88" s="265"/>
      <c r="G88" s="265"/>
      <c r="H88" s="265"/>
      <c r="I88" s="265"/>
      <c r="J88" s="265"/>
      <c r="K88" s="265"/>
      <c r="L88" s="86"/>
    </row>
    <row r="89" spans="1:12">
      <c r="A89" s="352"/>
      <c r="B89" s="265"/>
      <c r="C89" s="70"/>
      <c r="D89" s="265"/>
      <c r="E89" s="265"/>
      <c r="F89" s="265"/>
      <c r="G89" s="265"/>
      <c r="H89" s="265"/>
      <c r="I89" s="265"/>
      <c r="J89" s="265"/>
      <c r="K89" s="265"/>
      <c r="L89" s="86"/>
    </row>
    <row r="90" spans="1:12">
      <c r="A90" s="352"/>
      <c r="B90" s="265"/>
      <c r="C90" s="70"/>
      <c r="D90" s="265"/>
      <c r="E90" s="265"/>
      <c r="F90" s="265"/>
      <c r="G90" s="265"/>
      <c r="H90" s="265"/>
      <c r="I90" s="265"/>
      <c r="J90" s="265"/>
      <c r="K90" s="265"/>
      <c r="L90" s="86"/>
    </row>
    <row r="91" spans="1:12">
      <c r="A91" s="352"/>
      <c r="B91" s="265"/>
      <c r="C91" s="70"/>
      <c r="D91" s="265"/>
      <c r="E91" s="265"/>
      <c r="F91" s="265"/>
      <c r="G91" s="265"/>
      <c r="H91" s="265"/>
      <c r="I91" s="265"/>
      <c r="J91" s="265"/>
      <c r="K91" s="265"/>
      <c r="L91" s="86"/>
    </row>
    <row r="92" spans="1:12">
      <c r="A92" s="352"/>
      <c r="B92" s="265"/>
      <c r="C92" s="70"/>
      <c r="D92" s="265"/>
      <c r="E92" s="265"/>
      <c r="F92" s="265"/>
      <c r="G92" s="265"/>
      <c r="H92" s="265"/>
      <c r="I92" s="265"/>
      <c r="J92" s="265"/>
      <c r="K92" s="265"/>
      <c r="L92" s="86"/>
    </row>
    <row r="93" spans="1:12">
      <c r="A93" s="352"/>
      <c r="B93" s="265"/>
      <c r="C93" s="70"/>
      <c r="D93" s="265"/>
      <c r="E93" s="265"/>
      <c r="F93" s="265"/>
      <c r="G93" s="265"/>
      <c r="H93" s="265"/>
      <c r="I93" s="265"/>
      <c r="J93" s="265"/>
      <c r="K93" s="265"/>
      <c r="L93" s="86"/>
    </row>
    <row r="94" spans="1:12">
      <c r="A94" s="352"/>
      <c r="B94" s="265"/>
      <c r="C94" s="70"/>
      <c r="D94" s="265"/>
      <c r="E94" s="265"/>
      <c r="F94" s="265"/>
      <c r="G94" s="265"/>
      <c r="H94" s="265"/>
      <c r="I94" s="265"/>
      <c r="J94" s="265"/>
      <c r="K94" s="265"/>
      <c r="L94" s="86"/>
    </row>
    <row r="95" spans="1:12">
      <c r="A95" s="361"/>
      <c r="B95" s="79"/>
      <c r="C95" s="79"/>
      <c r="D95" s="79"/>
      <c r="E95" s="79"/>
      <c r="F95" s="79"/>
      <c r="G95" s="79"/>
      <c r="H95" s="79"/>
      <c r="I95" s="79"/>
      <c r="J95" s="79"/>
      <c r="K95" s="79"/>
      <c r="L95" s="87"/>
    </row>
    <row r="97" spans="1:13">
      <c r="A97" s="569" t="s">
        <v>163</v>
      </c>
      <c r="B97" s="457"/>
      <c r="C97" s="74">
        <f>SUM(L99:L115)</f>
        <v>169</v>
      </c>
      <c r="D97" s="74"/>
      <c r="E97" s="74"/>
    </row>
    <row r="98" spans="1:13" ht="16.5" customHeight="1">
      <c r="A98" s="75" t="s">
        <v>520</v>
      </c>
      <c r="B98" s="76" t="s">
        <v>521</v>
      </c>
      <c r="C98" s="76" t="s">
        <v>522</v>
      </c>
      <c r="D98" s="77" t="s">
        <v>523</v>
      </c>
      <c r="E98" s="77" t="s">
        <v>524</v>
      </c>
      <c r="F98" s="77" t="s">
        <v>525</v>
      </c>
      <c r="G98" s="77" t="s">
        <v>526</v>
      </c>
      <c r="H98" s="77" t="s">
        <v>527</v>
      </c>
      <c r="I98" s="77" t="s">
        <v>528</v>
      </c>
      <c r="J98" s="77" t="s">
        <v>529</v>
      </c>
      <c r="K98" s="77" t="s">
        <v>530</v>
      </c>
      <c r="L98" s="85" t="s">
        <v>538</v>
      </c>
    </row>
    <row r="99" spans="1:13">
      <c r="A99" s="342">
        <v>1</v>
      </c>
      <c r="B99" s="70" t="s">
        <v>532</v>
      </c>
      <c r="C99" s="70" t="s">
        <v>98</v>
      </c>
      <c r="D99" s="78">
        <f>('Mould Costing'!$D$14+10)*('Mould Costing'!$E$14+10)*('Mould Costing'!$F$14+10)/1000</f>
        <v>46595.727853786811</v>
      </c>
      <c r="E99" s="78">
        <f>('Mould Costing'!$D$14)*('Mould Costing'!$E$14)*('Mould Costing'!$F$14)/1000</f>
        <v>41670.219353546578</v>
      </c>
      <c r="F99" s="78">
        <f>D99-E99</f>
        <v>4925.5085002402338</v>
      </c>
      <c r="G99" s="78">
        <f>VLOOKUP(C99,Table15[],2,FALSE)</f>
        <v>3</v>
      </c>
      <c r="H99" s="81">
        <f t="shared" ref="H99:H106" si="5">F99/G99</f>
        <v>1641.8361667467445</v>
      </c>
      <c r="I99" s="265"/>
      <c r="J99" s="265">
        <v>30</v>
      </c>
      <c r="K99" s="265">
        <v>60</v>
      </c>
      <c r="L99" s="42">
        <f t="shared" ref="L99:L106" si="6">ROUNDUP((K99+H99+I99+J99)/60,0)</f>
        <v>29</v>
      </c>
    </row>
    <row r="100" spans="1:13">
      <c r="A100" s="342">
        <v>2</v>
      </c>
      <c r="B100" s="265" t="s">
        <v>533</v>
      </c>
      <c r="C100" s="70" t="s">
        <v>101</v>
      </c>
      <c r="D100" s="78">
        <f>('Mould Costing'!$D$14+1)*('Mould Costing'!$E$14+1)*('Mould Costing'!$F$14+1)/1000</f>
        <v>42151.11616704637</v>
      </c>
      <c r="E100" s="78">
        <f>('Mould Costing'!$D$14)*('Mould Costing'!$E$14)*('Mould Costing'!$F$14)/1000</f>
        <v>41670.219353546578</v>
      </c>
      <c r="F100" s="78">
        <f>D100-E100</f>
        <v>480.89681349979219</v>
      </c>
      <c r="G100" s="78">
        <f>VLOOKUP(C100,Table15[],2,FALSE)</f>
        <v>0.17499999999999999</v>
      </c>
      <c r="H100" s="81">
        <f t="shared" si="5"/>
        <v>2747.981791427384</v>
      </c>
      <c r="I100" s="265"/>
      <c r="J100" s="265">
        <v>30</v>
      </c>
      <c r="K100" s="265">
        <v>60</v>
      </c>
      <c r="L100" s="42">
        <f t="shared" si="6"/>
        <v>48</v>
      </c>
    </row>
    <row r="101" spans="1:13">
      <c r="A101" s="342">
        <v>3</v>
      </c>
      <c r="B101" s="265" t="s">
        <v>547</v>
      </c>
      <c r="C101" s="70" t="s">
        <v>98</v>
      </c>
      <c r="D101" s="78">
        <f>$E$100</f>
        <v>41670.219353546578</v>
      </c>
      <c r="E101" s="78">
        <f>('Mould Costing'!$D$14+10)*('Mould Costing'!$E$14+10)*('Mould Costing'!$F$14-'Input-Output'!B4+10)/1000</f>
        <v>29229.812997082976</v>
      </c>
      <c r="F101" s="78">
        <f>(D101-E101)*0.5</f>
        <v>6220.2031782318008</v>
      </c>
      <c r="G101" s="78">
        <f>VLOOKUP(C101,Table15[],2,FALSE)</f>
        <v>3</v>
      </c>
      <c r="H101" s="81">
        <f t="shared" si="5"/>
        <v>2073.4010594106003</v>
      </c>
      <c r="I101" s="265"/>
      <c r="J101" s="265">
        <v>30</v>
      </c>
      <c r="K101" s="265">
        <v>45</v>
      </c>
      <c r="L101" s="42">
        <f t="shared" si="6"/>
        <v>36</v>
      </c>
    </row>
    <row r="102" spans="1:13">
      <c r="A102" s="342">
        <v>4</v>
      </c>
      <c r="B102" s="265" t="s">
        <v>548</v>
      </c>
      <c r="C102" s="70" t="s">
        <v>103</v>
      </c>
      <c r="D102" s="78">
        <f>0.785*('Guide Pillar'!I10/10)*('Guide Pillar'!I10/10)*(('Mould Costing'!$F$14-'Input-Output'!B4)/10)*4</f>
        <v>523.91769956878443</v>
      </c>
      <c r="E102" s="78">
        <v>0</v>
      </c>
      <c r="F102" s="78">
        <f>(D102-E102)*0.5</f>
        <v>261.95884978439221</v>
      </c>
      <c r="G102" s="78">
        <f>VLOOKUP(C102,Table15[],2,FALSE)</f>
        <v>1</v>
      </c>
      <c r="H102" s="78">
        <f t="shared" si="5"/>
        <v>261.95884978439221</v>
      </c>
      <c r="I102" s="265"/>
      <c r="J102" s="265">
        <v>30</v>
      </c>
      <c r="K102" s="265">
        <v>45</v>
      </c>
      <c r="L102" s="42">
        <f t="shared" si="6"/>
        <v>6</v>
      </c>
    </row>
    <row r="103" spans="1:13">
      <c r="A103" s="342">
        <v>5</v>
      </c>
      <c r="B103" s="265" t="s">
        <v>549</v>
      </c>
      <c r="C103" s="70" t="s">
        <v>99</v>
      </c>
      <c r="D103" s="78">
        <f>0.785*(('Guide Pillar'!F10/10)^2)*1*4</f>
        <v>103.57659281572838</v>
      </c>
      <c r="E103" s="78">
        <v>0</v>
      </c>
      <c r="F103" s="78">
        <f>(D103-E103)*0.5</f>
        <v>51.788296407864188</v>
      </c>
      <c r="G103" s="78">
        <f>VLOOKUP(C103,Table15[],2,FALSE)</f>
        <v>5</v>
      </c>
      <c r="H103" s="78">
        <f t="shared" si="5"/>
        <v>10.357659281572838</v>
      </c>
      <c r="I103" s="265"/>
      <c r="J103" s="265">
        <v>30</v>
      </c>
      <c r="K103" s="265">
        <v>45</v>
      </c>
      <c r="L103" s="42">
        <f t="shared" si="6"/>
        <v>2</v>
      </c>
    </row>
    <row r="104" spans="1:13">
      <c r="A104" s="342">
        <v>6</v>
      </c>
      <c r="B104" s="265" t="s">
        <v>550</v>
      </c>
      <c r="C104" s="70" t="s">
        <v>111</v>
      </c>
      <c r="D104" s="78">
        <f>E101</f>
        <v>29229.812997082976</v>
      </c>
      <c r="E104" s="78">
        <f>('Mould Costing'!$D$14)*('Mould Costing'!$E$14)*('Mould Costing'!$F$14-'Input-Output'!B4)/1000</f>
        <v>24889.171682855045</v>
      </c>
      <c r="F104" s="78">
        <f>(D104-E104)*0.5</f>
        <v>2170.3206571139654</v>
      </c>
      <c r="G104" s="78">
        <f>VLOOKUP(C104,Table15[],2,FALSE)</f>
        <v>1</v>
      </c>
      <c r="H104" s="78">
        <f t="shared" si="5"/>
        <v>2170.3206571139654</v>
      </c>
      <c r="I104" s="265">
        <v>60</v>
      </c>
      <c r="J104" s="265">
        <v>30</v>
      </c>
      <c r="K104" s="265">
        <v>45</v>
      </c>
      <c r="L104" s="42">
        <f t="shared" si="6"/>
        <v>39</v>
      </c>
    </row>
    <row r="105" spans="1:13">
      <c r="A105" s="342">
        <v>7</v>
      </c>
      <c r="B105" s="265" t="s">
        <v>551</v>
      </c>
      <c r="C105" s="70" t="s">
        <v>112</v>
      </c>
      <c r="D105" s="265">
        <f>'Input-Output'!B7*'Input-Output'!B14/2000</f>
        <v>16</v>
      </c>
      <c r="E105" s="265">
        <v>0</v>
      </c>
      <c r="F105" s="78">
        <f>(D105-E105)</f>
        <v>16</v>
      </c>
      <c r="G105" s="78">
        <f>VLOOKUP(C105,Table15[],2,FALSE)</f>
        <v>1</v>
      </c>
      <c r="H105" s="78">
        <f t="shared" si="5"/>
        <v>16</v>
      </c>
      <c r="I105" s="265">
        <v>60</v>
      </c>
      <c r="J105" s="265">
        <v>30</v>
      </c>
      <c r="K105" s="265">
        <v>45</v>
      </c>
      <c r="L105" s="42">
        <f t="shared" si="6"/>
        <v>3</v>
      </c>
      <c r="M105" t="s">
        <v>552</v>
      </c>
    </row>
    <row r="106" spans="1:13">
      <c r="A106" s="342">
        <v>8</v>
      </c>
      <c r="B106" s="265" t="s">
        <v>553</v>
      </c>
      <c r="C106" s="70" t="s">
        <v>106</v>
      </c>
      <c r="D106" s="88">
        <f>0.785*1*1*('Mould Costing'!$E$14/10)*4</f>
        <v>174.22829640786421</v>
      </c>
      <c r="E106" s="265">
        <v>0</v>
      </c>
      <c r="F106" s="78">
        <f>(D106-E106)*0.5</f>
        <v>87.114148203932103</v>
      </c>
      <c r="G106" s="78">
        <f>VLOOKUP(C106,Table15[],2,FALSE)</f>
        <v>2</v>
      </c>
      <c r="H106" s="78">
        <f t="shared" si="5"/>
        <v>43.557074101966052</v>
      </c>
      <c r="I106" s="265"/>
      <c r="J106" s="265">
        <v>30</v>
      </c>
      <c r="K106" s="265">
        <v>45</v>
      </c>
      <c r="L106" s="42">
        <f t="shared" si="6"/>
        <v>2</v>
      </c>
      <c r="M106" t="s">
        <v>552</v>
      </c>
    </row>
    <row r="107" spans="1:13">
      <c r="A107" s="342">
        <v>9</v>
      </c>
      <c r="B107" s="265" t="s">
        <v>554</v>
      </c>
      <c r="C107" s="70" t="s">
        <v>101</v>
      </c>
      <c r="D107" s="265"/>
      <c r="E107" s="265"/>
      <c r="F107" s="265"/>
      <c r="G107" s="78">
        <f>VLOOKUP(C107,Table15[],2,FALSE)</f>
        <v>0.17499999999999999</v>
      </c>
      <c r="H107" s="265"/>
      <c r="I107" s="265"/>
      <c r="J107" s="265"/>
      <c r="K107" s="265"/>
      <c r="L107" s="86">
        <v>1</v>
      </c>
    </row>
    <row r="108" spans="1:13">
      <c r="A108" s="342">
        <v>10</v>
      </c>
      <c r="B108" s="265" t="s">
        <v>545</v>
      </c>
      <c r="C108" s="70" t="s">
        <v>104</v>
      </c>
      <c r="D108" s="88">
        <f>0.785*1.6*1.6*('Mould Costing'!$F$14/10)*4</f>
        <v>99.803629017920954</v>
      </c>
      <c r="E108" s="265">
        <v>0</v>
      </c>
      <c r="F108" s="78">
        <f>(D108-E108)*0.5</f>
        <v>49.901814508960477</v>
      </c>
      <c r="G108" s="78">
        <f>VLOOKUP(C108,Table15[],2,FALSE)</f>
        <v>0.5</v>
      </c>
      <c r="H108" s="78">
        <f>F108/G108</f>
        <v>99.803629017920954</v>
      </c>
      <c r="I108" s="265"/>
      <c r="J108" s="265">
        <v>30</v>
      </c>
      <c r="K108" s="265">
        <v>45</v>
      </c>
      <c r="L108" s="42">
        <f>ROUNDUP((K108+H108+I108+J108)/60,0)</f>
        <v>3</v>
      </c>
      <c r="M108" t="s">
        <v>552</v>
      </c>
    </row>
    <row r="109" spans="1:13">
      <c r="A109" s="342">
        <v>11</v>
      </c>
      <c r="B109" s="265" t="s">
        <v>555</v>
      </c>
      <c r="C109" s="70"/>
      <c r="D109" s="265"/>
      <c r="E109" s="265"/>
      <c r="F109" s="265"/>
      <c r="G109" s="78"/>
      <c r="H109" s="265"/>
      <c r="I109" s="265"/>
      <c r="J109" s="265"/>
      <c r="K109" s="265"/>
      <c r="L109" s="86"/>
    </row>
    <row r="110" spans="1:13">
      <c r="A110" s="342">
        <v>12</v>
      </c>
      <c r="B110" s="265"/>
      <c r="C110" s="70"/>
      <c r="D110" s="265"/>
      <c r="E110" s="265"/>
      <c r="F110" s="265"/>
      <c r="G110" s="265"/>
      <c r="H110" s="265"/>
      <c r="I110" s="265"/>
      <c r="J110" s="265"/>
      <c r="K110" s="265"/>
      <c r="L110" s="86"/>
    </row>
    <row r="111" spans="1:13">
      <c r="A111" s="352"/>
      <c r="B111" s="265"/>
      <c r="C111" s="70"/>
      <c r="D111" s="265"/>
      <c r="E111" s="265"/>
      <c r="F111" s="265"/>
      <c r="G111" s="265"/>
      <c r="H111" s="265"/>
      <c r="I111" s="265"/>
      <c r="J111" s="265"/>
      <c r="K111" s="265"/>
      <c r="L111" s="86"/>
    </row>
    <row r="112" spans="1:13">
      <c r="A112" s="352"/>
      <c r="B112" s="265"/>
      <c r="C112" s="70"/>
      <c r="D112" s="265"/>
      <c r="E112" s="265"/>
      <c r="F112" s="265"/>
      <c r="G112" s="265"/>
      <c r="H112" s="265"/>
      <c r="I112" s="265"/>
      <c r="J112" s="265"/>
      <c r="K112" s="265"/>
      <c r="L112" s="86"/>
    </row>
    <row r="113" spans="1:13">
      <c r="A113" s="352"/>
      <c r="B113" s="265"/>
      <c r="C113" s="70"/>
      <c r="D113" s="265"/>
      <c r="E113" s="265"/>
      <c r="F113" s="265"/>
      <c r="G113" s="265"/>
      <c r="H113" s="265"/>
      <c r="I113" s="265"/>
      <c r="J113" s="265"/>
      <c r="K113" s="265"/>
      <c r="L113" s="86"/>
    </row>
    <row r="114" spans="1:13">
      <c r="A114" s="352"/>
      <c r="B114" s="265"/>
      <c r="C114" s="70"/>
      <c r="D114" s="265"/>
      <c r="E114" s="265"/>
      <c r="F114" s="265"/>
      <c r="G114" s="265"/>
      <c r="H114" s="265"/>
      <c r="I114" s="265"/>
      <c r="J114" s="265"/>
      <c r="K114" s="265"/>
      <c r="L114" s="86"/>
    </row>
    <row r="115" spans="1:13">
      <c r="A115" s="361"/>
      <c r="B115" s="79"/>
      <c r="C115" s="79"/>
      <c r="D115" s="79"/>
      <c r="E115" s="79"/>
      <c r="F115" s="79"/>
      <c r="G115" s="79"/>
      <c r="H115" s="79"/>
      <c r="I115" s="79"/>
      <c r="J115" s="79"/>
      <c r="K115" s="79"/>
      <c r="L115" s="87"/>
    </row>
    <row r="118" spans="1:13">
      <c r="A118" s="569" t="s">
        <v>165</v>
      </c>
      <c r="B118" s="457"/>
      <c r="C118" s="74">
        <f>SUM(L120:L135)</f>
        <v>169</v>
      </c>
      <c r="D118" s="74"/>
      <c r="E118" s="74"/>
    </row>
    <row r="119" spans="1:13" ht="16.5" customHeight="1">
      <c r="A119" s="75" t="s">
        <v>520</v>
      </c>
      <c r="B119" s="76" t="s">
        <v>521</v>
      </c>
      <c r="C119" s="76" t="s">
        <v>522</v>
      </c>
      <c r="D119" s="77" t="s">
        <v>523</v>
      </c>
      <c r="E119" s="77" t="s">
        <v>524</v>
      </c>
      <c r="F119" s="77" t="s">
        <v>525</v>
      </c>
      <c r="G119" s="77" t="s">
        <v>556</v>
      </c>
      <c r="H119" s="77" t="s">
        <v>527</v>
      </c>
      <c r="I119" s="77" t="s">
        <v>528</v>
      </c>
      <c r="J119" s="77" t="s">
        <v>529</v>
      </c>
      <c r="K119" s="77" t="s">
        <v>530</v>
      </c>
      <c r="L119" s="85" t="s">
        <v>538</v>
      </c>
    </row>
    <row r="120" spans="1:13">
      <c r="A120" s="342">
        <v>1</v>
      </c>
      <c r="B120" s="70" t="s">
        <v>532</v>
      </c>
      <c r="C120" s="70" t="s">
        <v>98</v>
      </c>
      <c r="D120" s="78">
        <f>('Mould Costing'!$D$15+10)*('Mould Costing'!$E$15+10)*('Mould Costing'!$F$15+10)/1000</f>
        <v>46595.727853786811</v>
      </c>
      <c r="E120" s="78">
        <f>('Mould Costing'!$D$15)*('Mould Costing'!$E$15)*('Mould Costing'!$F$15)/1000</f>
        <v>41670.219353546578</v>
      </c>
      <c r="F120" s="78">
        <f>D120-E120</f>
        <v>4925.5085002402338</v>
      </c>
      <c r="G120" s="78">
        <f>VLOOKUP(C120,Table15[],2,FALSE)</f>
        <v>3</v>
      </c>
      <c r="H120" s="81">
        <f t="shared" ref="H120:H127" si="7">F120/G120</f>
        <v>1641.8361667467445</v>
      </c>
      <c r="I120" s="265"/>
      <c r="J120" s="265">
        <v>30</v>
      </c>
      <c r="K120" s="265">
        <v>60</v>
      </c>
      <c r="L120" s="42">
        <f t="shared" ref="L120:L127" si="8">ROUNDUP((K120+H120+I120+J120)/60,0)</f>
        <v>29</v>
      </c>
    </row>
    <row r="121" spans="1:13">
      <c r="A121" s="342">
        <v>2</v>
      </c>
      <c r="B121" s="265" t="s">
        <v>533</v>
      </c>
      <c r="C121" s="70" t="s">
        <v>101</v>
      </c>
      <c r="D121" s="78">
        <f>('Mould Costing'!$D$15+1)*('Mould Costing'!$E$15+1)*('Mould Costing'!$F$15+1)/1000</f>
        <v>42151.11616704637</v>
      </c>
      <c r="E121" s="78">
        <f>('Mould Costing'!$D$15)*('Mould Costing'!$E$15)*('Mould Costing'!$F$15)/1000</f>
        <v>41670.219353546578</v>
      </c>
      <c r="F121" s="78">
        <f>D121-E121</f>
        <v>480.89681349979219</v>
      </c>
      <c r="G121" s="78">
        <f>VLOOKUP(C121,Table15[],2,FALSE)</f>
        <v>0.17499999999999999</v>
      </c>
      <c r="H121" s="81">
        <f t="shared" si="7"/>
        <v>2747.981791427384</v>
      </c>
      <c r="I121" s="265"/>
      <c r="J121" s="265">
        <v>30</v>
      </c>
      <c r="K121" s="265">
        <v>60</v>
      </c>
      <c r="L121" s="42">
        <f t="shared" si="8"/>
        <v>48</v>
      </c>
    </row>
    <row r="122" spans="1:13">
      <c r="A122" s="342">
        <v>3</v>
      </c>
      <c r="B122" s="265" t="s">
        <v>547</v>
      </c>
      <c r="C122" s="70" t="s">
        <v>98</v>
      </c>
      <c r="D122" s="78">
        <f>$E$100</f>
        <v>41670.219353546578</v>
      </c>
      <c r="E122" s="78">
        <f>('Mould Costing'!D15+10)*('Mould Costing'!E15+10)*('Mould Costing'!F15-'Input-Output'!B4+10)/1000</f>
        <v>29229.812997082976</v>
      </c>
      <c r="F122" s="78">
        <f>(D122-E122)*0.5</f>
        <v>6220.2031782318008</v>
      </c>
      <c r="G122" s="78">
        <f>VLOOKUP(C122,Table15[],2,FALSE)</f>
        <v>3</v>
      </c>
      <c r="H122" s="81">
        <f t="shared" si="7"/>
        <v>2073.4010594106003</v>
      </c>
      <c r="I122" s="265"/>
      <c r="J122" s="265">
        <v>30</v>
      </c>
      <c r="K122" s="265">
        <v>45</v>
      </c>
      <c r="L122" s="42">
        <f t="shared" si="8"/>
        <v>36</v>
      </c>
    </row>
    <row r="123" spans="1:13">
      <c r="A123" s="342">
        <v>4</v>
      </c>
      <c r="B123" s="265" t="s">
        <v>548</v>
      </c>
      <c r="C123" s="70" t="s">
        <v>103</v>
      </c>
      <c r="D123" s="78">
        <f>0.785*('Guide Pillar'!$I$10/10)*('Guide Pillar'!$I$10/10)*(('Mould Costing'!$F$15-'Input-Output'!$B$4)/10)*4</f>
        <v>523.91769956878443</v>
      </c>
      <c r="E123" s="78">
        <v>0</v>
      </c>
      <c r="F123" s="78">
        <f>(D123-E123)*0.5</f>
        <v>261.95884978439221</v>
      </c>
      <c r="G123" s="78">
        <f>VLOOKUP(C123,Table15[],2,FALSE)</f>
        <v>1</v>
      </c>
      <c r="H123" s="78">
        <f t="shared" si="7"/>
        <v>261.95884978439221</v>
      </c>
      <c r="I123" s="265"/>
      <c r="J123" s="265">
        <v>30</v>
      </c>
      <c r="K123" s="265">
        <v>45</v>
      </c>
      <c r="L123" s="42">
        <f t="shared" si="8"/>
        <v>6</v>
      </c>
    </row>
    <row r="124" spans="1:13">
      <c r="A124" s="342">
        <v>5</v>
      </c>
      <c r="B124" s="265" t="s">
        <v>549</v>
      </c>
      <c r="C124" s="70" t="s">
        <v>99</v>
      </c>
      <c r="D124" s="78">
        <f>0.785*(('Guide Pillar'!$F$10/10)^2)*1*4</f>
        <v>103.57659281572838</v>
      </c>
      <c r="E124" s="78">
        <v>0</v>
      </c>
      <c r="F124" s="78">
        <f>(D124-E124)*0.5</f>
        <v>51.788296407864188</v>
      </c>
      <c r="G124" s="78">
        <f>VLOOKUP(C124,Table15[],2,FALSE)</f>
        <v>5</v>
      </c>
      <c r="H124" s="78">
        <f t="shared" si="7"/>
        <v>10.357659281572838</v>
      </c>
      <c r="I124" s="265"/>
      <c r="J124" s="265">
        <v>30</v>
      </c>
      <c r="K124" s="265">
        <v>45</v>
      </c>
      <c r="L124" s="42">
        <f t="shared" si="8"/>
        <v>2</v>
      </c>
    </row>
    <row r="125" spans="1:13">
      <c r="A125" s="342">
        <v>6</v>
      </c>
      <c r="B125" s="265" t="s">
        <v>550</v>
      </c>
      <c r="C125" s="70" t="s">
        <v>111</v>
      </c>
      <c r="D125" s="78">
        <f>E122</f>
        <v>29229.812997082976</v>
      </c>
      <c r="E125" s="78">
        <f>'Mould Costing'!D15*'Mould Costing'!E15*('Mould Costing'!F15-'Input-Output'!B4)/1000</f>
        <v>24889.171682855045</v>
      </c>
      <c r="F125" s="78">
        <f>(D125-E125)*0.5</f>
        <v>2170.3206571139654</v>
      </c>
      <c r="G125" s="78">
        <f>VLOOKUP(C125,Table15[],2,FALSE)</f>
        <v>1</v>
      </c>
      <c r="H125" s="78">
        <f t="shared" si="7"/>
        <v>2170.3206571139654</v>
      </c>
      <c r="I125" s="265">
        <v>60</v>
      </c>
      <c r="J125" s="265">
        <v>30</v>
      </c>
      <c r="K125" s="265">
        <v>45</v>
      </c>
      <c r="L125" s="42">
        <f t="shared" si="8"/>
        <v>39</v>
      </c>
    </row>
    <row r="126" spans="1:13">
      <c r="A126" s="342">
        <v>7</v>
      </c>
      <c r="B126" s="265" t="s">
        <v>551</v>
      </c>
      <c r="C126" s="70" t="s">
        <v>112</v>
      </c>
      <c r="D126" s="265">
        <f>D105</f>
        <v>16</v>
      </c>
      <c r="E126" s="265">
        <f>E105</f>
        <v>0</v>
      </c>
      <c r="F126" s="78">
        <f>F105</f>
        <v>16</v>
      </c>
      <c r="G126" s="78">
        <f>VLOOKUP(C126,Table15[],2,FALSE)</f>
        <v>1</v>
      </c>
      <c r="H126" s="78">
        <f t="shared" si="7"/>
        <v>16</v>
      </c>
      <c r="I126" s="265">
        <v>60</v>
      </c>
      <c r="J126" s="265">
        <v>30</v>
      </c>
      <c r="K126" s="265">
        <v>45</v>
      </c>
      <c r="L126" s="42">
        <f t="shared" si="8"/>
        <v>3</v>
      </c>
      <c r="M126" t="s">
        <v>552</v>
      </c>
    </row>
    <row r="127" spans="1:13">
      <c r="A127" s="342">
        <v>8</v>
      </c>
      <c r="B127" s="265" t="s">
        <v>553</v>
      </c>
      <c r="C127" s="70" t="s">
        <v>106</v>
      </c>
      <c r="D127" s="88">
        <f>0.785*1*1*('Mould Costing'!$E$14/10)*4</f>
        <v>174.22829640786421</v>
      </c>
      <c r="E127" s="265">
        <v>0</v>
      </c>
      <c r="F127" s="78">
        <f>(D127-E127)*0.5</f>
        <v>87.114148203932103</v>
      </c>
      <c r="G127" s="78">
        <f>VLOOKUP(C127,Table15[],2,FALSE)</f>
        <v>2</v>
      </c>
      <c r="H127" s="78">
        <f t="shared" si="7"/>
        <v>43.557074101966052</v>
      </c>
      <c r="I127" s="265"/>
      <c r="J127" s="265">
        <v>30</v>
      </c>
      <c r="K127" s="265">
        <v>45</v>
      </c>
      <c r="L127" s="42">
        <f t="shared" si="8"/>
        <v>2</v>
      </c>
      <c r="M127" t="s">
        <v>552</v>
      </c>
    </row>
    <row r="128" spans="1:13">
      <c r="A128" s="342">
        <v>9</v>
      </c>
      <c r="B128" s="265" t="s">
        <v>554</v>
      </c>
      <c r="C128" s="70" t="s">
        <v>101</v>
      </c>
      <c r="D128" s="265"/>
      <c r="E128" s="265"/>
      <c r="F128" s="265"/>
      <c r="G128" s="78">
        <f>VLOOKUP(C128,Table15[],2,FALSE)</f>
        <v>0.17499999999999999</v>
      </c>
      <c r="H128" s="265"/>
      <c r="I128" s="265"/>
      <c r="J128" s="265"/>
      <c r="K128" s="265"/>
      <c r="L128" s="86">
        <v>1</v>
      </c>
    </row>
    <row r="129" spans="1:13">
      <c r="A129" s="342">
        <v>10</v>
      </c>
      <c r="B129" s="265" t="s">
        <v>545</v>
      </c>
      <c r="C129" s="70" t="s">
        <v>104</v>
      </c>
      <c r="D129" s="88">
        <f>0.785*1.6*1.6*('Mould Costing'!$F$14/10)*4</f>
        <v>99.803629017920954</v>
      </c>
      <c r="E129" s="265">
        <v>0</v>
      </c>
      <c r="F129" s="78">
        <f>(D129-E129)*0.5</f>
        <v>49.901814508960477</v>
      </c>
      <c r="G129" s="78">
        <f>VLOOKUP(C129,Table15[],2,FALSE)</f>
        <v>0.5</v>
      </c>
      <c r="H129" s="78">
        <f>F129/G129</f>
        <v>99.803629017920954</v>
      </c>
      <c r="I129" s="265"/>
      <c r="J129" s="265">
        <v>30</v>
      </c>
      <c r="K129" s="265">
        <v>45</v>
      </c>
      <c r="L129" s="42">
        <f>ROUNDUP((K129+H129+I129+J129)/60,0)</f>
        <v>3</v>
      </c>
      <c r="M129" t="s">
        <v>552</v>
      </c>
    </row>
    <row r="130" spans="1:13">
      <c r="A130" s="342">
        <v>11</v>
      </c>
      <c r="B130" s="265"/>
      <c r="C130" s="70"/>
      <c r="D130" s="265"/>
      <c r="E130" s="265"/>
      <c r="F130" s="265"/>
      <c r="G130" s="265"/>
      <c r="H130" s="265"/>
      <c r="I130" s="265"/>
      <c r="J130" s="265"/>
      <c r="K130" s="265"/>
      <c r="L130" s="86"/>
    </row>
    <row r="131" spans="1:13">
      <c r="A131" s="342">
        <v>120</v>
      </c>
      <c r="B131" s="265"/>
      <c r="C131" s="70"/>
      <c r="D131" s="265"/>
      <c r="E131" s="265"/>
      <c r="F131" s="265"/>
      <c r="G131" s="265"/>
      <c r="H131" s="265"/>
      <c r="I131" s="265"/>
      <c r="J131" s="265"/>
      <c r="K131" s="265"/>
      <c r="L131" s="86"/>
    </row>
    <row r="132" spans="1:13">
      <c r="A132" s="352"/>
      <c r="B132" s="265"/>
      <c r="C132" s="70"/>
      <c r="D132" s="265"/>
      <c r="E132" s="265"/>
      <c r="F132" s="265"/>
      <c r="G132" s="265"/>
      <c r="H132" s="265"/>
      <c r="I132" s="265"/>
      <c r="J132" s="265"/>
      <c r="K132" s="265"/>
      <c r="L132" s="86"/>
    </row>
    <row r="133" spans="1:13">
      <c r="A133" s="352"/>
      <c r="B133" s="265"/>
      <c r="C133" s="70"/>
      <c r="D133" s="265"/>
      <c r="E133" s="265"/>
      <c r="F133" s="265"/>
      <c r="G133" s="265"/>
      <c r="H133" s="265"/>
      <c r="I133" s="265"/>
      <c r="J133" s="265"/>
      <c r="K133" s="265"/>
      <c r="L133" s="86"/>
    </row>
    <row r="134" spans="1:13">
      <c r="A134" s="352"/>
      <c r="B134" s="265"/>
      <c r="C134" s="70"/>
      <c r="D134" s="265"/>
      <c r="E134" s="265"/>
      <c r="F134" s="265"/>
      <c r="G134" s="265"/>
      <c r="H134" s="265"/>
      <c r="I134" s="265"/>
      <c r="J134" s="265"/>
      <c r="K134" s="265"/>
      <c r="L134" s="86"/>
    </row>
    <row r="135" spans="1:13">
      <c r="A135" s="352"/>
      <c r="B135" s="265"/>
      <c r="C135" s="70"/>
      <c r="D135" s="265"/>
      <c r="E135" s="265"/>
      <c r="F135" s="265"/>
      <c r="G135" s="265"/>
      <c r="H135" s="265"/>
      <c r="I135" s="265"/>
      <c r="J135" s="265"/>
      <c r="K135" s="265"/>
      <c r="L135" s="86"/>
    </row>
    <row r="136" spans="1:13">
      <c r="A136" s="361"/>
      <c r="B136" s="79"/>
      <c r="C136" s="79"/>
      <c r="D136" s="79"/>
      <c r="E136" s="79"/>
      <c r="F136" s="79"/>
      <c r="G136" s="79"/>
      <c r="H136" s="79"/>
      <c r="I136" s="79"/>
      <c r="J136" s="79"/>
      <c r="K136" s="79"/>
      <c r="L136" s="87"/>
    </row>
    <row r="138" spans="1:13">
      <c r="A138" s="569" t="s">
        <v>170</v>
      </c>
      <c r="B138" s="457"/>
      <c r="C138" s="74">
        <f>SUM(L140:L155)</f>
        <v>42</v>
      </c>
      <c r="D138" s="74"/>
      <c r="E138" s="74"/>
    </row>
    <row r="139" spans="1:13" ht="16.5" customHeight="1">
      <c r="A139" s="75" t="s">
        <v>520</v>
      </c>
      <c r="B139" s="76" t="s">
        <v>521</v>
      </c>
      <c r="C139" s="76" t="s">
        <v>522</v>
      </c>
      <c r="D139" s="77" t="s">
        <v>523</v>
      </c>
      <c r="E139" s="77" t="s">
        <v>524</v>
      </c>
      <c r="F139" s="77" t="s">
        <v>525</v>
      </c>
      <c r="G139" s="77" t="s">
        <v>526</v>
      </c>
      <c r="H139" s="77" t="s">
        <v>527</v>
      </c>
      <c r="I139" s="77" t="s">
        <v>528</v>
      </c>
      <c r="J139" s="77" t="s">
        <v>529</v>
      </c>
      <c r="K139" s="77" t="s">
        <v>530</v>
      </c>
      <c r="L139" s="85" t="s">
        <v>538</v>
      </c>
    </row>
    <row r="140" spans="1:13">
      <c r="A140" s="342">
        <v>1</v>
      </c>
      <c r="B140" s="70" t="s">
        <v>557</v>
      </c>
      <c r="C140" s="70" t="s">
        <v>110</v>
      </c>
      <c r="D140" s="78">
        <f>0.785*('Guide Pillar'!$F$10+10)*('Guide Pillar'!$F$10+10)*('Guide Pillar'!L19+10)/1000*4</f>
        <v>1915.5817285742557</v>
      </c>
      <c r="E140" s="78">
        <f>0.785*'Guide Pillar'!$M$10*'Guide Pillar'!$M$10*'Guide Pillar'!$L$19/1000*4</f>
        <v>546.29773049220273</v>
      </c>
      <c r="F140" s="78">
        <f>D140-E140</f>
        <v>1369.2839980820531</v>
      </c>
      <c r="G140" s="78">
        <f>VLOOKUP(C140,Table15[],2,FALSE)</f>
        <v>1.2</v>
      </c>
      <c r="H140" s="81">
        <f>F140/G140</f>
        <v>1141.069998401711</v>
      </c>
      <c r="I140" s="265">
        <v>0.3</v>
      </c>
      <c r="J140" s="265">
        <v>30</v>
      </c>
      <c r="K140" s="265">
        <v>45</v>
      </c>
      <c r="L140" s="42">
        <f>ROUNDUP((K140+H140+I140+J140)/60,0)</f>
        <v>21</v>
      </c>
    </row>
    <row r="141" spans="1:13">
      <c r="A141" s="342">
        <v>2</v>
      </c>
      <c r="B141" s="265" t="s">
        <v>558</v>
      </c>
      <c r="C141" s="70" t="s">
        <v>110</v>
      </c>
      <c r="D141" s="78">
        <f>0.785*('Guide Pillar'!$F$10+10)*('Guide Pillar'!$F$10+10)*('Guide Pillar'!$H$19+10)/1000*4</f>
        <v>1915.5817285742557</v>
      </c>
      <c r="E141" s="78">
        <f>0.785*'Guide Pillar'!$I$10*'Guide Pillar'!$I$10*('Guide Pillar'!$H$19-10)/1000*4</f>
        <v>806.5108852002412</v>
      </c>
      <c r="F141" s="78">
        <f>D141-E141</f>
        <v>1109.0708433740147</v>
      </c>
      <c r="G141" s="78">
        <f>VLOOKUP(C141,Table15[],2,FALSE)</f>
        <v>1.2</v>
      </c>
      <c r="H141" s="81">
        <f>F141/G141</f>
        <v>924.22570281167896</v>
      </c>
      <c r="I141" s="265">
        <v>0.3</v>
      </c>
      <c r="J141" s="265">
        <v>30</v>
      </c>
      <c r="K141" s="265">
        <v>45</v>
      </c>
      <c r="L141" s="42">
        <f>ROUNDUP((K141+H141+I141+J141)/60,0)</f>
        <v>17</v>
      </c>
    </row>
    <row r="142" spans="1:13">
      <c r="A142" s="342">
        <v>3</v>
      </c>
      <c r="B142" s="265" t="s">
        <v>559</v>
      </c>
      <c r="C142" s="70" t="s">
        <v>110</v>
      </c>
      <c r="D142" s="78">
        <f>0.785*('Guide Pillar'!$F$10+10)*('Guide Pillar'!$F$10+10)*1*4/1000</f>
        <v>14.278488922359259</v>
      </c>
      <c r="E142" s="78">
        <f>0.785*('Guide Pillar'!$F$10)*('Guide Pillar'!$F$10)*1*4/1000</f>
        <v>10.357659281572838</v>
      </c>
      <c r="F142" s="78">
        <f>D142-E142</f>
        <v>3.9208296407864207</v>
      </c>
      <c r="G142" s="78">
        <f>VLOOKUP(C142,Table15[],2,FALSE)</f>
        <v>1.2</v>
      </c>
      <c r="H142" s="78">
        <f>F142/G142</f>
        <v>3.2673580339886841</v>
      </c>
      <c r="I142" s="265">
        <v>0.3</v>
      </c>
      <c r="J142" s="265">
        <v>30</v>
      </c>
      <c r="K142" s="265">
        <v>45</v>
      </c>
      <c r="L142" s="42">
        <f>ROUNDUP((K142+H142+I142+J142)/60,0)</f>
        <v>2</v>
      </c>
      <c r="M142" t="s">
        <v>560</v>
      </c>
    </row>
    <row r="143" spans="1:13">
      <c r="A143" s="342">
        <v>4</v>
      </c>
      <c r="B143" s="265" t="s">
        <v>561</v>
      </c>
      <c r="C143" s="70" t="s">
        <v>110</v>
      </c>
      <c r="D143" s="78">
        <f>3.14*2*2*1*4</f>
        <v>50.24</v>
      </c>
      <c r="E143" s="265">
        <v>0</v>
      </c>
      <c r="F143" s="78">
        <f>D143-E143</f>
        <v>50.24</v>
      </c>
      <c r="G143" s="78">
        <f>VLOOKUP(C143,Table15[],2,FALSE)</f>
        <v>1.2</v>
      </c>
      <c r="H143" s="78">
        <f>F143/G143</f>
        <v>41.866666666666667</v>
      </c>
      <c r="I143" s="265">
        <v>0.3</v>
      </c>
      <c r="J143" s="265">
        <v>30</v>
      </c>
      <c r="K143" s="265">
        <v>45</v>
      </c>
      <c r="L143" s="89">
        <f>ROUNDUP((K143+H143+I143+J143)/60,0)</f>
        <v>2</v>
      </c>
      <c r="M143" t="s">
        <v>560</v>
      </c>
    </row>
    <row r="144" spans="1:13">
      <c r="A144" s="342">
        <v>5</v>
      </c>
      <c r="B144" s="265" t="s">
        <v>562</v>
      </c>
      <c r="C144" s="70" t="s">
        <v>110</v>
      </c>
      <c r="D144" s="265"/>
      <c r="E144" s="265"/>
      <c r="F144" s="265"/>
      <c r="G144" s="78">
        <f>VLOOKUP(C144,Table15[],2,FALSE)</f>
        <v>1.2</v>
      </c>
      <c r="H144" s="265"/>
      <c r="I144" s="265"/>
      <c r="J144" s="265"/>
      <c r="K144" s="265"/>
      <c r="L144" s="90"/>
    </row>
    <row r="145" spans="1:13">
      <c r="A145" s="342">
        <v>6</v>
      </c>
      <c r="B145" s="265" t="s">
        <v>563</v>
      </c>
      <c r="C145" s="70" t="s">
        <v>102</v>
      </c>
      <c r="D145" s="265"/>
      <c r="E145" s="265"/>
      <c r="F145" s="265"/>
      <c r="G145" s="78">
        <f>VLOOKUP(C145,Table15[],2,FALSE)</f>
        <v>0.2</v>
      </c>
      <c r="H145" s="265"/>
      <c r="I145" s="265"/>
      <c r="J145" s="265"/>
      <c r="K145" s="265"/>
      <c r="L145" s="90"/>
    </row>
    <row r="146" spans="1:13">
      <c r="A146" s="342">
        <v>7</v>
      </c>
      <c r="B146" s="265" t="s">
        <v>564</v>
      </c>
      <c r="C146" s="70" t="s">
        <v>102</v>
      </c>
      <c r="D146" s="265"/>
      <c r="E146" s="265"/>
      <c r="F146" s="265"/>
      <c r="G146" s="78">
        <f>VLOOKUP(C146,Table15[],2,FALSE)</f>
        <v>0.2</v>
      </c>
      <c r="H146" s="265"/>
      <c r="I146" s="265"/>
      <c r="J146" s="265"/>
      <c r="K146" s="265"/>
      <c r="L146" s="90"/>
    </row>
    <row r="147" spans="1:13">
      <c r="A147" s="352"/>
      <c r="B147" s="265"/>
      <c r="C147" s="70"/>
      <c r="D147" s="265"/>
      <c r="E147" s="265"/>
      <c r="F147" s="265"/>
      <c r="G147" s="265"/>
      <c r="H147" s="265"/>
      <c r="I147" s="265"/>
      <c r="J147" s="265"/>
      <c r="K147" s="265"/>
      <c r="L147" s="86"/>
    </row>
    <row r="148" spans="1:13">
      <c r="A148" s="352"/>
      <c r="B148" s="265"/>
      <c r="C148" s="70"/>
      <c r="D148" s="265"/>
      <c r="E148" s="265"/>
      <c r="F148" s="265"/>
      <c r="G148" s="265"/>
      <c r="H148" s="265"/>
      <c r="I148" s="265"/>
      <c r="J148" s="265"/>
      <c r="K148" s="265"/>
      <c r="L148" s="86"/>
    </row>
    <row r="149" spans="1:13">
      <c r="A149" s="352"/>
      <c r="B149" s="265"/>
      <c r="C149" s="70"/>
      <c r="D149" s="265"/>
      <c r="E149" s="265"/>
      <c r="F149" s="265"/>
      <c r="G149" s="265"/>
      <c r="H149" s="265"/>
      <c r="I149" s="265"/>
      <c r="J149" s="265"/>
      <c r="K149" s="265"/>
      <c r="L149" s="86"/>
    </row>
    <row r="150" spans="1:13">
      <c r="A150" s="352"/>
      <c r="B150" s="265"/>
      <c r="C150" s="70"/>
      <c r="D150" s="265"/>
      <c r="E150" s="265"/>
      <c r="F150" s="265"/>
      <c r="G150" s="265"/>
      <c r="H150" s="265"/>
      <c r="I150" s="265"/>
      <c r="J150" s="265"/>
      <c r="K150" s="265"/>
      <c r="L150" s="86"/>
    </row>
    <row r="151" spans="1:13">
      <c r="A151" s="352"/>
      <c r="B151" s="265"/>
      <c r="C151" s="70"/>
      <c r="D151" s="265"/>
      <c r="E151" s="265"/>
      <c r="F151" s="265"/>
      <c r="G151" s="265"/>
      <c r="H151" s="265"/>
      <c r="I151" s="265"/>
      <c r="J151" s="265"/>
      <c r="K151" s="265"/>
      <c r="L151" s="86"/>
    </row>
    <row r="152" spans="1:13">
      <c r="A152" s="352"/>
      <c r="B152" s="265"/>
      <c r="C152" s="70"/>
      <c r="D152" s="265"/>
      <c r="E152" s="265"/>
      <c r="F152" s="265"/>
      <c r="G152" s="265"/>
      <c r="H152" s="265"/>
      <c r="I152" s="265"/>
      <c r="J152" s="265"/>
      <c r="K152" s="265"/>
      <c r="L152" s="86"/>
    </row>
    <row r="153" spans="1:13">
      <c r="A153" s="352"/>
      <c r="B153" s="265"/>
      <c r="C153" s="70"/>
      <c r="D153" s="265"/>
      <c r="E153" s="265"/>
      <c r="F153" s="265"/>
      <c r="G153" s="265"/>
      <c r="H153" s="265"/>
      <c r="I153" s="265"/>
      <c r="J153" s="265"/>
      <c r="K153" s="265"/>
      <c r="L153" s="86"/>
    </row>
    <row r="154" spans="1:13">
      <c r="A154" s="352"/>
      <c r="B154" s="265"/>
      <c r="C154" s="70"/>
      <c r="D154" s="265"/>
      <c r="E154" s="265"/>
      <c r="F154" s="265"/>
      <c r="G154" s="265"/>
      <c r="H154" s="265"/>
      <c r="I154" s="265"/>
      <c r="J154" s="265"/>
      <c r="K154" s="265"/>
      <c r="L154" s="86"/>
    </row>
    <row r="155" spans="1:13">
      <c r="A155" s="361"/>
      <c r="B155" s="79"/>
      <c r="C155" s="79"/>
      <c r="D155" s="79"/>
      <c r="E155" s="79"/>
      <c r="F155" s="79"/>
      <c r="G155" s="79"/>
      <c r="H155" s="79"/>
      <c r="I155" s="79"/>
      <c r="J155" s="79"/>
      <c r="K155" s="79"/>
      <c r="L155" s="87"/>
    </row>
    <row r="157" spans="1:13">
      <c r="A157" s="569" t="s">
        <v>172</v>
      </c>
      <c r="B157" s="457"/>
      <c r="C157" s="74">
        <f>SUM(L159:L174)</f>
        <v>20</v>
      </c>
      <c r="D157" s="74"/>
      <c r="E157" s="74"/>
    </row>
    <row r="158" spans="1:13" ht="16.5" customHeight="1">
      <c r="A158" s="75" t="s">
        <v>520</v>
      </c>
      <c r="B158" s="76" t="s">
        <v>521</v>
      </c>
      <c r="C158" s="76" t="s">
        <v>522</v>
      </c>
      <c r="D158" s="77" t="s">
        <v>523</v>
      </c>
      <c r="E158" s="77" t="s">
        <v>524</v>
      </c>
      <c r="F158" s="77" t="s">
        <v>525</v>
      </c>
      <c r="G158" s="77" t="s">
        <v>526</v>
      </c>
      <c r="H158" s="77" t="s">
        <v>527</v>
      </c>
      <c r="I158" s="77" t="s">
        <v>528</v>
      </c>
      <c r="J158" s="77" t="s">
        <v>529</v>
      </c>
      <c r="K158" s="77" t="s">
        <v>530</v>
      </c>
      <c r="L158" s="85" t="s">
        <v>538</v>
      </c>
    </row>
    <row r="159" spans="1:13">
      <c r="A159" s="342">
        <v>1</v>
      </c>
      <c r="B159" s="70" t="s">
        <v>557</v>
      </c>
      <c r="C159" s="70" t="s">
        <v>110</v>
      </c>
      <c r="D159" s="78">
        <f>0.785*('Guide Pillar'!$F$10+10)*('Guide Pillar'!$F$10+10)*('Guide Pillar'!$H$19+10)/1000*4</f>
        <v>1915.5817285742557</v>
      </c>
      <c r="E159" s="78">
        <f>0.785*('Guide Pillar'!$F$10)*('Guide Pillar'!$F$10)*('Guide Pillar'!$H$19)/1000*4</f>
        <v>1285.9922178942588</v>
      </c>
      <c r="F159" s="78">
        <f>D159-E159</f>
        <v>629.58951067999692</v>
      </c>
      <c r="G159" s="78">
        <f>VLOOKUP(C159,Table15[],2,FALSE)</f>
        <v>1.2</v>
      </c>
      <c r="H159" s="81">
        <f>F159/G159</f>
        <v>524.65792556666418</v>
      </c>
      <c r="I159" s="265"/>
      <c r="J159" s="265">
        <v>30</v>
      </c>
      <c r="K159" s="265">
        <v>45</v>
      </c>
      <c r="L159" s="42">
        <f>ROUNDUP((K159+H159+I159+J159)/60,0)</f>
        <v>10</v>
      </c>
      <c r="M159" t="s">
        <v>560</v>
      </c>
    </row>
    <row r="160" spans="1:13">
      <c r="A160" s="342">
        <v>2</v>
      </c>
      <c r="B160" s="265" t="s">
        <v>558</v>
      </c>
      <c r="C160" s="70" t="s">
        <v>110</v>
      </c>
      <c r="D160" s="78">
        <f>0.785*('Guide Pillar'!$F$10+1)*('Guide Pillar'!$F$10+1)*('Guide Pillar'!$H$19+1)/1000*4</f>
        <v>1341.8854409528894</v>
      </c>
      <c r="E160" s="78">
        <f>0.785*('Guide Pillar'!$F$10)*('Guide Pillar'!$F$10)*('Guide Pillar'!$H$19)/1000*4</f>
        <v>1285.9922178942588</v>
      </c>
      <c r="F160" s="78">
        <f>D160-E160</f>
        <v>55.89322305863061</v>
      </c>
      <c r="G160" s="78">
        <f>VLOOKUP(C160,Table15[],2,FALSE)</f>
        <v>1.2</v>
      </c>
      <c r="H160" s="81">
        <f>F160/G160</f>
        <v>46.577685882192178</v>
      </c>
      <c r="I160" s="265"/>
      <c r="J160" s="265">
        <v>30</v>
      </c>
      <c r="K160" s="265">
        <v>45</v>
      </c>
      <c r="L160" s="42">
        <f>ROUNDUP((K160+H160+I160+J160)/60,0)</f>
        <v>3</v>
      </c>
      <c r="M160" t="s">
        <v>560</v>
      </c>
    </row>
    <row r="161" spans="1:13">
      <c r="A161" s="342">
        <v>3</v>
      </c>
      <c r="B161" s="265" t="s">
        <v>559</v>
      </c>
      <c r="C161" s="70" t="s">
        <v>110</v>
      </c>
      <c r="D161" s="78">
        <f>0.785*('Guide Pillar'!$F$10+10)*('Guide Pillar'!$F$10+10)*(6+10)/1000*4</f>
        <v>228.45582275774814</v>
      </c>
      <c r="E161" s="265">
        <v>0</v>
      </c>
      <c r="F161" s="78">
        <f>D161-E161</f>
        <v>228.45582275774814</v>
      </c>
      <c r="G161" s="78">
        <f>VLOOKUP(C161,Table15[],2,FALSE)</f>
        <v>1.2</v>
      </c>
      <c r="H161" s="78">
        <f>F161/G161</f>
        <v>190.37985229812347</v>
      </c>
      <c r="I161" s="265"/>
      <c r="J161" s="265">
        <v>30</v>
      </c>
      <c r="K161" s="265">
        <v>45</v>
      </c>
      <c r="L161" s="42">
        <f>ROUNDUP((K161+H161+I161+J161)/60,0)</f>
        <v>5</v>
      </c>
      <c r="M161" t="s">
        <v>560</v>
      </c>
    </row>
    <row r="162" spans="1:13">
      <c r="A162" s="342">
        <v>4</v>
      </c>
      <c r="B162" s="265" t="s">
        <v>561</v>
      </c>
      <c r="C162" s="70" t="s">
        <v>110</v>
      </c>
      <c r="D162" s="78">
        <f>3.14*2*2*1*4</f>
        <v>50.24</v>
      </c>
      <c r="E162" s="265">
        <v>0</v>
      </c>
      <c r="F162" s="78">
        <f>D162-E162</f>
        <v>50.24</v>
      </c>
      <c r="G162" s="78">
        <f>VLOOKUP(C162,Table15[],2,FALSE)</f>
        <v>1.2</v>
      </c>
      <c r="H162" s="78">
        <f>F162/G162</f>
        <v>41.866666666666667</v>
      </c>
      <c r="I162" s="265"/>
      <c r="J162" s="265">
        <v>30</v>
      </c>
      <c r="K162" s="265">
        <v>45</v>
      </c>
      <c r="L162" s="42">
        <f>ROUNDUP((K162+H162+I162+J162)/60,0)</f>
        <v>2</v>
      </c>
      <c r="M162" t="s">
        <v>560</v>
      </c>
    </row>
    <row r="163" spans="1:13">
      <c r="A163" s="342">
        <v>5</v>
      </c>
      <c r="B163" s="265" t="s">
        <v>562</v>
      </c>
      <c r="C163" s="70" t="s">
        <v>110</v>
      </c>
      <c r="D163" s="265"/>
      <c r="E163" s="265"/>
      <c r="F163" s="265"/>
      <c r="G163" s="78">
        <f>VLOOKUP(C163,Table15[],2,FALSE)</f>
        <v>1.2</v>
      </c>
      <c r="H163" s="265"/>
      <c r="I163" s="265"/>
      <c r="J163" s="265"/>
      <c r="K163" s="265"/>
      <c r="L163" s="86"/>
    </row>
    <row r="164" spans="1:13">
      <c r="A164" s="342">
        <v>6</v>
      </c>
      <c r="B164" s="265" t="s">
        <v>563</v>
      </c>
      <c r="C164" s="70" t="s">
        <v>102</v>
      </c>
      <c r="D164" s="265"/>
      <c r="E164" s="265"/>
      <c r="F164" s="265"/>
      <c r="G164" s="78">
        <f>VLOOKUP(C164,Table15[],2,FALSE)</f>
        <v>0.2</v>
      </c>
      <c r="H164" s="265"/>
      <c r="I164" s="265"/>
      <c r="J164" s="265"/>
      <c r="K164" s="265"/>
      <c r="L164" s="86"/>
    </row>
    <row r="165" spans="1:13">
      <c r="A165" s="342">
        <v>7</v>
      </c>
      <c r="B165" s="265" t="s">
        <v>564</v>
      </c>
      <c r="C165" s="70" t="s">
        <v>102</v>
      </c>
      <c r="D165" s="265"/>
      <c r="E165" s="265"/>
      <c r="F165" s="265"/>
      <c r="G165" s="78">
        <f>VLOOKUP(C165,Table15[],2,FALSE)</f>
        <v>0.2</v>
      </c>
      <c r="H165" s="265"/>
      <c r="I165" s="265"/>
      <c r="J165" s="265"/>
      <c r="K165" s="265"/>
      <c r="L165" s="86"/>
    </row>
    <row r="166" spans="1:13">
      <c r="A166" s="352"/>
      <c r="B166" s="265"/>
      <c r="C166" s="70"/>
      <c r="D166" s="265"/>
      <c r="E166" s="265"/>
      <c r="F166" s="265"/>
      <c r="G166" s="265"/>
      <c r="H166" s="265"/>
      <c r="I166" s="265"/>
      <c r="J166" s="265"/>
      <c r="K166" s="265"/>
      <c r="L166" s="86"/>
    </row>
    <row r="167" spans="1:13">
      <c r="A167" s="352"/>
      <c r="B167" s="265"/>
      <c r="C167" s="70"/>
      <c r="D167" s="265"/>
      <c r="E167" s="265"/>
      <c r="F167" s="265"/>
      <c r="G167" s="265"/>
      <c r="H167" s="265"/>
      <c r="I167" s="265"/>
      <c r="J167" s="265"/>
      <c r="K167" s="265"/>
      <c r="L167" s="86"/>
    </row>
    <row r="168" spans="1:13">
      <c r="A168" s="352"/>
      <c r="B168" s="265"/>
      <c r="C168" s="70"/>
      <c r="D168" s="265"/>
      <c r="E168" s="265"/>
      <c r="F168" s="265"/>
      <c r="G168" s="265"/>
      <c r="H168" s="265"/>
      <c r="I168" s="265"/>
      <c r="J168" s="265"/>
      <c r="K168" s="265"/>
      <c r="L168" s="86"/>
    </row>
    <row r="169" spans="1:13">
      <c r="A169" s="352"/>
      <c r="B169" s="265"/>
      <c r="C169" s="70"/>
      <c r="D169" s="265"/>
      <c r="E169" s="265"/>
      <c r="F169" s="265"/>
      <c r="G169" s="265"/>
      <c r="H169" s="265"/>
      <c r="I169" s="265"/>
      <c r="J169" s="265"/>
      <c r="K169" s="265"/>
      <c r="L169" s="86"/>
    </row>
    <row r="170" spans="1:13">
      <c r="A170" s="352"/>
      <c r="B170" s="265"/>
      <c r="C170" s="70"/>
      <c r="D170" s="265"/>
      <c r="E170" s="265"/>
      <c r="F170" s="265"/>
      <c r="G170" s="265"/>
      <c r="H170" s="265"/>
      <c r="I170" s="265"/>
      <c r="J170" s="265"/>
      <c r="K170" s="265"/>
      <c r="L170" s="86"/>
    </row>
    <row r="171" spans="1:13">
      <c r="A171" s="352"/>
      <c r="B171" s="265"/>
      <c r="C171" s="70"/>
      <c r="D171" s="265"/>
      <c r="E171" s="265"/>
      <c r="F171" s="265"/>
      <c r="G171" s="265"/>
      <c r="H171" s="265"/>
      <c r="I171" s="265"/>
      <c r="J171" s="265"/>
      <c r="K171" s="265"/>
      <c r="L171" s="86"/>
    </row>
    <row r="172" spans="1:13">
      <c r="A172" s="352"/>
      <c r="B172" s="265"/>
      <c r="C172" s="70"/>
      <c r="D172" s="265"/>
      <c r="E172" s="265"/>
      <c r="F172" s="265"/>
      <c r="G172" s="265"/>
      <c r="H172" s="265"/>
      <c r="I172" s="265"/>
      <c r="J172" s="265"/>
      <c r="K172" s="265"/>
      <c r="L172" s="86"/>
    </row>
    <row r="173" spans="1:13">
      <c r="A173" s="352"/>
      <c r="B173" s="265"/>
      <c r="C173" s="70"/>
      <c r="D173" s="265"/>
      <c r="E173" s="265"/>
      <c r="F173" s="265"/>
      <c r="G173" s="265"/>
      <c r="H173" s="265"/>
      <c r="I173" s="265"/>
      <c r="J173" s="265"/>
      <c r="K173" s="265"/>
      <c r="L173" s="86"/>
    </row>
    <row r="174" spans="1:13">
      <c r="A174" s="361"/>
      <c r="B174" s="79"/>
      <c r="C174" s="79"/>
      <c r="D174" s="79"/>
      <c r="E174" s="79"/>
      <c r="F174" s="79"/>
      <c r="G174" s="79"/>
      <c r="H174" s="79"/>
      <c r="I174" s="79"/>
      <c r="J174" s="79"/>
      <c r="K174" s="79"/>
      <c r="L174" s="87"/>
    </row>
  </sheetData>
  <mergeCells count="9">
    <mergeCell ref="A78:B78"/>
    <mergeCell ref="A21:B21"/>
    <mergeCell ref="A157:B157"/>
    <mergeCell ref="A2:B2"/>
    <mergeCell ref="A59:B59"/>
    <mergeCell ref="A138:B138"/>
    <mergeCell ref="A118:B118"/>
    <mergeCell ref="A40:B40"/>
    <mergeCell ref="A97:B97"/>
  </mergeCells>
  <dataValidations count="10">
    <dataValidation type="list" showInputMessage="1" showErrorMessage="1" sqref="C46:C56 C67:C75 C84:C94 C109:C114 C130:C135 C147:C154 C166:C173">
      <formula1>$U$4:$U$42</formula1>
    </dataValidation>
    <dataValidation type="list" showInputMessage="1" showErrorMessage="1" sqref="C23:C37">
      <formula1>$I$3:$I$17</formula1>
    </dataValidation>
    <dataValidation type="list" showInputMessage="1" showErrorMessage="1" sqref="C42:C45">
      <formula1>$I$3:$I$17</formula1>
    </dataValidation>
    <dataValidation type="list" showInputMessage="1" showErrorMessage="1" sqref="C62:C64">
      <formula1>$I$3:$I$17</formula1>
    </dataValidation>
    <dataValidation type="list" showInputMessage="1" showErrorMessage="1" sqref="C65:C66">
      <formula1>$I$3:$I$17</formula1>
    </dataValidation>
    <dataValidation type="list" showInputMessage="1" showErrorMessage="1" sqref="C80:C83">
      <formula1>$I$3:$I$17</formula1>
    </dataValidation>
    <dataValidation type="list" showInputMessage="1" showErrorMessage="1" sqref="C99:C108">
      <formula1>$I$3:$I$17</formula1>
    </dataValidation>
    <dataValidation type="list" showInputMessage="1" showErrorMessage="1" sqref="C120:C129">
      <formula1>$I$3:$I$17</formula1>
    </dataValidation>
    <dataValidation type="list" showInputMessage="1" showErrorMessage="1" sqref="C140:C146">
      <formula1>$I$3:$I$17</formula1>
    </dataValidation>
    <dataValidation type="list" showInputMessage="1" showErrorMessage="1" sqref="C159:C165">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92D050"/>
  </sheetPr>
  <dimension ref="A1:L34"/>
  <sheetViews>
    <sheetView topLeftCell="A7" workbookViewId="0">
      <selection activeCell="F7" sqref="F7"/>
    </sheetView>
  </sheetViews>
  <sheetFormatPr defaultColWidth="9" defaultRowHeight="14.5"/>
  <cols>
    <col min="1" max="1" width="16.36328125" style="357" customWidth="1"/>
    <col min="2" max="2" width="14.453125" style="357" customWidth="1"/>
    <col min="3" max="3" width="10.90625" style="357" customWidth="1"/>
    <col min="5" max="5" width="12" style="357" customWidth="1"/>
    <col min="6" max="6" width="11.26953125" style="357" bestFit="1" customWidth="1"/>
    <col min="7" max="7" width="13.90625" style="357" customWidth="1"/>
    <col min="8" max="8" width="15.26953125" style="357" customWidth="1"/>
    <col min="9" max="9" width="10.6328125" style="357" customWidth="1"/>
    <col min="11" max="11" width="10.90625" style="357" customWidth="1"/>
  </cols>
  <sheetData>
    <row r="1" spans="1:12">
      <c r="A1" s="6" t="s">
        <v>565</v>
      </c>
    </row>
    <row r="2" spans="1:12" ht="29" customHeight="1">
      <c r="A2" s="7" t="s">
        <v>566</v>
      </c>
      <c r="B2" s="7" t="s">
        <v>567</v>
      </c>
      <c r="C2" s="7" t="s">
        <v>568</v>
      </c>
      <c r="D2" s="8"/>
      <c r="E2" s="9" t="s">
        <v>569</v>
      </c>
      <c r="F2" s="10" t="s">
        <v>567</v>
      </c>
      <c r="G2" s="11" t="s">
        <v>570</v>
      </c>
      <c r="H2" s="12" t="s">
        <v>571</v>
      </c>
      <c r="I2" s="11" t="s">
        <v>572</v>
      </c>
      <c r="J2" s="21" t="s">
        <v>573</v>
      </c>
    </row>
    <row r="3" spans="1:12">
      <c r="A3" s="13"/>
      <c r="B3" s="13"/>
      <c r="C3" s="13"/>
      <c r="D3" s="8"/>
      <c r="E3" s="5">
        <f>VLOOKUP(F3+60,B4:C21,1)</f>
        <v>350</v>
      </c>
      <c r="F3" s="14">
        <f>H3*J3</f>
        <v>320</v>
      </c>
      <c r="G3" s="14" t="s">
        <v>570</v>
      </c>
      <c r="H3" s="14">
        <f>VLOOKUP('Input-Output'!B9,Table1113[#All],3,FALSE)</f>
        <v>4.0000000000000001E-3</v>
      </c>
      <c r="I3" s="14" t="s">
        <v>572</v>
      </c>
      <c r="J3" s="14">
        <f>I8*'Input-Output'!B8*'Input-Output'!B6</f>
        <v>80000</v>
      </c>
    </row>
    <row r="4" spans="1:12" ht="16.5" customHeight="1">
      <c r="A4" s="15">
        <v>1</v>
      </c>
      <c r="B4" s="16">
        <v>60</v>
      </c>
      <c r="C4" s="17">
        <v>450</v>
      </c>
      <c r="D4" s="17"/>
    </row>
    <row r="5" spans="1:12">
      <c r="A5" s="15">
        <v>2</v>
      </c>
      <c r="B5" s="16">
        <v>80</v>
      </c>
      <c r="C5" s="17">
        <v>450</v>
      </c>
      <c r="D5" s="17"/>
      <c r="E5" s="570" t="s">
        <v>574</v>
      </c>
      <c r="F5" s="571"/>
      <c r="G5" s="571"/>
      <c r="H5" s="571"/>
      <c r="I5" s="572"/>
    </row>
    <row r="6" spans="1:12">
      <c r="A6" s="15">
        <v>3</v>
      </c>
      <c r="B6" s="16">
        <v>130</v>
      </c>
      <c r="C6" s="17">
        <v>510</v>
      </c>
      <c r="D6" s="17"/>
      <c r="E6" s="18" t="s">
        <v>303</v>
      </c>
      <c r="F6" s="18">
        <f>VLOOKUP(E3,B4:C21,2,FALSE)</f>
        <v>810</v>
      </c>
      <c r="G6" s="18"/>
      <c r="H6" s="18" t="s">
        <v>575</v>
      </c>
      <c r="I6" s="18">
        <f>'Input-Output'!B12</f>
        <v>19.399999999999999</v>
      </c>
    </row>
    <row r="7" spans="1:12">
      <c r="A7" s="15">
        <v>4</v>
      </c>
      <c r="B7" s="16">
        <v>150</v>
      </c>
      <c r="C7" s="17">
        <v>560</v>
      </c>
      <c r="D7" s="17"/>
      <c r="E7" s="18" t="s">
        <v>576</v>
      </c>
      <c r="F7" s="314">
        <f>I6*I7/(I8*3600)</f>
        <v>53.888888888888886</v>
      </c>
      <c r="G7" s="18"/>
      <c r="H7" s="18" t="s">
        <v>577</v>
      </c>
      <c r="I7" s="18">
        <f>'Input-Output'!B11</f>
        <v>20000</v>
      </c>
    </row>
    <row r="8" spans="1:12" ht="29" customHeight="1">
      <c r="A8" s="15">
        <v>5</v>
      </c>
      <c r="B8" s="16">
        <v>180</v>
      </c>
      <c r="C8" s="17">
        <v>560</v>
      </c>
      <c r="D8" s="17"/>
      <c r="E8" s="19" t="s">
        <v>578</v>
      </c>
      <c r="F8" s="432">
        <f>F7*F6</f>
        <v>43650</v>
      </c>
      <c r="G8" s="18"/>
      <c r="H8" s="18" t="s">
        <v>340</v>
      </c>
      <c r="I8" s="18" t="str">
        <f>'Input-Output'!B10</f>
        <v>2</v>
      </c>
    </row>
    <row r="9" spans="1:12">
      <c r="A9" s="15">
        <v>6</v>
      </c>
      <c r="B9" s="16">
        <v>200</v>
      </c>
      <c r="C9" s="17">
        <v>730</v>
      </c>
      <c r="D9" s="17"/>
    </row>
    <row r="10" spans="1:12">
      <c r="A10" s="15">
        <v>7</v>
      </c>
      <c r="B10" s="16">
        <v>220</v>
      </c>
      <c r="C10" s="17">
        <v>740</v>
      </c>
      <c r="D10" s="17"/>
    </row>
    <row r="11" spans="1:12">
      <c r="A11" s="15">
        <v>8</v>
      </c>
      <c r="B11" s="16">
        <v>250</v>
      </c>
      <c r="C11" s="17">
        <v>740</v>
      </c>
      <c r="D11" s="17"/>
      <c r="F11" s="310"/>
    </row>
    <row r="12" spans="1:12">
      <c r="A12" s="15">
        <v>9</v>
      </c>
      <c r="B12" s="16">
        <v>300</v>
      </c>
      <c r="C12" s="17">
        <v>750</v>
      </c>
      <c r="D12" s="17"/>
    </row>
    <row r="13" spans="1:12">
      <c r="A13" s="15">
        <v>10</v>
      </c>
      <c r="B13" s="16">
        <v>325</v>
      </c>
      <c r="C13" s="17">
        <v>750</v>
      </c>
      <c r="D13" s="17"/>
    </row>
    <row r="14" spans="1:12">
      <c r="A14" s="15">
        <v>11</v>
      </c>
      <c r="B14" s="16">
        <v>350</v>
      </c>
      <c r="C14" s="17">
        <v>810</v>
      </c>
      <c r="D14" s="17"/>
    </row>
    <row r="15" spans="1:12">
      <c r="A15" s="15">
        <v>12</v>
      </c>
      <c r="B15" s="16">
        <v>420</v>
      </c>
      <c r="C15" s="17">
        <v>990</v>
      </c>
      <c r="D15" s="17"/>
      <c r="L15" s="22"/>
    </row>
    <row r="16" spans="1:12">
      <c r="A16" s="15">
        <v>13</v>
      </c>
      <c r="B16" s="16">
        <v>450</v>
      </c>
      <c r="C16" s="17">
        <v>990</v>
      </c>
      <c r="D16" s="17"/>
    </row>
    <row r="17" spans="1:4">
      <c r="A17" s="15">
        <v>14</v>
      </c>
      <c r="B17" s="16">
        <v>500</v>
      </c>
      <c r="C17" s="17">
        <v>1140</v>
      </c>
      <c r="D17" s="17"/>
    </row>
    <row r="18" spans="1:4">
      <c r="A18" s="15">
        <v>15</v>
      </c>
      <c r="B18" s="16">
        <v>550</v>
      </c>
      <c r="C18" s="20">
        <v>1380</v>
      </c>
      <c r="D18" s="17"/>
    </row>
    <row r="19" spans="1:4">
      <c r="A19" s="15">
        <v>16</v>
      </c>
      <c r="B19" s="16">
        <v>600</v>
      </c>
      <c r="C19" s="20">
        <v>1380</v>
      </c>
      <c r="D19" s="17"/>
    </row>
    <row r="20" spans="1:4">
      <c r="A20" s="15">
        <v>17</v>
      </c>
      <c r="B20" s="16">
        <v>650</v>
      </c>
      <c r="C20" s="20">
        <v>1380</v>
      </c>
      <c r="D20" s="17"/>
    </row>
    <row r="21" spans="1:4">
      <c r="A21" s="15">
        <v>18</v>
      </c>
      <c r="B21" s="16">
        <v>850</v>
      </c>
      <c r="C21" s="20">
        <v>2100</v>
      </c>
      <c r="D21" s="17"/>
    </row>
    <row r="26" spans="1:4">
      <c r="A26" s="336" t="s">
        <v>260</v>
      </c>
      <c r="B26" s="336" t="s">
        <v>155</v>
      </c>
      <c r="C26" s="336" t="s">
        <v>579</v>
      </c>
    </row>
    <row r="27" spans="1:4">
      <c r="A27" s="336" t="str">
        <f>Database!A20</f>
        <v>PS</v>
      </c>
      <c r="B27" s="336">
        <f>Database!B20</f>
        <v>136</v>
      </c>
      <c r="C27" s="336">
        <f>Database!C20/100</f>
        <v>3.2000000000000002E-3</v>
      </c>
    </row>
    <row r="28" spans="1:4">
      <c r="A28" s="336" t="str">
        <f>Database!A21</f>
        <v>PE</v>
      </c>
      <c r="B28" s="336">
        <f>Database!B21</f>
        <v>161</v>
      </c>
      <c r="C28" s="336">
        <f>Database!C21/100</f>
        <v>3.2000000000000002E-3</v>
      </c>
    </row>
    <row r="29" spans="1:4">
      <c r="A29" s="336" t="str">
        <f>Database!A22</f>
        <v>PP</v>
      </c>
      <c r="B29" s="336">
        <f>Database!B22</f>
        <v>139</v>
      </c>
      <c r="C29" s="336">
        <f>Database!C22/100</f>
        <v>3.2000000000000002E-3</v>
      </c>
    </row>
    <row r="30" spans="1:4">
      <c r="A30" s="336" t="str">
        <f>Database!A23</f>
        <v>ABS</v>
      </c>
      <c r="B30" s="336">
        <f>Database!B23</f>
        <v>210</v>
      </c>
      <c r="C30" s="336">
        <f>Database!C23/100</f>
        <v>4.0000000000000001E-3</v>
      </c>
    </row>
    <row r="31" spans="1:4">
      <c r="A31" s="336" t="str">
        <f>Database!A24</f>
        <v>PA-unfilled-dupont</v>
      </c>
      <c r="B31" s="336">
        <f>Database!B24</f>
        <v>481</v>
      </c>
      <c r="C31" s="336">
        <f>Database!C24/100</f>
        <v>6.8999999999999999E-3</v>
      </c>
    </row>
    <row r="32" spans="1:4">
      <c r="A32" s="336" t="str">
        <f>Database!A25</f>
        <v>POM</v>
      </c>
      <c r="B32" s="336">
        <f>Database!B25</f>
        <v>300</v>
      </c>
      <c r="C32" s="336">
        <f>Database!C25/100</f>
        <v>6.8999999999999999E-3</v>
      </c>
    </row>
    <row r="33" spans="1:3">
      <c r="A33" s="336" t="str">
        <f>Database!A26</f>
        <v>Glass fiber-Plain</v>
      </c>
      <c r="B33" s="336">
        <f>Database!B26</f>
        <v>220</v>
      </c>
      <c r="C33" s="336">
        <f>Database!C26/100</f>
        <v>6.8999999999999999E-3</v>
      </c>
    </row>
    <row r="34" spans="1:3">
      <c r="A34" s="336" t="str">
        <f>Database!A27</f>
        <v>Nylon-srf</v>
      </c>
      <c r="B34" s="336">
        <f>Database!B27</f>
        <v>257</v>
      </c>
      <c r="C34" s="336">
        <f>Database!C27/100</f>
        <v>7.1999999999999998E-3</v>
      </c>
    </row>
  </sheetData>
  <mergeCells count="1">
    <mergeCell ref="E5:I5"/>
  </mergeCells>
  <pageMargins left="0.7" right="0.7" top="0.75" bottom="0.75" header="0.3" footer="0.3"/>
  <pageSetup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E15"/>
  <sheetViews>
    <sheetView workbookViewId="0">
      <selection activeCell="B6" sqref="B6"/>
    </sheetView>
  </sheetViews>
  <sheetFormatPr defaultColWidth="9" defaultRowHeight="14.5"/>
  <cols>
    <col min="1" max="1" width="24.90625" style="357" customWidth="1"/>
    <col min="2" max="2" width="27.08984375" style="357" customWidth="1"/>
  </cols>
  <sheetData>
    <row r="1" spans="1:5">
      <c r="A1" s="1" t="s">
        <v>580</v>
      </c>
      <c r="B1" s="2" t="str">
        <f>'Input-Output'!B9</f>
        <v>ABS</v>
      </c>
    </row>
    <row r="2" spans="1:5">
      <c r="A2" s="1" t="s">
        <v>581</v>
      </c>
      <c r="B2" s="1">
        <f>VLOOKUP(B1,Table11[[Part Material]:[Price/kg]],2,FALSE)</f>
        <v>210</v>
      </c>
      <c r="D2" t="s">
        <v>582</v>
      </c>
    </row>
    <row r="3" spans="1:5">
      <c r="A3" s="1" t="s">
        <v>583</v>
      </c>
      <c r="B3" s="1">
        <f>((('Input-Output'!B7*'Input-Output'!B4)/1000)*VLOOKUP(B1,Table11[#All],4,FALSE))/1000</f>
        <v>0.82399999999999995</v>
      </c>
      <c r="D3">
        <f>B9*8*0.9</f>
        <v>2404.9484536082477</v>
      </c>
      <c r="E3" t="s">
        <v>584</v>
      </c>
    </row>
    <row r="4" spans="1:5">
      <c r="A4" s="1" t="s">
        <v>585</v>
      </c>
      <c r="B4" s="1">
        <f>B3*B2</f>
        <v>173.04</v>
      </c>
    </row>
    <row r="5" spans="1:5">
      <c r="A5" s="1" t="s">
        <v>586</v>
      </c>
      <c r="B5" s="1" t="str">
        <f>'Input-Output'!B10</f>
        <v>2</v>
      </c>
    </row>
    <row r="6" spans="1:5">
      <c r="A6" s="1" t="s">
        <v>303</v>
      </c>
      <c r="B6" s="1">
        <f>'Tonnage '!F6</f>
        <v>810</v>
      </c>
    </row>
    <row r="7" spans="1:5">
      <c r="A7" s="1" t="s">
        <v>587</v>
      </c>
      <c r="B7" s="1">
        <f>'Input-Output'!B12</f>
        <v>19.399999999999999</v>
      </c>
    </row>
    <row r="8" spans="1:5">
      <c r="A8" s="1" t="s">
        <v>567</v>
      </c>
      <c r="B8" s="1">
        <f>'Tonnage '!E3</f>
        <v>350</v>
      </c>
    </row>
    <row r="9" spans="1:5">
      <c r="A9" s="1" t="s">
        <v>588</v>
      </c>
      <c r="B9" s="1">
        <f>(3600/B7)*B5*0.9</f>
        <v>334.02061855670109</v>
      </c>
    </row>
    <row r="10" spans="1:5">
      <c r="A10" s="1" t="s">
        <v>589</v>
      </c>
      <c r="B10" s="3">
        <f>B6/B9</f>
        <v>2.4249999999999994</v>
      </c>
    </row>
    <row r="11" spans="1:5">
      <c r="A11" s="1" t="s">
        <v>590</v>
      </c>
      <c r="B11" s="3">
        <f>B10+B4</f>
        <v>175.465</v>
      </c>
    </row>
    <row r="12" spans="1:5">
      <c r="A12" s="1" t="s">
        <v>591</v>
      </c>
      <c r="B12" s="3">
        <f>11%*B11</f>
        <v>19.30115</v>
      </c>
    </row>
    <row r="13" spans="1:5">
      <c r="A13" s="1" t="s">
        <v>249</v>
      </c>
      <c r="B13" s="3">
        <f>B11+B12</f>
        <v>194.76615000000001</v>
      </c>
    </row>
    <row r="14" spans="1:5">
      <c r="A14" s="1" t="s">
        <v>252</v>
      </c>
      <c r="B14" s="265">
        <f>'Input-Output'!B11</f>
        <v>20000</v>
      </c>
    </row>
    <row r="15" spans="1:5">
      <c r="A15" s="4" t="s">
        <v>254</v>
      </c>
      <c r="B15" s="5">
        <f>B14*B13</f>
        <v>3895323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Website</vt:lpstr>
      <vt:lpstr>Instructions</vt:lpstr>
      <vt:lpstr>DASHBOARD</vt:lpstr>
      <vt:lpstr>Sheet1</vt:lpstr>
      <vt:lpstr>Mould Costing</vt:lpstr>
      <vt:lpstr>Infographics</vt:lpstr>
      <vt:lpstr>INJ. MOULDING ESTIMATION</vt:lpstr>
      <vt:lpstr>Database</vt:lpstr>
      <vt:lpstr>Input-Output</vt:lpstr>
      <vt:lpstr>No of Cavity</vt:lpstr>
      <vt:lpstr>COMPLEXITY</vt:lpstr>
      <vt:lpstr>Guide Pillar</vt:lpstr>
      <vt:lpstr>Mould Layout</vt:lpstr>
      <vt:lpstr>Core &amp; Ejector Plate</vt:lpstr>
      <vt:lpstr>Machining Time</vt:lpstr>
      <vt:lpstr>Tonnage </vt:lpstr>
      <vt:lpstr>Part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Gyan (CP/Hosur/TVSMotor)</dc:creator>
  <cp:lastModifiedBy>Dev Gyan Priyadarshi</cp:lastModifiedBy>
  <cp:lastPrinted>2023-06-15T06:02:32Z</cp:lastPrinted>
  <dcterms:created xsi:type="dcterms:W3CDTF">2023-05-22T09:32:00Z</dcterms:created>
  <dcterms:modified xsi:type="dcterms:W3CDTF">2023-07-04T09:02:22Z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0x0101005373BB68379DF747BF3B48BE896DED2D</vt:lpwstr>
  </property>
  <property fmtid="{D5CDD505-2E9C-101B-9397-08002B2CF9AE}" pid="3" name="ICV">
    <vt:lpwstr>6DC3F2F5242B4ACD8CECDDE87FF81580</vt:lpwstr>
  </property>
  <property fmtid="{D5CDD505-2E9C-101B-9397-08002B2CF9AE}" pid="4" name="KSOProductBuildVer">
    <vt:lpwstr>1033-11.2.0.11537</vt:lpwstr>
  </property>
</Properties>
</file>