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3.xml" ContentType="application/vnd.openxmlformats-officedocument.drawing+xml"/>
  <Override PartName="/xl/charts/chart5.xml" ContentType="application/vnd.openxmlformats-officedocument.drawingml.chart+xml"/>
  <Override PartName="/xl/tables/table9.xml" ContentType="application/vnd.openxmlformats-officedocument.spreadsheetml.table+xml"/>
  <Override PartName="/xl/drawings/drawing4.xml" ContentType="application/vnd.openxmlformats-officedocument.drawing+xml"/>
  <Override PartName="/xl/charts/chart6.xml" ContentType="application/vnd.openxmlformats-officedocument.drawingml.char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v Gyan Priyadarshi\Desktop\TVSM OFFICE\Tool Cost Estimator Program\Excel Files\"/>
    </mc:Choice>
  </mc:AlternateContent>
  <bookViews>
    <workbookView xWindow="0" yWindow="0" windowWidth="18530" windowHeight="6950" tabRatio="777" activeTab="1"/>
  </bookViews>
  <sheets>
    <sheet name="DASHBOARD" sheetId="1" r:id="rId1"/>
    <sheet name="WEBSITE" sheetId="2" r:id="rId2"/>
    <sheet name="Instructions" sheetId="3" r:id="rId3"/>
    <sheet name="Mould Costing" sheetId="4" r:id="rId4"/>
    <sheet name="Infographics" sheetId="5" r:id="rId5"/>
    <sheet name="INJ. MOULDING ESTIMATION" sheetId="6" r:id="rId6"/>
    <sheet name="Database" sheetId="7" r:id="rId7"/>
    <sheet name="Input-Output" sheetId="8" r:id="rId8"/>
    <sheet name="No of Cavity" sheetId="9" r:id="rId9"/>
    <sheet name="COMPLEXITY" sheetId="10" r:id="rId10"/>
    <sheet name="Guide Pillar" sheetId="11" r:id="rId11"/>
    <sheet name="Mould Layout" sheetId="12" r:id="rId12"/>
    <sheet name="Core &amp; Ejector Plate" sheetId="13" r:id="rId13"/>
    <sheet name="Machining Time" sheetId="14" r:id="rId14"/>
    <sheet name="Tonnage " sheetId="15" r:id="rId15"/>
    <sheet name="Part Cost" sheetId="16" r:id="rId16"/>
  </sheets>
  <externalReferences>
    <externalReference r:id="rId17"/>
  </externalReferences>
  <definedNames>
    <definedName name="solver_adj" localSheetId="7" hidden="1">'Input-Output'!$B$11</definedName>
    <definedName name="solver_cvg" localSheetId="7" hidden="1">0.0001</definedName>
    <definedName name="solver_drv" localSheetId="7" hidden="1">1</definedName>
    <definedName name="solver_eng" localSheetId="5" hidden="1">1</definedName>
    <definedName name="solver_eng" localSheetId="7" hidden="1">1</definedName>
    <definedName name="solver_eng" localSheetId="15" hidden="1">2</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lin" localSheetId="5" hidden="1">0</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5" hidden="1">1</definedName>
    <definedName name="solver_neg" localSheetId="7" hidden="1">1</definedName>
    <definedName name="solver_neg" localSheetId="15" hidden="1">1</definedName>
    <definedName name="solver_nod" localSheetId="7" hidden="1">2147483647</definedName>
    <definedName name="solver_num" localSheetId="5" hidden="1">0</definedName>
    <definedName name="solver_num" localSheetId="7" hidden="1">2</definedName>
    <definedName name="solver_num" localSheetId="15" hidden="1">0</definedName>
    <definedName name="solver_nwt" localSheetId="7" hidden="1">1</definedName>
    <definedName name="solver_opt" localSheetId="5" hidden="1">'INJ. MOULDING ESTIMATION'!$I$12</definedName>
    <definedName name="solver_opt" localSheetId="7" hidden="1">'Input-Output'!$E$22</definedName>
    <definedName name="solver_opt" localSheetId="15" hidden="1">'Part Cost'!$B$15</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5" hidden="1">1</definedName>
    <definedName name="solver_typ" localSheetId="7" hidden="1">1</definedName>
    <definedName name="solver_typ" localSheetId="15" hidden="1">2</definedName>
    <definedName name="solver_val" localSheetId="5" hidden="1">0</definedName>
    <definedName name="solver_val" localSheetId="7" hidden="1">0</definedName>
    <definedName name="solver_val" localSheetId="15" hidden="1">0</definedName>
    <definedName name="solver_ver" localSheetId="5" hidden="1">3</definedName>
    <definedName name="solver_ver" localSheetId="7" hidden="1">3</definedName>
    <definedName name="solver_ver" localSheetId="15" hidden="1">3</definedName>
  </definedNames>
  <calcPr calcId="162913"/>
</workbook>
</file>

<file path=xl/calcChain.xml><?xml version="1.0" encoding="utf-8"?>
<calcChain xmlns="http://schemas.openxmlformats.org/spreadsheetml/2006/main">
  <c r="C14" i="6" l="1"/>
  <c r="F6" i="2"/>
  <c r="G2" i="6"/>
  <c r="C34" i="15"/>
  <c r="B34" i="15"/>
  <c r="A34" i="15"/>
  <c r="C33" i="15"/>
  <c r="B33" i="15"/>
  <c r="A33" i="15"/>
  <c r="C32" i="15"/>
  <c r="B32" i="15"/>
  <c r="A32" i="15"/>
  <c r="C31" i="15"/>
  <c r="B31" i="15"/>
  <c r="A31" i="15"/>
  <c r="C30" i="15"/>
  <c r="B30" i="15"/>
  <c r="A30" i="15"/>
  <c r="C29" i="15"/>
  <c r="B29" i="15"/>
  <c r="A29" i="15"/>
  <c r="C28" i="15"/>
  <c r="B28" i="15"/>
  <c r="A28" i="15"/>
  <c r="C27" i="15"/>
  <c r="B27" i="15"/>
  <c r="A27" i="15"/>
  <c r="G165" i="14"/>
  <c r="G164" i="14"/>
  <c r="G163" i="14"/>
  <c r="G162" i="14"/>
  <c r="F162" i="14"/>
  <c r="H162" i="14" s="1"/>
  <c r="L162" i="14" s="1"/>
  <c r="D162" i="14"/>
  <c r="G161" i="14"/>
  <c r="G160" i="14"/>
  <c r="G159" i="14"/>
  <c r="G146" i="14"/>
  <c r="G145" i="14"/>
  <c r="G144" i="14"/>
  <c r="H143" i="14"/>
  <c r="L143" i="14" s="1"/>
  <c r="G143" i="14"/>
  <c r="F143" i="14"/>
  <c r="D143" i="14"/>
  <c r="G142" i="14"/>
  <c r="G141" i="14"/>
  <c r="G140" i="14"/>
  <c r="G129" i="14"/>
  <c r="G128" i="14"/>
  <c r="G127" i="14"/>
  <c r="G126" i="14"/>
  <c r="E126" i="14"/>
  <c r="G125" i="14"/>
  <c r="G124" i="14"/>
  <c r="G123" i="14"/>
  <c r="G122" i="14"/>
  <c r="G121" i="14"/>
  <c r="G120" i="14"/>
  <c r="G108" i="14"/>
  <c r="G107" i="14"/>
  <c r="G106" i="14"/>
  <c r="G105" i="14"/>
  <c r="G104" i="14"/>
  <c r="G103" i="14"/>
  <c r="G102" i="14"/>
  <c r="G101" i="14"/>
  <c r="G100" i="14"/>
  <c r="G99" i="14"/>
  <c r="G83" i="14"/>
  <c r="D83" i="14"/>
  <c r="F83" i="14" s="1"/>
  <c r="G82" i="14"/>
  <c r="G81" i="14"/>
  <c r="G80" i="14"/>
  <c r="G76" i="14"/>
  <c r="F76" i="14"/>
  <c r="H76" i="14" s="1"/>
  <c r="L76" i="14" s="1"/>
  <c r="H75" i="14"/>
  <c r="L75" i="14" s="1"/>
  <c r="G75" i="14"/>
  <c r="F75" i="14"/>
  <c r="G74" i="14"/>
  <c r="F74" i="14"/>
  <c r="H74" i="14" s="1"/>
  <c r="L74" i="14" s="1"/>
  <c r="H73" i="14"/>
  <c r="L73" i="14" s="1"/>
  <c r="G73" i="14"/>
  <c r="F73" i="14"/>
  <c r="G72" i="14"/>
  <c r="F72" i="14"/>
  <c r="H72" i="14" s="1"/>
  <c r="L72" i="14" s="1"/>
  <c r="H71" i="14"/>
  <c r="L71" i="14" s="1"/>
  <c r="G71" i="14"/>
  <c r="F71" i="14"/>
  <c r="G70" i="14"/>
  <c r="F70" i="14"/>
  <c r="H70" i="14" s="1"/>
  <c r="L70" i="14" s="1"/>
  <c r="H69" i="14"/>
  <c r="L69" i="14" s="1"/>
  <c r="G69" i="14"/>
  <c r="F69" i="14"/>
  <c r="G68" i="14"/>
  <c r="F68" i="14"/>
  <c r="H68" i="14" s="1"/>
  <c r="L68" i="14" s="1"/>
  <c r="H67" i="14"/>
  <c r="L67" i="14" s="1"/>
  <c r="G67" i="14"/>
  <c r="F67" i="14"/>
  <c r="G66" i="14"/>
  <c r="G65" i="14"/>
  <c r="H64" i="14"/>
  <c r="L64" i="14" s="1"/>
  <c r="C70" i="4" s="1"/>
  <c r="G64" i="14"/>
  <c r="F64" i="14"/>
  <c r="D64" i="14"/>
  <c r="G63" i="14"/>
  <c r="G62" i="14"/>
  <c r="G61" i="14"/>
  <c r="G45" i="14"/>
  <c r="G44" i="14"/>
  <c r="G43" i="14"/>
  <c r="G42" i="14"/>
  <c r="L38" i="14"/>
  <c r="L37" i="14"/>
  <c r="G37" i="14"/>
  <c r="L36" i="14"/>
  <c r="G36" i="14"/>
  <c r="L35" i="14"/>
  <c r="G35" i="14"/>
  <c r="L34" i="14"/>
  <c r="G34" i="14"/>
  <c r="L33" i="14"/>
  <c r="G33" i="14"/>
  <c r="L32" i="14"/>
  <c r="G32" i="14"/>
  <c r="L31" i="14"/>
  <c r="G31" i="14"/>
  <c r="L30" i="14"/>
  <c r="G30" i="14"/>
  <c r="L29" i="14"/>
  <c r="G29" i="14"/>
  <c r="L28" i="14"/>
  <c r="G28" i="14"/>
  <c r="G27" i="14"/>
  <c r="F27" i="14"/>
  <c r="H27" i="14" s="1"/>
  <c r="L27" i="14" s="1"/>
  <c r="G26" i="14"/>
  <c r="G25" i="14"/>
  <c r="G24" i="14"/>
  <c r="G23" i="14"/>
  <c r="L19" i="14"/>
  <c r="L18" i="14"/>
  <c r="G18" i="14"/>
  <c r="L17" i="14"/>
  <c r="G17" i="14"/>
  <c r="L16" i="14"/>
  <c r="G16" i="14"/>
  <c r="L15" i="14"/>
  <c r="G15" i="14"/>
  <c r="L14" i="14"/>
  <c r="G14" i="14"/>
  <c r="L13" i="14"/>
  <c r="G13" i="14"/>
  <c r="L12" i="14"/>
  <c r="G12" i="14"/>
  <c r="L11" i="14"/>
  <c r="G11" i="14"/>
  <c r="L10" i="14"/>
  <c r="G10" i="14"/>
  <c r="L9" i="14"/>
  <c r="G9" i="14"/>
  <c r="G8" i="14"/>
  <c r="F8" i="14"/>
  <c r="H8" i="14" s="1"/>
  <c r="L8" i="14" s="1"/>
  <c r="H67" i="4" s="1"/>
  <c r="D8" i="14"/>
  <c r="H7" i="14"/>
  <c r="L7" i="14" s="1"/>
  <c r="G7" i="14"/>
  <c r="F7" i="14"/>
  <c r="D7" i="14"/>
  <c r="G6" i="14"/>
  <c r="D6" i="14"/>
  <c r="F6" i="14" s="1"/>
  <c r="H6" i="14" s="1"/>
  <c r="L6" i="14" s="1"/>
  <c r="G5" i="14"/>
  <c r="G4" i="14"/>
  <c r="C31" i="13"/>
  <c r="C12" i="13"/>
  <c r="C13" i="13" s="1"/>
  <c r="K28" i="12"/>
  <c r="N15" i="12"/>
  <c r="N14" i="12" a="1"/>
  <c r="N14" i="12" s="1"/>
  <c r="B10" i="9"/>
  <c r="B15" i="9" s="1"/>
  <c r="B8" i="9"/>
  <c r="F28" i="8"/>
  <c r="B21" i="8"/>
  <c r="I19" i="8"/>
  <c r="B16" i="8"/>
  <c r="B3" i="9" s="1"/>
  <c r="B11" i="9" s="1"/>
  <c r="B12" i="9" s="1"/>
  <c r="B13" i="9" s="1"/>
  <c r="B15" i="8"/>
  <c r="B14" i="8"/>
  <c r="J3" i="9" s="1"/>
  <c r="J6" i="9" s="1"/>
  <c r="B6" i="9" s="1"/>
  <c r="B11" i="8"/>
  <c r="B14" i="16" s="1"/>
  <c r="B9" i="8"/>
  <c r="C29" i="13" s="1"/>
  <c r="B6" i="8"/>
  <c r="E25" i="7"/>
  <c r="E24" i="7"/>
  <c r="E23" i="7"/>
  <c r="E22" i="7"/>
  <c r="E21" i="7"/>
  <c r="D16" i="7"/>
  <c r="L17" i="4" s="1"/>
  <c r="G17" i="1" s="1"/>
  <c r="G15" i="7"/>
  <c r="D15" i="7" s="1"/>
  <c r="G14" i="7"/>
  <c r="D14" i="7" s="1"/>
  <c r="G13" i="7"/>
  <c r="D13" i="7" s="1"/>
  <c r="G12" i="7"/>
  <c r="D12" i="7"/>
  <c r="D11" i="7"/>
  <c r="G10" i="7"/>
  <c r="D10" i="7"/>
  <c r="G9" i="7"/>
  <c r="D9" i="7"/>
  <c r="G8" i="7"/>
  <c r="D8" i="7" s="1"/>
  <c r="C29" i="4" s="1"/>
  <c r="G7" i="7"/>
  <c r="D7" i="7" s="1"/>
  <c r="C28" i="4" s="1"/>
  <c r="G6" i="7"/>
  <c r="D6" i="7"/>
  <c r="G5" i="7"/>
  <c r="D5" i="7"/>
  <c r="G4" i="7"/>
  <c r="D4" i="7" s="1"/>
  <c r="G3" i="7"/>
  <c r="D3" i="7" s="1"/>
  <c r="D33" i="6"/>
  <c r="C13" i="6"/>
  <c r="C2" i="6"/>
  <c r="L6" i="5"/>
  <c r="L99" i="4"/>
  <c r="E34" i="6" s="1"/>
  <c r="L98" i="4"/>
  <c r="L96" i="4"/>
  <c r="K95" i="4"/>
  <c r="P81" i="4"/>
  <c r="O81" i="4"/>
  <c r="N81" i="4"/>
  <c r="M81" i="4"/>
  <c r="F45" i="1" s="1"/>
  <c r="L81" i="4"/>
  <c r="K81" i="4"/>
  <c r="J81" i="4"/>
  <c r="I81" i="4"/>
  <c r="H81" i="4"/>
  <c r="G81" i="4"/>
  <c r="F81" i="4"/>
  <c r="E81" i="4"/>
  <c r="F37" i="1" s="1"/>
  <c r="D81" i="4"/>
  <c r="C81" i="4"/>
  <c r="B81" i="4"/>
  <c r="Q80" i="4"/>
  <c r="P75" i="4"/>
  <c r="O75" i="4"/>
  <c r="M75" i="4"/>
  <c r="L75" i="4"/>
  <c r="K75" i="4"/>
  <c r="J75" i="4"/>
  <c r="I75" i="4"/>
  <c r="H75" i="4"/>
  <c r="G75" i="4"/>
  <c r="F75" i="4"/>
  <c r="E75" i="4"/>
  <c r="D75" i="4"/>
  <c r="C75" i="4"/>
  <c r="B75" i="4"/>
  <c r="P74" i="4"/>
  <c r="O74" i="4"/>
  <c r="M74" i="4"/>
  <c r="L74" i="4"/>
  <c r="K74" i="4"/>
  <c r="J74" i="4"/>
  <c r="I74" i="4"/>
  <c r="H74" i="4"/>
  <c r="G74" i="4"/>
  <c r="F74" i="4"/>
  <c r="E74" i="4"/>
  <c r="D74" i="4"/>
  <c r="C74" i="4"/>
  <c r="B74" i="4"/>
  <c r="N73" i="4"/>
  <c r="M73" i="4"/>
  <c r="L73" i="4"/>
  <c r="K73" i="4"/>
  <c r="I73" i="4"/>
  <c r="F73" i="4"/>
  <c r="D73" i="4"/>
  <c r="N72" i="4"/>
  <c r="M72" i="4"/>
  <c r="L72" i="4"/>
  <c r="K72" i="4"/>
  <c r="I72" i="4"/>
  <c r="F72" i="4"/>
  <c r="D72" i="4"/>
  <c r="P71" i="4"/>
  <c r="O71" i="4"/>
  <c r="N71" i="4"/>
  <c r="M71" i="4"/>
  <c r="L71" i="4"/>
  <c r="K71" i="4"/>
  <c r="J71" i="4"/>
  <c r="I71" i="4"/>
  <c r="H71" i="4"/>
  <c r="F71" i="4"/>
  <c r="D71" i="4"/>
  <c r="O70" i="4"/>
  <c r="N70" i="4"/>
  <c r="M70" i="4"/>
  <c r="L70" i="4"/>
  <c r="K70" i="4"/>
  <c r="J70" i="4"/>
  <c r="I70" i="4"/>
  <c r="F70" i="4"/>
  <c r="D70" i="4"/>
  <c r="P69" i="4"/>
  <c r="O69" i="4"/>
  <c r="N69" i="4"/>
  <c r="M69" i="4"/>
  <c r="L69" i="4"/>
  <c r="K69" i="4"/>
  <c r="J69" i="4"/>
  <c r="I69" i="4"/>
  <c r="H69" i="4"/>
  <c r="F69" i="4"/>
  <c r="D69" i="4"/>
  <c r="C69" i="4"/>
  <c r="P68" i="4"/>
  <c r="O68" i="4"/>
  <c r="N68" i="4"/>
  <c r="M68" i="4"/>
  <c r="L68" i="4"/>
  <c r="K68" i="4"/>
  <c r="J68" i="4"/>
  <c r="I68" i="4"/>
  <c r="F68" i="4"/>
  <c r="D68" i="4"/>
  <c r="C68" i="4"/>
  <c r="P67" i="4"/>
  <c r="O67" i="4"/>
  <c r="N67" i="4"/>
  <c r="M67" i="4"/>
  <c r="L67" i="4"/>
  <c r="K67" i="4"/>
  <c r="J67" i="4"/>
  <c r="I67" i="4"/>
  <c r="F67" i="4"/>
  <c r="D67" i="4"/>
  <c r="C67" i="4"/>
  <c r="K49" i="4"/>
  <c r="K48" i="4"/>
  <c r="K47" i="4"/>
  <c r="K46" i="4"/>
  <c r="K45" i="4"/>
  <c r="K44" i="4"/>
  <c r="K43" i="4"/>
  <c r="K42" i="4"/>
  <c r="C33" i="4"/>
  <c r="A32" i="4"/>
  <c r="C31" i="4"/>
  <c r="B31" i="4"/>
  <c r="D31" i="4" s="1"/>
  <c r="C30" i="4"/>
  <c r="B30" i="4"/>
  <c r="D30" i="4" s="1"/>
  <c r="B29" i="4"/>
  <c r="D29" i="4" s="1"/>
  <c r="B28" i="4"/>
  <c r="C27" i="4"/>
  <c r="C26" i="4"/>
  <c r="B26" i="4"/>
  <c r="D26" i="4" s="1"/>
  <c r="C25" i="4"/>
  <c r="B25" i="4"/>
  <c r="H21" i="4"/>
  <c r="I21" i="4" s="1"/>
  <c r="K21" i="4" s="1"/>
  <c r="G21" i="4"/>
  <c r="C21" i="4"/>
  <c r="L20" i="4"/>
  <c r="C20" i="4"/>
  <c r="L19" i="4"/>
  <c r="C19" i="4"/>
  <c r="L18" i="4"/>
  <c r="C18" i="4"/>
  <c r="C17" i="4"/>
  <c r="L16" i="4"/>
  <c r="G14" i="1" s="1"/>
  <c r="C16" i="4"/>
  <c r="L15" i="4"/>
  <c r="C15" i="4"/>
  <c r="L14" i="4"/>
  <c r="C14" i="4"/>
  <c r="C13" i="4"/>
  <c r="L12" i="4"/>
  <c r="C12" i="4"/>
  <c r="L11" i="4"/>
  <c r="C11" i="4"/>
  <c r="L10" i="4"/>
  <c r="F10" i="4"/>
  <c r="C10" i="4"/>
  <c r="L9" i="4"/>
  <c r="C9" i="4"/>
  <c r="G58" i="1"/>
  <c r="G57" i="1"/>
  <c r="G49" i="1"/>
  <c r="F49" i="1"/>
  <c r="F48" i="1"/>
  <c r="F47" i="1"/>
  <c r="F46" i="1"/>
  <c r="F44" i="1"/>
  <c r="F43" i="1"/>
  <c r="F42" i="1"/>
  <c r="F41" i="1"/>
  <c r="F40" i="1"/>
  <c r="F39" i="1"/>
  <c r="F38" i="1"/>
  <c r="F36" i="1"/>
  <c r="F35" i="1"/>
  <c r="F34" i="1"/>
  <c r="G23" i="1"/>
  <c r="C23" i="1"/>
  <c r="H22" i="1"/>
  <c r="C19" i="1"/>
  <c r="G18" i="1"/>
  <c r="C18" i="1"/>
  <c r="C17" i="1"/>
  <c r="G16" i="1"/>
  <c r="C16" i="1"/>
  <c r="G15" i="1"/>
  <c r="C15" i="1"/>
  <c r="C14" i="1"/>
  <c r="B4" i="1"/>
  <c r="C3" i="6" s="1"/>
  <c r="H3" i="1"/>
  <c r="D3" i="1"/>
  <c r="B3" i="1"/>
  <c r="F80" i="4" l="1"/>
  <c r="G38" i="1" s="1"/>
  <c r="M80" i="4"/>
  <c r="G45" i="1" s="1"/>
  <c r="L80" i="4"/>
  <c r="D25" i="4"/>
  <c r="I80" i="4"/>
  <c r="G41" i="1" s="1"/>
  <c r="D28" i="4"/>
  <c r="B12" i="8"/>
  <c r="B7" i="9"/>
  <c r="B14" i="9" s="1"/>
  <c r="B16" i="9" s="1"/>
  <c r="B17" i="9" s="1"/>
  <c r="D26" i="14"/>
  <c r="F26" i="14" s="1"/>
  <c r="H26" i="14" s="1"/>
  <c r="L26" i="14" s="1"/>
  <c r="H68" i="4" s="1"/>
  <c r="D25" i="14"/>
  <c r="F25" i="14" s="1"/>
  <c r="H25" i="14" s="1"/>
  <c r="L25" i="14" s="1"/>
  <c r="G68" i="4" s="1"/>
  <c r="K80" i="4"/>
  <c r="E30" i="6"/>
  <c r="D30" i="6"/>
  <c r="H7" i="6"/>
  <c r="C16" i="6"/>
  <c r="C15" i="6"/>
  <c r="C7" i="6"/>
  <c r="C6" i="6"/>
  <c r="D80" i="4"/>
  <c r="G7" i="1"/>
  <c r="H7" i="1" s="1"/>
  <c r="H24" i="1" s="1"/>
  <c r="F29" i="8"/>
  <c r="F30" i="8" s="1"/>
  <c r="B28" i="8"/>
  <c r="C32" i="4"/>
  <c r="C8" i="6"/>
  <c r="L13" i="4"/>
  <c r="G19" i="1" s="1"/>
  <c r="C24" i="4"/>
  <c r="L21" i="4"/>
  <c r="M21" i="4" s="1"/>
  <c r="G44" i="1"/>
  <c r="G67" i="4"/>
  <c r="H83" i="14"/>
  <c r="L83" i="14" s="1"/>
  <c r="C71" i="4" s="1"/>
  <c r="B13" i="8"/>
  <c r="D6" i="13" s="1"/>
  <c r="N16" i="12"/>
  <c r="C32" i="13"/>
  <c r="H3" i="15"/>
  <c r="B1" i="16"/>
  <c r="B2" i="16" s="1"/>
  <c r="D34" i="6"/>
  <c r="H7" i="9"/>
  <c r="N17" i="12"/>
  <c r="C33" i="13"/>
  <c r="N18" i="12"/>
  <c r="C26" i="13"/>
  <c r="C28" i="13"/>
  <c r="I7" i="15"/>
  <c r="B3" i="8" l="1"/>
  <c r="B6" i="1"/>
  <c r="B2" i="8"/>
  <c r="C6" i="1"/>
  <c r="I58" i="4"/>
  <c r="I54" i="4"/>
  <c r="I87" i="4"/>
  <c r="K87" i="4" s="1"/>
  <c r="K89" i="4" s="1"/>
  <c r="I57" i="4"/>
  <c r="K57" i="4" s="1"/>
  <c r="C83" i="4"/>
  <c r="I56" i="4"/>
  <c r="K56" i="4" s="1"/>
  <c r="K50" i="4"/>
  <c r="I59" i="4"/>
  <c r="K59" i="4" s="1"/>
  <c r="I55" i="4"/>
  <c r="I88" i="4"/>
  <c r="K88" i="4" s="1"/>
  <c r="E33" i="6"/>
  <c r="D7" i="1"/>
  <c r="K82" i="4"/>
  <c r="G43" i="1"/>
  <c r="B10" i="8"/>
  <c r="B7" i="1"/>
  <c r="L97" i="4"/>
  <c r="B4" i="8"/>
  <c r="D6" i="1"/>
  <c r="I20" i="8"/>
  <c r="I21" i="8" s="1"/>
  <c r="I6" i="15"/>
  <c r="D21" i="8"/>
  <c r="B7" i="16"/>
  <c r="G36" i="1"/>
  <c r="H36" i="1" s="1"/>
  <c r="D22" i="8" l="1"/>
  <c r="H43" i="1"/>
  <c r="D32" i="6"/>
  <c r="H25" i="1"/>
  <c r="B5" i="16"/>
  <c r="B9" i="16" s="1"/>
  <c r="D3" i="16" s="1"/>
  <c r="F6" i="8"/>
  <c r="H16" i="13"/>
  <c r="O11" i="12"/>
  <c r="I8" i="15"/>
  <c r="I22" i="8"/>
  <c r="I23" i="8" s="1"/>
  <c r="I24" i="8" s="1"/>
  <c r="J24" i="8" s="1"/>
  <c r="H49" i="1"/>
  <c r="L82" i="4"/>
  <c r="F82" i="4"/>
  <c r="I82" i="4"/>
  <c r="H41" i="1"/>
  <c r="H38" i="1"/>
  <c r="H45" i="1"/>
  <c r="Q82" i="4"/>
  <c r="M82" i="4"/>
  <c r="H44" i="1"/>
  <c r="D28" i="6"/>
  <c r="H21" i="1"/>
  <c r="F22" i="4"/>
  <c r="C27" i="13"/>
  <c r="D82" i="4"/>
  <c r="K12" i="12"/>
  <c r="E22" i="4"/>
  <c r="K27" i="12"/>
  <c r="E29" i="6"/>
  <c r="D29" i="6"/>
  <c r="C30" i="13"/>
  <c r="C9" i="11"/>
  <c r="C16" i="11" s="1"/>
  <c r="B7" i="8"/>
  <c r="B18" i="9"/>
  <c r="B19" i="9" s="1"/>
  <c r="B5" i="8"/>
  <c r="N52" i="4" s="1"/>
  <c r="N53" i="4" s="1"/>
  <c r="K58" i="4" s="1"/>
  <c r="D22" i="4"/>
  <c r="K26" i="12"/>
  <c r="I17" i="12"/>
  <c r="B8" i="8"/>
  <c r="K55" i="4" l="1"/>
  <c r="J3" i="15"/>
  <c r="F3" i="15" s="1"/>
  <c r="E3" i="15" s="1"/>
  <c r="F6" i="15" s="1"/>
  <c r="B6" i="16" s="1"/>
  <c r="B10" i="16" s="1"/>
  <c r="E28" i="6"/>
  <c r="C5" i="11"/>
  <c r="F10" i="11" s="1"/>
  <c r="C17" i="11"/>
  <c r="I10" i="11" s="1"/>
  <c r="M10" i="11"/>
  <c r="C25" i="13"/>
  <c r="K54" i="4"/>
  <c r="K60" i="4" s="1"/>
  <c r="E31" i="6"/>
  <c r="E32" i="6"/>
  <c r="D105" i="14"/>
  <c r="B3" i="16"/>
  <c r="G17" i="4"/>
  <c r="H17" i="4" s="1"/>
  <c r="I17" i="4" s="1"/>
  <c r="K17" i="4" s="1"/>
  <c r="G18" i="4"/>
  <c r="H18" i="4" s="1"/>
  <c r="I18" i="4" s="1"/>
  <c r="K18" i="4" s="1"/>
  <c r="M18" i="4" s="1"/>
  <c r="F7" i="15"/>
  <c r="B8" i="16" l="1"/>
  <c r="F8" i="15"/>
  <c r="D142" i="14"/>
  <c r="K5" i="12"/>
  <c r="K29" i="12" s="1"/>
  <c r="D124" i="14"/>
  <c r="F124" i="14" s="1"/>
  <c r="H124" i="14" s="1"/>
  <c r="L124" i="14" s="1"/>
  <c r="C73" i="4" s="1"/>
  <c r="E20" i="4"/>
  <c r="D103" i="14"/>
  <c r="F103" i="14" s="1"/>
  <c r="H103" i="14" s="1"/>
  <c r="L103" i="14" s="1"/>
  <c r="C72" i="4" s="1"/>
  <c r="E19" i="4"/>
  <c r="D161" i="14"/>
  <c r="F161" i="14" s="1"/>
  <c r="H161" i="14" s="1"/>
  <c r="L161" i="14" s="1"/>
  <c r="E142" i="14"/>
  <c r="M17" i="4"/>
  <c r="H17" i="1" s="1"/>
  <c r="F17" i="1"/>
  <c r="B32" i="4"/>
  <c r="D32" i="4" s="1"/>
  <c r="B4" i="16"/>
  <c r="B11" i="16" s="1"/>
  <c r="F8" i="1"/>
  <c r="D31" i="6"/>
  <c r="C9" i="1"/>
  <c r="C18" i="13"/>
  <c r="H14" i="13"/>
  <c r="H15" i="13" s="1"/>
  <c r="H17" i="13" s="1"/>
  <c r="F105" i="14"/>
  <c r="D126" i="14"/>
  <c r="L2" i="5" l="1"/>
  <c r="F1" i="2"/>
  <c r="C30" i="12"/>
  <c r="G13" i="8" s="1"/>
  <c r="F28" i="12"/>
  <c r="F16" i="8" s="1"/>
  <c r="B30" i="12"/>
  <c r="D28" i="12"/>
  <c r="F14" i="8" s="1"/>
  <c r="E28" i="12"/>
  <c r="F15" i="8" s="1"/>
  <c r="D30" i="12"/>
  <c r="G14" i="8" s="1"/>
  <c r="C28" i="12"/>
  <c r="F13" i="8" s="1"/>
  <c r="B28" i="12"/>
  <c r="F30" i="12"/>
  <c r="G16" i="8" s="1"/>
  <c r="E30" i="12"/>
  <c r="G15" i="8" s="1"/>
  <c r="F126" i="14"/>
  <c r="H126" i="14" s="1"/>
  <c r="L126" i="14" s="1"/>
  <c r="P73" i="4" s="1"/>
  <c r="H105" i="14"/>
  <c r="L105" i="14" s="1"/>
  <c r="P72" i="4" s="1"/>
  <c r="B12" i="16"/>
  <c r="B13" i="16" s="1"/>
  <c r="C80" i="4"/>
  <c r="F142" i="14"/>
  <c r="H142" i="14" s="1"/>
  <c r="L142" i="14" s="1"/>
  <c r="H6" i="6" l="1"/>
  <c r="B15" i="16"/>
  <c r="F12" i="8"/>
  <c r="F3" i="8" s="1"/>
  <c r="O14" i="12" a="1"/>
  <c r="C82" i="4"/>
  <c r="G35" i="1"/>
  <c r="H35" i="1" s="1"/>
  <c r="G12" i="8"/>
  <c r="F4" i="8" s="1"/>
  <c r="B4" i="4" s="1"/>
  <c r="P14" i="12" a="1"/>
  <c r="D9" i="13" l="1"/>
  <c r="E14" i="4"/>
  <c r="E15" i="4"/>
  <c r="O16" i="12"/>
  <c r="O15" i="12"/>
  <c r="O14" i="12"/>
  <c r="P8" i="12" s="1"/>
  <c r="P9" i="12" s="1"/>
  <c r="O18" i="12"/>
  <c r="O17" i="12"/>
  <c r="B3" i="4"/>
  <c r="P18" i="12"/>
  <c r="P17" i="12"/>
  <c r="P16" i="12"/>
  <c r="P15" i="12"/>
  <c r="P14" i="12"/>
  <c r="Q8" i="12" s="1"/>
  <c r="Q9" i="12" s="1"/>
  <c r="B20" i="8"/>
  <c r="H8" i="6"/>
  <c r="D14" i="4" l="1"/>
  <c r="D7" i="13"/>
  <c r="D5" i="13" s="1"/>
  <c r="D15" i="4"/>
  <c r="D127" i="14"/>
  <c r="F127" i="14" s="1"/>
  <c r="H127" i="14" s="1"/>
  <c r="L127" i="14" s="1"/>
  <c r="J73" i="4" s="1"/>
  <c r="E16" i="4"/>
  <c r="D106" i="14"/>
  <c r="F106" i="14" s="1"/>
  <c r="H106" i="14" s="1"/>
  <c r="L106" i="14" s="1"/>
  <c r="J72" i="4" s="1"/>
  <c r="J80" i="4" s="1"/>
  <c r="E10" i="4"/>
  <c r="E9" i="4"/>
  <c r="E13" i="4"/>
  <c r="C21" i="13" s="1"/>
  <c r="E12" i="4"/>
  <c r="J82" i="4" l="1"/>
  <c r="G42" i="1"/>
  <c r="H42" i="1" s="1"/>
  <c r="F15" i="4"/>
  <c r="D121" i="14" s="1"/>
  <c r="F14" i="4"/>
  <c r="E99" i="14" s="1"/>
  <c r="D23" i="6"/>
  <c r="C8" i="1" s="1"/>
  <c r="E11" i="4"/>
  <c r="D11" i="4"/>
  <c r="D13" i="4" s="1"/>
  <c r="D16" i="4"/>
  <c r="D10" i="4"/>
  <c r="D9" i="4"/>
  <c r="D99" i="14" l="1"/>
  <c r="F99" i="14" s="1"/>
  <c r="H99" i="14" s="1"/>
  <c r="L99" i="14" s="1"/>
  <c r="G15" i="4"/>
  <c r="H15" i="4" s="1"/>
  <c r="E122" i="14"/>
  <c r="D125" i="14" s="1"/>
  <c r="E125" i="14"/>
  <c r="C19" i="13"/>
  <c r="C17" i="13" s="1"/>
  <c r="F13" i="4" s="1"/>
  <c r="G13" i="4" s="1"/>
  <c r="H13" i="4" s="1"/>
  <c r="I13" i="4" s="1"/>
  <c r="K13" i="4" s="1"/>
  <c r="M13" i="4" s="1"/>
  <c r="E4" i="14"/>
  <c r="D4" i="14"/>
  <c r="E5" i="14"/>
  <c r="D5" i="14"/>
  <c r="D22" i="6"/>
  <c r="B8" i="1" s="1"/>
  <c r="G9" i="4"/>
  <c r="H9" i="4" s="1"/>
  <c r="L19" i="11"/>
  <c r="D129" i="14"/>
  <c r="F129" i="14" s="1"/>
  <c r="H129" i="14" s="1"/>
  <c r="L129" i="14" s="1"/>
  <c r="H73" i="4" s="1"/>
  <c r="F16" i="4"/>
  <c r="G16" i="4" s="1"/>
  <c r="H16" i="4" s="1"/>
  <c r="F19" i="4"/>
  <c r="G19" i="4" s="1"/>
  <c r="H19" i="4" s="1"/>
  <c r="I19" i="4" s="1"/>
  <c r="D108" i="14"/>
  <c r="F108" i="14" s="1"/>
  <c r="H108" i="14" s="1"/>
  <c r="L108" i="14" s="1"/>
  <c r="H72" i="4" s="1"/>
  <c r="D102" i="14"/>
  <c r="F102" i="14" s="1"/>
  <c r="H102" i="14" s="1"/>
  <c r="L102" i="14" s="1"/>
  <c r="G72" i="4" s="1"/>
  <c r="H19" i="11"/>
  <c r="F20" i="4"/>
  <c r="G20" i="4" s="1"/>
  <c r="H20" i="4" s="1"/>
  <c r="I20" i="4" s="1"/>
  <c r="D123" i="14"/>
  <c r="F123" i="14" s="1"/>
  <c r="H123" i="14" s="1"/>
  <c r="L123" i="14" s="1"/>
  <c r="G73" i="4" s="1"/>
  <c r="E121" i="14"/>
  <c r="F121" i="14" s="1"/>
  <c r="H121" i="14" s="1"/>
  <c r="L121" i="14" s="1"/>
  <c r="E73" i="4" s="1"/>
  <c r="E23" i="14"/>
  <c r="D23" i="14"/>
  <c r="F23" i="14" s="1"/>
  <c r="H23" i="14" s="1"/>
  <c r="L23" i="14" s="1"/>
  <c r="E24" i="14"/>
  <c r="D24" i="14"/>
  <c r="G10" i="4"/>
  <c r="H10" i="4" s="1"/>
  <c r="I10" i="4" s="1"/>
  <c r="K10" i="4" s="1"/>
  <c r="M10" i="4" s="1"/>
  <c r="E101" i="14"/>
  <c r="D104" i="14" s="1"/>
  <c r="E104" i="14"/>
  <c r="D100" i="14"/>
  <c r="D12" i="4"/>
  <c r="D120" i="14"/>
  <c r="F120" i="14" s="1"/>
  <c r="H120" i="14" s="1"/>
  <c r="L120" i="14" s="1"/>
  <c r="G14" i="4"/>
  <c r="H14" i="4" s="1"/>
  <c r="E100" i="14"/>
  <c r="E120" i="14"/>
  <c r="F100" i="14" l="1"/>
  <c r="H100" i="14" s="1"/>
  <c r="L100" i="14" s="1"/>
  <c r="E72" i="4" s="1"/>
  <c r="F104" i="14"/>
  <c r="H104" i="14" s="1"/>
  <c r="L104" i="14" s="1"/>
  <c r="O72" i="4" s="1"/>
  <c r="F125" i="14"/>
  <c r="H125" i="14" s="1"/>
  <c r="L125" i="14" s="1"/>
  <c r="O73" i="4" s="1"/>
  <c r="F5" i="14"/>
  <c r="H5" i="14" s="1"/>
  <c r="L5" i="14" s="1"/>
  <c r="E67" i="4" s="1"/>
  <c r="E159" i="14"/>
  <c r="D159" i="14"/>
  <c r="D141" i="14"/>
  <c r="E141" i="14"/>
  <c r="E160" i="14"/>
  <c r="D160" i="14"/>
  <c r="F24" i="14"/>
  <c r="H24" i="14" s="1"/>
  <c r="L24" i="14" s="1"/>
  <c r="E68" i="4" s="1"/>
  <c r="F12" i="4"/>
  <c r="E61" i="14" s="1"/>
  <c r="D82" i="14"/>
  <c r="F82" i="14" s="1"/>
  <c r="H82" i="14" s="1"/>
  <c r="L82" i="14" s="1"/>
  <c r="G71" i="4" s="1"/>
  <c r="I9" i="4"/>
  <c r="D81" i="14"/>
  <c r="E81" i="14"/>
  <c r="K20" i="4"/>
  <c r="M20" i="4" s="1"/>
  <c r="H20" i="1" s="1"/>
  <c r="I15" i="4"/>
  <c r="K15" i="4" s="1"/>
  <c r="D80" i="14"/>
  <c r="D140" i="14"/>
  <c r="E140" i="14"/>
  <c r="B68" i="4"/>
  <c r="D122" i="14"/>
  <c r="F122" i="14" s="1"/>
  <c r="H122" i="14" s="1"/>
  <c r="L122" i="14" s="1"/>
  <c r="B73" i="4" s="1"/>
  <c r="D101" i="14"/>
  <c r="F101" i="14" s="1"/>
  <c r="H101" i="14" s="1"/>
  <c r="L101" i="14" s="1"/>
  <c r="B72" i="4" s="1"/>
  <c r="I14" i="4"/>
  <c r="K14" i="4" s="1"/>
  <c r="I16" i="4"/>
  <c r="K16" i="4" s="1"/>
  <c r="K19" i="4"/>
  <c r="E80" i="14"/>
  <c r="F4" i="14"/>
  <c r="H4" i="14" s="1"/>
  <c r="L4" i="14" s="1"/>
  <c r="F160" i="14" l="1"/>
  <c r="H160" i="14" s="1"/>
  <c r="L160" i="14" s="1"/>
  <c r="C21" i="14"/>
  <c r="G12" i="4"/>
  <c r="H12" i="4" s="1"/>
  <c r="I12" i="4" s="1"/>
  <c r="K12" i="4" s="1"/>
  <c r="F19" i="1" s="1"/>
  <c r="H19" i="1" s="1"/>
  <c r="E62" i="14"/>
  <c r="D61" i="14"/>
  <c r="F61" i="14" s="1"/>
  <c r="H61" i="14" s="1"/>
  <c r="L61" i="14" s="1"/>
  <c r="B70" i="4" s="1"/>
  <c r="F81" i="14"/>
  <c r="H81" i="14" s="1"/>
  <c r="L81" i="14" s="1"/>
  <c r="E71" i="4" s="1"/>
  <c r="F140" i="14"/>
  <c r="H140" i="14" s="1"/>
  <c r="L140" i="14" s="1"/>
  <c r="N74" i="4" s="1"/>
  <c r="O80" i="4"/>
  <c r="F80" i="14"/>
  <c r="H80" i="14" s="1"/>
  <c r="L80" i="14" s="1"/>
  <c r="K9" i="4"/>
  <c r="B67" i="4"/>
  <c r="C2" i="14"/>
  <c r="F141" i="14"/>
  <c r="H141" i="14" s="1"/>
  <c r="L141" i="14" s="1"/>
  <c r="F159" i="14"/>
  <c r="H159" i="14" s="1"/>
  <c r="L159" i="14" s="1"/>
  <c r="B27" i="4"/>
  <c r="D27" i="4" s="1"/>
  <c r="M19" i="4"/>
  <c r="M12" i="4"/>
  <c r="F15" i="1"/>
  <c r="M15" i="4"/>
  <c r="H15" i="1" s="1"/>
  <c r="F14" i="1"/>
  <c r="M16" i="4"/>
  <c r="H14" i="1" s="1"/>
  <c r="D45" i="14"/>
  <c r="F45" i="14" s="1"/>
  <c r="H45" i="14" s="1"/>
  <c r="L45" i="14" s="1"/>
  <c r="D65" i="14"/>
  <c r="F65" i="14" s="1"/>
  <c r="H65" i="14" s="1"/>
  <c r="L65" i="14" s="1"/>
  <c r="H70" i="4" s="1"/>
  <c r="H80" i="4" s="1"/>
  <c r="D63" i="14"/>
  <c r="F11" i="4"/>
  <c r="M14" i="4"/>
  <c r="H16" i="1" s="1"/>
  <c r="B33" i="4"/>
  <c r="D33" i="4" s="1"/>
  <c r="F16" i="1"/>
  <c r="D62" i="14"/>
  <c r="C97" i="14"/>
  <c r="C118" i="14"/>
  <c r="F62" i="14" l="1"/>
  <c r="H62" i="14" s="1"/>
  <c r="L62" i="14" s="1"/>
  <c r="E70" i="4" s="1"/>
  <c r="C138" i="14"/>
  <c r="O82" i="4"/>
  <c r="G47" i="1"/>
  <c r="H47" i="1" s="1"/>
  <c r="D66" i="14"/>
  <c r="F66" i="14" s="1"/>
  <c r="H66" i="14" s="1"/>
  <c r="L66" i="14" s="1"/>
  <c r="P70" i="4" s="1"/>
  <c r="P80" i="4" s="1"/>
  <c r="F63" i="14"/>
  <c r="H63" i="14" s="1"/>
  <c r="L63" i="14" s="1"/>
  <c r="G70" i="4" s="1"/>
  <c r="M9" i="4"/>
  <c r="F23" i="1"/>
  <c r="C157" i="14"/>
  <c r="N75" i="4"/>
  <c r="N80" i="4" s="1"/>
  <c r="C78" i="14"/>
  <c r="B71" i="4"/>
  <c r="H82" i="4"/>
  <c r="G40" i="1"/>
  <c r="H40" i="1" s="1"/>
  <c r="D44" i="14"/>
  <c r="F44" i="14" s="1"/>
  <c r="H44" i="14" s="1"/>
  <c r="L44" i="14" s="1"/>
  <c r="G69" i="4" s="1"/>
  <c r="G80" i="4" s="1"/>
  <c r="D32" i="12"/>
  <c r="H14" i="8" s="1"/>
  <c r="C32" i="12"/>
  <c r="H13" i="8" s="1"/>
  <c r="B32" i="12"/>
  <c r="H12" i="8" s="1"/>
  <c r="F5" i="8" s="1"/>
  <c r="F32" i="12"/>
  <c r="H16" i="8" s="1"/>
  <c r="E32" i="12"/>
  <c r="H15" i="8" s="1"/>
  <c r="E43" i="14"/>
  <c r="D43" i="14"/>
  <c r="G11" i="4"/>
  <c r="H11" i="4" s="1"/>
  <c r="D42" i="14"/>
  <c r="E42" i="14"/>
  <c r="C59" i="14" l="1"/>
  <c r="N82" i="4"/>
  <c r="G46" i="1"/>
  <c r="H46" i="1" s="1"/>
  <c r="D24" i="6"/>
  <c r="D8" i="1" s="1"/>
  <c r="B5" i="4"/>
  <c r="F9" i="8"/>
  <c r="F42" i="14"/>
  <c r="H42" i="14" s="1"/>
  <c r="L42" i="14" s="1"/>
  <c r="I11" i="4"/>
  <c r="H22" i="4"/>
  <c r="G82" i="4"/>
  <c r="G39" i="1"/>
  <c r="H39" i="1" s="1"/>
  <c r="F43" i="14"/>
  <c r="H43" i="14" s="1"/>
  <c r="L43" i="14" s="1"/>
  <c r="E69" i="4" s="1"/>
  <c r="E80" i="4" s="1"/>
  <c r="P82" i="4"/>
  <c r="G48" i="1"/>
  <c r="H48" i="1" s="1"/>
  <c r="H23" i="1"/>
  <c r="K11" i="4" l="1"/>
  <c r="I22" i="4"/>
  <c r="E82" i="4"/>
  <c r="G37" i="1"/>
  <c r="H37" i="1" s="1"/>
  <c r="C40" i="14"/>
  <c r="B69" i="4"/>
  <c r="B80" i="4" s="1"/>
  <c r="B82" i="4" l="1"/>
  <c r="C84" i="4" s="1"/>
  <c r="D27" i="6" s="1"/>
  <c r="R80" i="4"/>
  <c r="G34" i="1"/>
  <c r="M11" i="4"/>
  <c r="F18" i="1"/>
  <c r="K22" i="4"/>
  <c r="B24" i="4"/>
  <c r="D24" i="4" l="1"/>
  <c r="D34" i="4" s="1"/>
  <c r="B34" i="4"/>
  <c r="G50" i="1"/>
  <c r="H34" i="1"/>
  <c r="H18" i="1"/>
  <c r="M22" i="4"/>
  <c r="E27" i="6"/>
  <c r="H28" i="1" l="1"/>
  <c r="F63" i="4"/>
  <c r="L94" i="4" s="1"/>
  <c r="D26" i="6"/>
  <c r="K51" i="4"/>
  <c r="H50" i="1"/>
  <c r="H52" i="1" l="1"/>
  <c r="I36" i="1"/>
  <c r="I43" i="1"/>
  <c r="I49" i="1"/>
  <c r="I45" i="1"/>
  <c r="I44" i="1"/>
  <c r="I41" i="1"/>
  <c r="I38" i="1"/>
  <c r="I35" i="1"/>
  <c r="I42" i="1"/>
  <c r="I47" i="1"/>
  <c r="I40" i="1"/>
  <c r="I39" i="1"/>
  <c r="I48" i="1"/>
  <c r="I46" i="1"/>
  <c r="I37" i="1"/>
  <c r="I34" i="1"/>
  <c r="E26" i="6"/>
  <c r="K22" i="6"/>
  <c r="M20" i="6" s="1"/>
  <c r="L3" i="5"/>
  <c r="I22" i="1"/>
  <c r="F2" i="2"/>
  <c r="I24" i="1"/>
  <c r="I25" i="1"/>
  <c r="I21" i="1"/>
  <c r="I17" i="1"/>
  <c r="I20" i="1"/>
  <c r="I19" i="1"/>
  <c r="I14" i="1"/>
  <c r="I16" i="1"/>
  <c r="I15" i="1"/>
  <c r="I23" i="1"/>
  <c r="L95" i="4"/>
  <c r="I18" i="1"/>
  <c r="I28" i="1" l="1"/>
  <c r="E35" i="6"/>
  <c r="D35" i="6"/>
  <c r="G59" i="1"/>
  <c r="G61" i="1" s="1"/>
  <c r="E25" i="6"/>
  <c r="L100" i="4"/>
  <c r="B19" i="8" s="1"/>
  <c r="B23" i="8" s="1"/>
  <c r="D18" i="8" s="1"/>
  <c r="L4" i="5"/>
  <c r="F3" i="2"/>
  <c r="L5" i="5" l="1"/>
  <c r="F4" i="2"/>
  <c r="H65" i="1"/>
  <c r="D20" i="8"/>
  <c r="H13" i="6" s="1"/>
  <c r="D19" i="8"/>
  <c r="H12" i="6" s="1"/>
  <c r="H16" i="6" s="1"/>
  <c r="D25" i="6"/>
  <c r="J1" i="6" l="1"/>
  <c r="C33" i="6"/>
  <c r="C34" i="6"/>
  <c r="C30" i="6"/>
  <c r="C28" i="6"/>
  <c r="C32" i="6"/>
  <c r="C29" i="6"/>
  <c r="C31" i="6"/>
  <c r="C27" i="6"/>
  <c r="C26" i="6"/>
  <c r="H78" i="1"/>
  <c r="F5" i="2"/>
  <c r="C35" i="6"/>
  <c r="C25" i="6" l="1"/>
</calcChain>
</file>

<file path=xl/sharedStrings.xml><?xml version="1.0" encoding="utf-8"?>
<sst xmlns="http://schemas.openxmlformats.org/spreadsheetml/2006/main" count="1000" uniqueCount="569">
  <si>
    <t xml:space="preserve">  TOOLING COST BREAK - UP ESTIMATE          </t>
  </si>
  <si>
    <t>DATABSE NO.</t>
  </si>
  <si>
    <t>Last modified at:</t>
  </si>
  <si>
    <t xml:space="preserve">      DATE : </t>
  </si>
  <si>
    <t>PART IMAGE</t>
  </si>
  <si>
    <t xml:space="preserve">PART NAME :- </t>
  </si>
  <si>
    <t xml:space="preserve">PART NO :- </t>
  </si>
  <si>
    <t>NB223320</t>
  </si>
  <si>
    <t>CUSTOMER NAME : -</t>
  </si>
  <si>
    <t>TVSM</t>
  </si>
  <si>
    <t>LENGTH</t>
  </si>
  <si>
    <t>WIDTH</t>
  </si>
  <si>
    <t>HEIGHT</t>
  </si>
  <si>
    <t>TOOL MAKER NAME : -</t>
  </si>
  <si>
    <t>PART SIZE :-</t>
  </si>
  <si>
    <t>No of Gate</t>
  </si>
  <si>
    <t>HRS PRICE</t>
  </si>
  <si>
    <t>TOTAL HRS COST</t>
  </si>
  <si>
    <t>NO CAVITY :-</t>
  </si>
  <si>
    <t>COMPLEXITY</t>
  </si>
  <si>
    <t>RUNNER &amp; GATE:-</t>
  </si>
  <si>
    <t>M. DIMENSION</t>
  </si>
  <si>
    <t>PART WT :- in kg</t>
  </si>
  <si>
    <t>in 3D (KG)</t>
  </si>
  <si>
    <t xml:space="preserve">I) DESIGN COST +MOULD FLOW   : </t>
  </si>
  <si>
    <t>PART DESIGN (RE)</t>
  </si>
  <si>
    <t>(PART 3D SCANNIG+3D DATA RE)</t>
  </si>
  <si>
    <t xml:space="preserve"> ( A )</t>
  </si>
  <si>
    <t>II) RAW MATERIAL COST :</t>
  </si>
  <si>
    <t>FACTORS</t>
  </si>
  <si>
    <t>S.No.</t>
  </si>
  <si>
    <t>SUB PART NAME</t>
  </si>
  <si>
    <t>MATERIAL SPEC.</t>
  </si>
  <si>
    <t>REMARKS</t>
  </si>
  <si>
    <t xml:space="preserve">RM WEIGHT </t>
  </si>
  <si>
    <t>UNIT PRICE</t>
  </si>
  <si>
    <t>TOTAL VALUE</t>
  </si>
  <si>
    <t>Kg ( 1 )</t>
  </si>
  <si>
    <t>Rs/Kg ( 2 )</t>
  </si>
  <si>
    <t>Rs.  ( 1X2 )</t>
  </si>
  <si>
    <t>MOULD BASE</t>
  </si>
  <si>
    <t>MOULD FLOW</t>
  </si>
  <si>
    <t xml:space="preserve">CORE </t>
  </si>
  <si>
    <t>HOT RUNNER</t>
  </si>
  <si>
    <t>CAVITY</t>
  </si>
  <si>
    <t>SERVICE CHARGE</t>
  </si>
  <si>
    <t>ELECTRODES</t>
  </si>
  <si>
    <t>TEXTURING</t>
  </si>
  <si>
    <t>SPACER BLOCK</t>
  </si>
  <si>
    <t>DIMENSION CHANGE</t>
  </si>
  <si>
    <t>EJECTOR PLATE</t>
  </si>
  <si>
    <t>OTHER PARTS</t>
  </si>
  <si>
    <t>-</t>
  </si>
  <si>
    <t>STANDARD ITEMS</t>
  </si>
  <si>
    <t>CLAMPING PLATE</t>
  </si>
  <si>
    <t>HRS</t>
  </si>
  <si>
    <t>HARDENING + POLISHING</t>
  </si>
  <si>
    <t>TOTAL IN Rs.</t>
  </si>
  <si>
    <t xml:space="preserve">         ( B )</t>
  </si>
  <si>
    <t>III) PROCESS COST :</t>
  </si>
  <si>
    <t>OPERATION</t>
  </si>
  <si>
    <t>MACHINE/ MAN HOUR RATE Rs / Hr ( 3 )</t>
  </si>
  <si>
    <t>TIME REQD.</t>
  </si>
  <si>
    <t>TOTAL COST</t>
  </si>
  <si>
    <t xml:space="preserve"> Hr ( 5 )</t>
  </si>
  <si>
    <t xml:space="preserve"> Rs ( 3X5 )</t>
  </si>
  <si>
    <t>Conv Milling - Facing</t>
  </si>
  <si>
    <t>Conv Milling - End Milling</t>
  </si>
  <si>
    <t>Conv Lathe - Facing / Turning</t>
  </si>
  <si>
    <t>Surface Grinding</t>
  </si>
  <si>
    <t>Cylindrical Grinding</t>
  </si>
  <si>
    <t>Radial Drilling - Hole drilling</t>
  </si>
  <si>
    <t>Radial Drilling - Reaming / Tapping</t>
  </si>
  <si>
    <t>Pillar Drilling</t>
  </si>
  <si>
    <t>Gun Drilling</t>
  </si>
  <si>
    <t>NC EDM</t>
  </si>
  <si>
    <t>Wirecut EDM</t>
  </si>
  <si>
    <t>Jig Boring</t>
  </si>
  <si>
    <t>CNC Lathe</t>
  </si>
  <si>
    <t>CNC Milling</t>
  </si>
  <si>
    <t>CNC EDM</t>
  </si>
  <si>
    <t>Bench Work</t>
  </si>
  <si>
    <t xml:space="preserve">TOTAL PROCESS COST :-                                                            </t>
  </si>
  <si>
    <t xml:space="preserve">         ( C )</t>
  </si>
  <si>
    <t>IV) PROFIT &amp; OVERHEADS COST :</t>
  </si>
  <si>
    <t xml:space="preserve">       %AGE RATE </t>
  </si>
  <si>
    <t xml:space="preserve">TOTAL COST </t>
  </si>
  <si>
    <t>Material Movement &amp; Mold Forwarding</t>
  </si>
  <si>
    <t>PROFIT &amp; OVERHEADS</t>
  </si>
  <si>
    <t xml:space="preserve">         ( D )</t>
  </si>
  <si>
    <t xml:space="preserve">V) OTHER EXPENSES :   Rs.                            </t>
  </si>
  <si>
    <t xml:space="preserve">         ( E )</t>
  </si>
  <si>
    <t>OVERALL  COST : ( A+B+C+D+E )    -  Rs</t>
  </si>
  <si>
    <t xml:space="preserve">( PREPARED BY )  </t>
  </si>
  <si>
    <t xml:space="preserve">( APPROVED BY )  </t>
  </si>
  <si>
    <t>Assumptions</t>
  </si>
  <si>
    <t>• Overall:</t>
  </si>
  <si>
    <t>1.       In relevant cases, an efficiency of 90% is taken into consideration.</t>
  </si>
  <si>
    <t>2.       The complexity of the material has an impact on the raw material selection, machining cost, and design cost of the mould.</t>
  </si>
  <si>
    <t>3.       Typically, a single shift of 8 hours per day is assumed, with one machine in operation. (This can be adjusted in the respective sheets or scenarios.)</t>
  </si>
  <si>
    <t>4.       An overhead profit margin of 10% is accounted for.</t>
  </si>
  <si>
    <t>5.       A service charge of 4% is factored into the calculations.</t>
  </si>
  <si>
    <t>·Cavity Calculation:</t>
  </si>
  <si>
    <t>1.       The injection and dwelling time for the process is set at a duration of 3 seconds.</t>
  </si>
  <si>
    <t>2.       The cooling time required for the part is contingent upon its thickness and the material from which it is made.</t>
  </si>
  <si>
    <t>·Mould Construction:</t>
  </si>
  <si>
    <t>1.       The number of cavities in a mould has a direct relationship with the length and width of the mould.</t>
  </si>
  <si>
    <t>2.       The assumed tolerance between the two parts is 50 mm.</t>
  </si>
  <si>
    <t>3.       The engineering properties of materials have been considered based on standard or mean data.</t>
  </si>
  <si>
    <t>4.       Standard and pre-determined materials are used for different parts of the mould, and they can be changed if necessary.</t>
  </si>
  <si>
    <t>5.       Standard rates are applied to standard items.</t>
  </si>
  <si>
    <t>6.       Standard processes are used for the machining of different component of mould.</t>
  </si>
  <si>
    <t>Mould Dimensions Calculations</t>
  </si>
  <si>
    <t>Mould Dimesnsions</t>
  </si>
  <si>
    <t>Dimensions</t>
  </si>
  <si>
    <t>Length</t>
  </si>
  <si>
    <t>Witdh</t>
  </si>
  <si>
    <t>Height</t>
  </si>
  <si>
    <t>Mould Base Cost</t>
  </si>
  <si>
    <t>Item Description</t>
  </si>
  <si>
    <t>Material</t>
  </si>
  <si>
    <t>Density(g/cm3)</t>
  </si>
  <si>
    <t>Width / Diameter</t>
  </si>
  <si>
    <t>Volume(in cm3)</t>
  </si>
  <si>
    <t>Weight in Kg</t>
  </si>
  <si>
    <t>Total Weight in Kg (10% Machining Allowance)</t>
  </si>
  <si>
    <t>QTY</t>
  </si>
  <si>
    <t>Total weight</t>
  </si>
  <si>
    <t>Price/kg</t>
  </si>
  <si>
    <t>Total Price</t>
  </si>
  <si>
    <t>Top Clamp Plate</t>
  </si>
  <si>
    <t>C-45</t>
  </si>
  <si>
    <t>Bottom Clamp Plate</t>
  </si>
  <si>
    <t>Spacer Block</t>
  </si>
  <si>
    <t>Ejector Retainer Plate</t>
  </si>
  <si>
    <t>Ejector Back Plate</t>
  </si>
  <si>
    <t>Cavity Plate</t>
  </si>
  <si>
    <t>P20</t>
  </si>
  <si>
    <t>Core Plate</t>
  </si>
  <si>
    <t xml:space="preserve">Mould Base  </t>
  </si>
  <si>
    <t>Electrode (Roughing)</t>
  </si>
  <si>
    <t>Graphite</t>
  </si>
  <si>
    <t>Electrode (Finishing)</t>
  </si>
  <si>
    <t>Guide Pillar</t>
  </si>
  <si>
    <t>OHNS</t>
  </si>
  <si>
    <t>Guide Bush</t>
  </si>
  <si>
    <t>Locating Ring / Register Ring</t>
  </si>
  <si>
    <t>Total Mould Weight</t>
  </si>
  <si>
    <t>TOTAL (A1)</t>
  </si>
  <si>
    <t>Total(in KG)</t>
  </si>
  <si>
    <t>Case Hardening Steel</t>
  </si>
  <si>
    <t>Silver Steel</t>
  </si>
  <si>
    <t>HCHCr</t>
  </si>
  <si>
    <t>HDS</t>
  </si>
  <si>
    <t>HSS</t>
  </si>
  <si>
    <t>SG IRON</t>
  </si>
  <si>
    <t>#ERROR#</t>
  </si>
  <si>
    <t>Standard Items</t>
  </si>
  <si>
    <t>Spec / Size</t>
  </si>
  <si>
    <t>Rate / QTY</t>
  </si>
  <si>
    <t>Cost</t>
  </si>
  <si>
    <t>Sprue Bush</t>
  </si>
  <si>
    <t>Fasteners - Mould Clamping</t>
  </si>
  <si>
    <t>Allen Bolt</t>
  </si>
  <si>
    <t>Fasteners - Ejector Mechanism</t>
  </si>
  <si>
    <t>Ejector Pins</t>
  </si>
  <si>
    <t>Return Pins</t>
  </si>
  <si>
    <t>Springs</t>
  </si>
  <si>
    <t>Cooling Nipples</t>
  </si>
  <si>
    <t>Hydraulic Cylinders</t>
  </si>
  <si>
    <t>Total (A2)</t>
  </si>
  <si>
    <t>Total (A1+A2)</t>
  </si>
  <si>
    <t>Others Details</t>
  </si>
  <si>
    <t>TVS/Supplier</t>
  </si>
  <si>
    <t>Time in Hrs</t>
  </si>
  <si>
    <t>Rate / Hour</t>
  </si>
  <si>
    <t>Amount in Rs</t>
  </si>
  <si>
    <t>Dimension Factor</t>
  </si>
  <si>
    <t>Design Cost</t>
  </si>
  <si>
    <t>TVS</t>
  </si>
  <si>
    <t>Assembly Cost</t>
  </si>
  <si>
    <t>Mold Flow Charges</t>
  </si>
  <si>
    <t>Trial Charges</t>
  </si>
  <si>
    <t>Surface Generation</t>
  </si>
  <si>
    <t>Inspection &amp; Proving</t>
  </si>
  <si>
    <t>TOTAL (C)</t>
  </si>
  <si>
    <t>TOTAL(A+B+C)</t>
  </si>
  <si>
    <t>Conversion / Machining Cost</t>
  </si>
  <si>
    <t>TOTAL HOUR</t>
  </si>
  <si>
    <t>CF</t>
  </si>
  <si>
    <t>Total(D)</t>
  </si>
  <si>
    <t>In-house / 
Sub-Contract</t>
  </si>
  <si>
    <t>Weight / Hours</t>
  </si>
  <si>
    <t>Amount</t>
  </si>
  <si>
    <t>Mould Polishing</t>
  </si>
  <si>
    <t>Heat-treatment</t>
  </si>
  <si>
    <t>Total (E)</t>
  </si>
  <si>
    <t>(D) Total Machining Cost</t>
  </si>
  <si>
    <t>F</t>
  </si>
  <si>
    <t>Scrap Recovery</t>
  </si>
  <si>
    <t>G</t>
  </si>
  <si>
    <t>Sub Totals (A+B+C+D+E-F)</t>
  </si>
  <si>
    <t>H</t>
  </si>
  <si>
    <t>Overheads &amp; Profit</t>
  </si>
  <si>
    <t>I</t>
  </si>
  <si>
    <t>J</t>
  </si>
  <si>
    <t>Hot Runner</t>
  </si>
  <si>
    <t>K</t>
  </si>
  <si>
    <t>Texturizing Cost</t>
  </si>
  <si>
    <t>chk how to calc</t>
  </si>
  <si>
    <t>L</t>
  </si>
  <si>
    <t>Service Charges</t>
  </si>
  <si>
    <t>Total Tool Cost</t>
  </si>
  <si>
    <t xml:space="preserve">V) OTHER EXPENSES :                         </t>
  </si>
  <si>
    <t>index</t>
  </si>
  <si>
    <t>Index</t>
  </si>
  <si>
    <t>PART NO</t>
  </si>
  <si>
    <t>Don’t edit Value in RED</t>
  </si>
  <si>
    <t>PART DESCRIPTION</t>
  </si>
  <si>
    <t>Input</t>
  </si>
  <si>
    <t>Unit</t>
  </si>
  <si>
    <t>Remarks</t>
  </si>
  <si>
    <t>Part Cost</t>
  </si>
  <si>
    <t>mm</t>
  </si>
  <si>
    <t>Longest dimesnion of part</t>
  </si>
  <si>
    <t>Total cost/part</t>
  </si>
  <si>
    <t>Width</t>
  </si>
  <si>
    <t>Second longest</t>
  </si>
  <si>
    <t>No of parts</t>
  </si>
  <si>
    <t>Smallest dimension</t>
  </si>
  <si>
    <t>Total cost</t>
  </si>
  <si>
    <t>Interchange Dim.</t>
  </si>
  <si>
    <t>Check for the cost change</t>
  </si>
  <si>
    <t>Avg. Wall Thickness</t>
  </si>
  <si>
    <t>Part Thickness</t>
  </si>
  <si>
    <t>Max. wall Thickness</t>
  </si>
  <si>
    <t>Part Material</t>
  </si>
  <si>
    <t>ABS</t>
  </si>
  <si>
    <t>Material used for moulding</t>
  </si>
  <si>
    <t>COST/Part inc. mould</t>
  </si>
  <si>
    <t>Injection Pressure</t>
  </si>
  <si>
    <t>kg/cm2</t>
  </si>
  <si>
    <t xml:space="preserve">Based on Tonnage </t>
  </si>
  <si>
    <t>Daily expense</t>
  </si>
  <si>
    <t>No of Cavity</t>
  </si>
  <si>
    <t>Auto/Manual</t>
  </si>
  <si>
    <t>Enter Cavity no</t>
  </si>
  <si>
    <t>nos</t>
  </si>
  <si>
    <t>Enter manual cavity no in this box</t>
  </si>
  <si>
    <t>Cavity no</t>
  </si>
  <si>
    <t>Cost per part</t>
  </si>
  <si>
    <t>Complexity Factor</t>
  </si>
  <si>
    <t>Least=1 - Highest=5</t>
  </si>
  <si>
    <t>Part Projection</t>
  </si>
  <si>
    <t>in %</t>
  </si>
  <si>
    <t>No of machine</t>
  </si>
  <si>
    <t>Daily Production</t>
  </si>
  <si>
    <t>in nos</t>
  </si>
  <si>
    <t xml:space="preserve">Total Part </t>
  </si>
  <si>
    <t>Total part that is required</t>
  </si>
  <si>
    <t>Complexity fact</t>
  </si>
  <si>
    <t>MOULD SIZE</t>
  </si>
  <si>
    <t>Ratio</t>
  </si>
  <si>
    <t>Consider Complexity</t>
  </si>
  <si>
    <t>Total Mould Cost</t>
  </si>
  <si>
    <t>Material Cost</t>
  </si>
  <si>
    <t>Conversion Cost</t>
  </si>
  <si>
    <t>Texturizing</t>
  </si>
  <si>
    <t>Design &amp; Mould Flow</t>
  </si>
  <si>
    <t>Polishing &amp; Treatment</t>
  </si>
  <si>
    <t>Packaging &amp; Movement</t>
  </si>
  <si>
    <t>Profit &amp; Overhead</t>
  </si>
  <si>
    <t>Various Tool Steel</t>
  </si>
  <si>
    <t>Density(g/cc3)</t>
  </si>
  <si>
    <t>Uses</t>
  </si>
  <si>
    <t>Price/Kg</t>
  </si>
  <si>
    <t>RM cost</t>
  </si>
  <si>
    <t>Extra cost</t>
  </si>
  <si>
    <t>Total</t>
  </si>
  <si>
    <t>Machining Process</t>
  </si>
  <si>
    <t>MRR in cm3/min</t>
  </si>
  <si>
    <t>MHR</t>
  </si>
  <si>
    <t>Column1</t>
  </si>
  <si>
    <t>Top &amp; Bottom Bolster, Housing, Ejector Plate, Spacers, Locating Ring</t>
  </si>
  <si>
    <t>Pillar &amp; Bush, Stripper Bolts, wear plates, Finger cams, Etc</t>
  </si>
  <si>
    <t>Ejector pins</t>
  </si>
  <si>
    <t>Push back pin, Ejector pin, Sprue Bush, Wear plates, Pillar and Bush, Forming Punches</t>
  </si>
  <si>
    <t>Punch, Die, Inserts, Piercing punches</t>
  </si>
  <si>
    <t>Core &amp; Cavity,Inserts, Core pins, Ejector pins</t>
  </si>
  <si>
    <t>Piercing punches &amp; Die</t>
  </si>
  <si>
    <t>Housing for Pressure Die casting</t>
  </si>
  <si>
    <t>Core &amp; Cavity of Plastic Mould</t>
  </si>
  <si>
    <t>Dievar</t>
  </si>
  <si>
    <t xml:space="preserve">Casting core &amp; cavity-Surface finish will be good </t>
  </si>
  <si>
    <t>FCD55</t>
  </si>
  <si>
    <t>mold base</t>
  </si>
  <si>
    <t>EN8</t>
  </si>
  <si>
    <t>Orvar</t>
  </si>
  <si>
    <t>core &amp; cavity-casting</t>
  </si>
  <si>
    <t>electrode</t>
  </si>
  <si>
    <t>Tonnage Constant(/cm2)</t>
  </si>
  <si>
    <t>Density</t>
  </si>
  <si>
    <t>Young modulus</t>
  </si>
  <si>
    <t>PS</t>
  </si>
  <si>
    <t>PE</t>
  </si>
  <si>
    <t>PP</t>
  </si>
  <si>
    <t>PA-unfilled-dupont</t>
  </si>
  <si>
    <t>POM</t>
  </si>
  <si>
    <t>Glass fiber-Plain</t>
  </si>
  <si>
    <t>Nylon-srf</t>
  </si>
  <si>
    <t xml:space="preserve">Part </t>
  </si>
  <si>
    <t>unit</t>
  </si>
  <si>
    <t>Mould Dimensions Calculation based on Part Data</t>
  </si>
  <si>
    <t xml:space="preserve">Width </t>
  </si>
  <si>
    <t>Volume</t>
  </si>
  <si>
    <t>mm3</t>
  </si>
  <si>
    <t xml:space="preserve">Height </t>
  </si>
  <si>
    <t>%Projection</t>
  </si>
  <si>
    <t>Cavity</t>
  </si>
  <si>
    <t>Projected Area(in mm2)</t>
  </si>
  <si>
    <t>mm2</t>
  </si>
  <si>
    <t>Gap between cavity(T)</t>
  </si>
  <si>
    <t>surface area(Better estimation then projection area)</t>
  </si>
  <si>
    <t>Material Used</t>
  </si>
  <si>
    <t>Volume(in mm2)</t>
  </si>
  <si>
    <t>No ofCavity</t>
  </si>
  <si>
    <t xml:space="preserve">No of parts( Dmd. ) </t>
  </si>
  <si>
    <t>Cycle Time</t>
  </si>
  <si>
    <t>sec</t>
  </si>
  <si>
    <t>Max wall thickness</t>
  </si>
  <si>
    <t>Daily production</t>
  </si>
  <si>
    <t>increase no of machine</t>
  </si>
  <si>
    <t>Output</t>
  </si>
  <si>
    <t>Price</t>
  </si>
  <si>
    <t>Mould Cost</t>
  </si>
  <si>
    <t>TOTAL WORKING HOUR</t>
  </si>
  <si>
    <t xml:space="preserve">Total Part cost </t>
  </si>
  <si>
    <t>per day cost</t>
  </si>
  <si>
    <t>CYCLE TIME</t>
  </si>
  <si>
    <t>no of cycle/day</t>
  </si>
  <si>
    <t xml:space="preserve">NO OF CYCLE </t>
  </si>
  <si>
    <t>total cycle</t>
  </si>
  <si>
    <t>WASTE TIME</t>
  </si>
  <si>
    <t>Total price</t>
  </si>
  <si>
    <t>NET CYCLE</t>
  </si>
  <si>
    <t>P/SEC</t>
  </si>
  <si>
    <t>PART PRODUCE</t>
  </si>
  <si>
    <t>NO OF WORKING DAY REQ</t>
  </si>
  <si>
    <t>PROFIT</t>
  </si>
  <si>
    <t>NET PROFIT</t>
  </si>
  <si>
    <t>PER DAY PROFIT</t>
  </si>
  <si>
    <t>Cavity Calculation</t>
  </si>
  <si>
    <t>Cycle Time calculation</t>
  </si>
  <si>
    <t>Value in Sec</t>
  </si>
  <si>
    <t>Value</t>
  </si>
  <si>
    <t>T1 = Injection time + dwelling time</t>
  </si>
  <si>
    <t>Daily Requirements</t>
  </si>
  <si>
    <t>No.s</t>
  </si>
  <si>
    <t>T2 = Cooling time</t>
  </si>
  <si>
    <t>Efficiency (Labour &amp; Machine)</t>
  </si>
  <si>
    <t>T3 = Time required to remove the molded product</t>
  </si>
  <si>
    <t>Material Rejection</t>
  </si>
  <si>
    <t>T4 = Time needed for opening and closing the mold</t>
  </si>
  <si>
    <t>Cycle Time / Part</t>
  </si>
  <si>
    <t>Secs</t>
  </si>
  <si>
    <t>Cycle Time /Part</t>
  </si>
  <si>
    <t>Hours</t>
  </si>
  <si>
    <t>Nominal thickness</t>
  </si>
  <si>
    <t>Hours per Shift</t>
  </si>
  <si>
    <t>Cooling time data</t>
  </si>
  <si>
    <t>No of Shift</t>
  </si>
  <si>
    <t>Thickness</t>
  </si>
  <si>
    <t>Actual QTY Required (Considering efficiency)</t>
  </si>
  <si>
    <t>Production QTY Req. (Considering Material Rej)</t>
  </si>
  <si>
    <t>Required QTY(Rounding off to nearest integer)</t>
  </si>
  <si>
    <t>Time Required to produce per day requirement</t>
  </si>
  <si>
    <t>Time Available for production</t>
  </si>
  <si>
    <t>PC</t>
  </si>
  <si>
    <t>No of Cavity (Calculated)</t>
  </si>
  <si>
    <t>Round of cavity( based on No of part)</t>
  </si>
  <si>
    <t>No of cavity( As per part length)</t>
  </si>
  <si>
    <t>cavity 1</t>
  </si>
  <si>
    <t>cavity 2</t>
  </si>
  <si>
    <t>cavity 4</t>
  </si>
  <si>
    <t>cavity 6</t>
  </si>
  <si>
    <t>cavity 8</t>
  </si>
  <si>
    <t>Part</t>
  </si>
  <si>
    <t>Mould</t>
  </si>
  <si>
    <t>Complexity index</t>
  </si>
  <si>
    <t>Complexity factor</t>
  </si>
  <si>
    <t>Mould Complexity Rating Scale for Injection Moulding:</t>
  </si>
  <si>
    <t xml:space="preserve">0.5: Very Simple Part (Easy to Design) </t>
  </si>
  <si>
    <t>·This rating indicates that the part design is straightforward and uncomplicated. It doesn't require any complex features or additional components. Designing the mould for this part should be relatively simple.</t>
  </si>
  <si>
    <t xml:space="preserve">1: Normal Part (Generally Symmetric) </t>
  </si>
  <si>
    <t>·A rating of 1 suggests that the part is relatively common and exhibits symmetrical characteristics. The mould design should follow standard practices and considerations for ensuring balanced filling and ejection.</t>
  </si>
  <si>
    <t xml:space="preserve">2: Normal Part (Use of Side Cores, Lifters, Inserts Pins for Adding Features) </t>
  </si>
  <si>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</si>
  <si>
    <t>3: Moderately Complex Part</t>
  </si>
  <si>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</si>
  <si>
    <t xml:space="preserve">4: Complex Part, High Features, More Holes, Instruction Need to be Followed </t>
  </si>
  <si>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</si>
  <si>
    <t>5: Very Complex Part, Lots of Features, Large Part Size, High Electrode Requirement, Detailed Design Instructions</t>
  </si>
  <si>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</si>
  <si>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</si>
  <si>
    <t>Guide Pillar Working Diameter Calculation</t>
  </si>
  <si>
    <t>Overall Dimension of Guide Pillar=</t>
  </si>
  <si>
    <t>Working Diameter of Guide Pillar(d)+1+1</t>
  </si>
  <si>
    <t>in cm</t>
  </si>
  <si>
    <t>Side Thrust(Q) acting on the guide pillar</t>
  </si>
  <si>
    <t>Q = 2/3 x D x h x Pc</t>
  </si>
  <si>
    <t>ø</t>
  </si>
  <si>
    <t>Where,</t>
  </si>
  <si>
    <t>in Kg</t>
  </si>
  <si>
    <t>D is the diameter of the part</t>
  </si>
  <si>
    <t>h is the height of th part</t>
  </si>
  <si>
    <t>Pc is the cavity pressure</t>
  </si>
  <si>
    <t>Working diameter(d) of guide pillar is given by</t>
  </si>
  <si>
    <t>d ≥ Ö (4 x Q)/ (N x fs x p)</t>
  </si>
  <si>
    <t>Where</t>
  </si>
  <si>
    <t>N is the no. of guide pillars</t>
  </si>
  <si>
    <t>fs is the shear force for steel</t>
  </si>
  <si>
    <t>Kg/cm2</t>
  </si>
  <si>
    <t>Mould Dimensions</t>
  </si>
  <si>
    <t>Mould Layout</t>
  </si>
  <si>
    <t>in mm</t>
  </si>
  <si>
    <t>cavity</t>
  </si>
  <si>
    <t>l=length of part</t>
  </si>
  <si>
    <t>L(formula)</t>
  </si>
  <si>
    <t>l+2G</t>
  </si>
  <si>
    <t>2l+T+2G</t>
  </si>
  <si>
    <t>3T+4l+2G</t>
  </si>
  <si>
    <t>w=width of part</t>
  </si>
  <si>
    <t>Value in mm</t>
  </si>
  <si>
    <t>T=tolerance b/w parts</t>
  </si>
  <si>
    <t>W(formula)</t>
  </si>
  <si>
    <t>w+2G</t>
  </si>
  <si>
    <t>2G+w</t>
  </si>
  <si>
    <t>T+2w+2G</t>
  </si>
  <si>
    <t>3w+2T+2G</t>
  </si>
  <si>
    <t>2w+T+2G</t>
  </si>
  <si>
    <t>G=Guide pillar clearance</t>
  </si>
  <si>
    <t>Core Plate thickness</t>
  </si>
  <si>
    <t>Database</t>
  </si>
  <si>
    <t>Considering the core plate as a simply supported beam with uniformly distributed load</t>
  </si>
  <si>
    <t>COF,u</t>
  </si>
  <si>
    <t>Poisson's ratio</t>
  </si>
  <si>
    <t>COE</t>
  </si>
  <si>
    <t>Soft. Temp</t>
  </si>
  <si>
    <t>t is the thickness of the plate in cm</t>
  </si>
  <si>
    <t>w is the load acting on the plate = injection pressure in kg/cm2</t>
  </si>
  <si>
    <t>l is the length of the plate in cm</t>
  </si>
  <si>
    <t>E is the moulus of elasticity  (for steel)</t>
  </si>
  <si>
    <t xml:space="preserve"> kg / cm2</t>
  </si>
  <si>
    <t>2 x 106</t>
  </si>
  <si>
    <t>d is the width of the plate in cm</t>
  </si>
  <si>
    <t>d is the maximum allowable deflection 0.005 cm</t>
  </si>
  <si>
    <t>Runner Diameter = Max Part Wall Thickness+1.5</t>
  </si>
  <si>
    <t>Gate Diameter = dr/dg=4.5</t>
  </si>
  <si>
    <t>Ejector Force Calculation</t>
  </si>
  <si>
    <t>Fp</t>
  </si>
  <si>
    <t>kN</t>
  </si>
  <si>
    <t>Ejector plate thickness</t>
  </si>
  <si>
    <t>KgF</t>
  </si>
  <si>
    <t>Considering both ejector plate and ejector back plate as simply supported beam with uniformly distributed load</t>
  </si>
  <si>
    <t>`</t>
  </si>
  <si>
    <t xml:space="preserve"> t=3Ö5 w l4  / 32 E d d=</t>
  </si>
  <si>
    <t>cm</t>
  </si>
  <si>
    <t>Total Ejection Force</t>
  </si>
  <si>
    <t>Ejection force required in Kgf , w=</t>
  </si>
  <si>
    <t>Length of the ejector plate in cm, l=</t>
  </si>
  <si>
    <t>Moulus of elasticity 2 x 106 kg / cm2 (for steel), E=</t>
  </si>
  <si>
    <t>Width of the ejector plate in cm, d=</t>
  </si>
  <si>
    <t>Maximum allowable deflection 0.005 cm</t>
  </si>
  <si>
    <t>where</t>
  </si>
  <si>
    <t>kn</t>
  </si>
  <si>
    <t>Ejection resistance force (N)</t>
  </si>
  <si>
    <t>E</t>
  </si>
  <si>
    <t>(N/cm2)</t>
  </si>
  <si>
    <t>Young’s modulus of the polymer</t>
  </si>
  <si>
    <t>A</t>
  </si>
  <si>
    <t>(cm2)</t>
  </si>
  <si>
    <t>total surface area of moulding in contact with cavity or core, in line of draw</t>
  </si>
  <si>
    <t>μ</t>
  </si>
  <si>
    <t>coefficient of friction, polymer on steel</t>
  </si>
  <si>
    <t>m</t>
  </si>
  <si>
    <t>Poisson’s ratio</t>
  </si>
  <si>
    <t>d</t>
  </si>
  <si>
    <t>(cm)</t>
  </si>
  <si>
    <t>the diameter of a circle whose circumference is equal to the total projected perimeter of the moulding</t>
  </si>
  <si>
    <t>∝</t>
  </si>
  <si>
    <t>(cm/°C)</t>
  </si>
  <si>
    <t>the coefficient of linear expansion of the polymer</t>
  </si>
  <si>
    <t>Δt</t>
  </si>
  <si>
    <t xml:space="preserve"> (°C)</t>
  </si>
  <si>
    <t>(polymer softening temperature) - (mould tool temperature)</t>
  </si>
  <si>
    <t>t</t>
  </si>
  <si>
    <t>average wall thickness of part</t>
  </si>
  <si>
    <t>Opn No</t>
  </si>
  <si>
    <t>Operation Name</t>
  </si>
  <si>
    <t>M/c Selected</t>
  </si>
  <si>
    <t>Initial Volume in cm3</t>
  </si>
  <si>
    <t>Final Volume in cm3</t>
  </si>
  <si>
    <t>Material to be removed in cm3</t>
  </si>
  <si>
    <t>Standard MRR in cm3 per min</t>
  </si>
  <si>
    <t>Cycle Time in Mins</t>
  </si>
  <si>
    <t>Programming</t>
  </si>
  <si>
    <t>Tool Change Time</t>
  </si>
  <si>
    <t>Fixture Set-up time in mins</t>
  </si>
  <si>
    <t>M/c Time in Hrs</t>
  </si>
  <si>
    <t>Rough Milling - Sizing</t>
  </si>
  <si>
    <t>Finishing</t>
  </si>
  <si>
    <t>Drilling - Locating Ring &amp; Sprue Bush</t>
  </si>
  <si>
    <t>Boring - Sprue Bush</t>
  </si>
  <si>
    <t>Tapping</t>
  </si>
  <si>
    <t>Drilling - For Knock-out rod</t>
  </si>
  <si>
    <t>M/c Time</t>
  </si>
  <si>
    <t>Drilling - As a air vent</t>
  </si>
  <si>
    <t>Drilling - For Clamping</t>
  </si>
  <si>
    <t>Drilling - For Ejector Pins</t>
  </si>
  <si>
    <t>Boring - For Ejector Pins Collar</t>
  </si>
  <si>
    <t>EJector pin Hole</t>
  </si>
  <si>
    <t>Material to be removed in m3</t>
  </si>
  <si>
    <t>Drilling - For Allen Screw</t>
  </si>
  <si>
    <t>Boring - For Allen Screw</t>
  </si>
  <si>
    <t>Rough Milling - Pre-machining</t>
  </si>
  <si>
    <t>Drilling - For Guide Pillar</t>
  </si>
  <si>
    <t>Boring - For Guide Pillar Collar</t>
  </si>
  <si>
    <t>Finishing - Part Size</t>
  </si>
  <si>
    <t>Sparking</t>
  </si>
  <si>
    <t>Need to arrive at break-up</t>
  </si>
  <si>
    <t>Drilling - For Cooling Channels</t>
  </si>
  <si>
    <t>Grinding - For Vent</t>
  </si>
  <si>
    <t>Finish Milling - Runner Diameter</t>
  </si>
  <si>
    <t>Standard MRR in icm per min</t>
  </si>
  <si>
    <t>Turning - Working Diameter ( Dia 29 x 91)</t>
  </si>
  <si>
    <t>Turning - Fitting Diameter ( Dia 39 x 91)</t>
  </si>
  <si>
    <t>Turning - Collar Diameter ( Dia 29 x 91)</t>
  </si>
  <si>
    <t>To be worked-out properly</t>
  </si>
  <si>
    <t>Parting-off</t>
  </si>
  <si>
    <t>Grooving</t>
  </si>
  <si>
    <t>Cylindrical Grinding - Before Heat treatment</t>
  </si>
  <si>
    <t>Cylindrical Grinding - After Heat treatment</t>
  </si>
  <si>
    <t xml:space="preserve">TVSM MHR  cost Norms </t>
  </si>
  <si>
    <t>Sl.No.</t>
  </si>
  <si>
    <t>Tonnage</t>
  </si>
  <si>
    <t>Machine Hourly Rate</t>
  </si>
  <si>
    <t>M/c Tonnage</t>
  </si>
  <si>
    <t>=</t>
  </si>
  <si>
    <t>Tonnage constant</t>
  </si>
  <si>
    <t>*</t>
  </si>
  <si>
    <t>Projected Area</t>
  </si>
  <si>
    <t>Machine operation cost due to tonnage</t>
  </si>
  <si>
    <t>Cycle time(s)</t>
  </si>
  <si>
    <t>Hour</t>
  </si>
  <si>
    <t>No. of Part</t>
  </si>
  <si>
    <t>Cost for Tonnage</t>
  </si>
  <si>
    <t>Tonnage Constant(/mm2)</t>
  </si>
  <si>
    <t>Raw Material</t>
  </si>
  <si>
    <t>Raw material cost</t>
  </si>
  <si>
    <t>Part that can be prouduced in one day per machine</t>
  </si>
  <si>
    <t>Net weight(in kg)</t>
  </si>
  <si>
    <t>with 90% eff.</t>
  </si>
  <si>
    <t>Raw material cost/Part</t>
  </si>
  <si>
    <t xml:space="preserve">Cavity </t>
  </si>
  <si>
    <t xml:space="preserve">Cycle time </t>
  </si>
  <si>
    <t>Part production/hour</t>
  </si>
  <si>
    <t xml:space="preserve">Converstion cost </t>
  </si>
  <si>
    <t xml:space="preserve">Manufacturing cost </t>
  </si>
  <si>
    <t>Over head and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</si>
</sst>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 &quot;₹&quot;\ * #,##0.00_ ;_ &quot;₹&quot;\ * \-#,##0.00_ ;_ &quot;₹&quot;\ * &quot;-&quot;??_ ;_ @_ "/>
    <numFmt numFmtId="43" formatCode="_ * #,##0.00_ ;_ * \-#,##0.00_ ;_ * &quot;-&quot;??_ ;_ @_ "/>
    <numFmt numFmtId="164" formatCode="_(* #,##0.0_);_(* \(#,##0.0\);_(* &quot;-&quot;??_);_(@_)"/>
    <numFmt numFmtId="165" formatCode="0_ "/>
    <numFmt numFmtId="166" formatCode="_ &quot;₹&quot;\ * #,##0_ ;_ &quot;₹&quot;\ * \-#,##0_ ;_ &quot;₹&quot;\ * &quot;-&quot;??_ ;_ @_ "/>
    <numFmt numFmtId="167" formatCode="dd/mm/yyyy\ hh:mm:ss"/>
    <numFmt numFmtId="168" formatCode="_(* #,##0_);_(* \(#,##0\);_(* &quot;-&quot;??_);_(@_)"/>
    <numFmt numFmtId="169" formatCode="0.0%"/>
    <numFmt numFmtId="170" formatCode="0.000%"/>
    <numFmt numFmtId="171" formatCode="dd/mm/yyyy\,hh:mm:ss"/>
    <numFmt numFmtId="172" formatCode="_ [$₹-4009]\ * #,##0_ ;_ [$₹-4009]\ * \-#,##0_ ;_ [$₹-4009]\ * &quot;-&quot;??_ ;_ @_ "/>
    <numFmt numFmtId="173" formatCode="0.0"/>
    <numFmt numFmtId="174" formatCode="0.000"/>
    <numFmt numFmtId="175" formatCode="dd/mm/yy\,hh:mm:ss"/>
  </numFmts>
  <fonts count="5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1"/>
      <color rgb="FF0000CC"/>
      <name val="Calibri"/>
      <family val="2"/>
      <scheme val="minor"/>
    </font>
    <font>
      <b/>
      <sz val="11"/>
      <color rgb="FF000000"/>
      <name val="Calibri"/>
      <family val="2"/>
      <scheme val="minor"/>
    </font>
    <font>
      <sz val="11"/>
      <color rgb="FF000000"/>
      <name val="Calibri"/>
      <family val="2"/>
      <scheme val="minor"/>
    </font>
    <font>
      <b/>
      <sz val="11"/>
      <color rgb="FF002060"/>
      <name val="Calibri"/>
      <family val="2"/>
      <scheme val="minor"/>
    </font>
    <font>
      <b/>
      <sz val="11"/>
      <color rgb="FF3F3F3F"/>
      <name val="Calibri"/>
      <family val="2"/>
      <scheme val="minor"/>
    </font>
    <font>
      <sz val="18"/>
      <color theme="1"/>
      <name val="Calibri"/>
      <family val="2"/>
      <scheme val="minor"/>
    </font>
    <font>
      <b/>
      <sz val="14"/>
      <color theme="1"/>
      <name val="Calibri"/>
      <family val="2"/>
      <scheme val="minor"/>
    </font>
    <font>
      <b/>
      <sz val="11"/>
      <color theme="1"/>
      <name val="Calibri"/>
      <family val="2"/>
      <scheme val="minor"/>
    </font>
    <font>
      <sz val="10"/>
      <color theme="0"/>
      <name val="Arial"/>
      <family val="2"/>
    </font>
    <font>
      <sz val="11"/>
      <color theme="0"/>
      <name val="Calibri"/>
      <family val="2"/>
      <scheme val="minor"/>
    </font>
    <font>
      <sz val="11"/>
      <name val="Calibri"/>
      <family val="2"/>
      <scheme val="minor"/>
    </font>
    <font>
      <sz val="14"/>
      <color theme="1"/>
      <name val="Calibri"/>
      <family val="2"/>
      <scheme val="minor"/>
    </font>
    <font>
      <b/>
      <sz val="11"/>
      <name val="Calibri"/>
      <family val="2"/>
      <scheme val="minor"/>
    </font>
    <font>
      <sz val="11"/>
      <color theme="1"/>
      <name val="Calibri"/>
      <family val="2"/>
    </font>
    <font>
      <sz val="11"/>
      <color indexed="8"/>
      <name val="Calibri"/>
      <family val="2"/>
    </font>
    <font>
      <b/>
      <u/>
      <sz val="11"/>
      <color theme="1"/>
      <name val="Calibri"/>
      <family val="2"/>
      <scheme val="minor"/>
    </font>
    <font>
      <sz val="11"/>
      <color rgb="FFFF0000"/>
      <name val="Calibri"/>
      <family val="2"/>
      <scheme val="minor"/>
    </font>
    <font>
      <sz val="20"/>
      <color theme="1"/>
      <name val="Calibri"/>
      <family val="2"/>
    </font>
    <font>
      <sz val="11"/>
      <color rgb="FF2F2E2E"/>
      <name val="Calibri"/>
      <family val="2"/>
      <scheme val="minor"/>
    </font>
    <font>
      <b/>
      <sz val="11"/>
      <color rgb="FF333333"/>
      <name val="Calibri"/>
      <family val="2"/>
      <scheme val="minor"/>
    </font>
    <font>
      <sz val="11"/>
      <color rgb="FF333333"/>
      <name val="Calibri"/>
      <family val="2"/>
      <scheme val="minor"/>
    </font>
    <font>
      <b/>
      <sz val="18"/>
      <color theme="0"/>
      <name val="Calibri"/>
      <family val="2"/>
      <scheme val="minor"/>
    </font>
    <font>
      <sz val="9"/>
      <color theme="1"/>
      <name val="Arial"/>
      <family val="2"/>
    </font>
    <font>
      <sz val="11"/>
      <color theme="1"/>
      <name val="Arial"/>
      <family val="2"/>
    </font>
    <font>
      <sz val="11"/>
      <color rgb="FF0070C0"/>
      <name val="Calibri"/>
      <family val="2"/>
      <scheme val="minor"/>
    </font>
    <font>
      <sz val="20"/>
      <color theme="1"/>
      <name val="Calibri"/>
      <family val="2"/>
      <scheme val="minor"/>
    </font>
    <font>
      <b/>
      <sz val="16"/>
      <color theme="1"/>
      <name val="Calibri"/>
      <family val="2"/>
    </font>
    <font>
      <b/>
      <sz val="11"/>
      <color theme="1"/>
      <name val="Calibri"/>
      <family val="2"/>
    </font>
    <font>
      <sz val="11"/>
      <color theme="1"/>
      <name val="Calibri"/>
      <family val="2"/>
    </font>
    <font>
      <b/>
      <sz val="11"/>
      <color theme="1"/>
      <name val="Symbol"/>
      <family val="1"/>
      <charset val="2"/>
    </font>
    <font>
      <sz val="11"/>
      <color theme="1"/>
      <name val="Calibri"/>
      <family val="2"/>
      <scheme val="minor"/>
    </font>
    <font>
      <sz val="11"/>
      <color theme="1"/>
      <name val="Symbol"/>
      <family val="1"/>
      <charset val="2"/>
    </font>
    <font>
      <sz val="14"/>
      <color theme="0"/>
      <name val="Calibri"/>
      <family val="2"/>
      <scheme val="minor"/>
    </font>
    <font>
      <b/>
      <sz val="11"/>
      <color rgb="FFFF0000"/>
      <name val="Calibri"/>
      <family val="2"/>
      <scheme val="minor"/>
    </font>
    <font>
      <b/>
      <sz val="36"/>
      <name val="Ebrima"/>
    </font>
    <font>
      <sz val="24"/>
      <name val="Ebrima"/>
    </font>
    <font>
      <b/>
      <sz val="24"/>
      <name val="Ebrima"/>
    </font>
    <font>
      <b/>
      <u/>
      <sz val="24"/>
      <name val="Ebrima"/>
    </font>
    <font>
      <sz val="22"/>
      <color rgb="FF000000"/>
      <name val="Arial"/>
      <family val="2"/>
    </font>
    <font>
      <b/>
      <sz val="24"/>
      <color rgb="FFFF0000"/>
      <name val="Ebrima"/>
    </font>
    <font>
      <b/>
      <sz val="28"/>
      <name val="Ebrima"/>
    </font>
    <font>
      <sz val="24"/>
      <color rgb="FFFF0000"/>
      <name val="Ebrima"/>
    </font>
  </fonts>
  <fills count="36">
    <fill>
      <patternFill patternType="none"/>
    </fill>
    <fill>
      <patternFill patternType="gray125"/>
    </fill>
    <fill>
      <patternFill patternType="solid">
        <fgColor theme="9" tint="0.79995117038483843"/>
        <bgColor indexed="64"/>
      </patternFill>
    </fill>
    <fill>
      <patternFill patternType="solid">
        <fgColor theme="5" tint="0.59999389629810485"/>
        <bgColor rgb="FF000000"/>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9" tint="0.3999450666829432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theme="7" tint="0.59999389629810485"/>
        <bgColor theme="6"/>
      </patternFill>
    </fill>
    <fill>
      <patternFill patternType="solid">
        <fgColor theme="7" tint="0.59999389629810485"/>
        <bgColor theme="6" tint="0.79995117038483843"/>
      </patternFill>
    </fill>
    <fill>
      <patternFill patternType="solid">
        <fgColor theme="4" tint="0.79995117038483843"/>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FFFF"/>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7" tint="0.7999511703848384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39997558519241921"/>
        <bgColor indexed="64"/>
      </patternFill>
    </fill>
    <fill>
      <patternFill patternType="solid">
        <fgColor theme="1"/>
        <bgColor indexed="64"/>
      </patternFill>
    </fill>
  </fills>
  <borders count="8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10">
    <xf numFmtId="0" fontId="0" fillId="0" borderId="0"/>
    <xf numFmtId="43" fontId="40" fillId="0" borderId="0"/>
    <xf numFmtId="44" fontId="40" fillId="0" borderId="0"/>
    <xf numFmtId="9" fontId="40" fillId="0" borderId="0"/>
    <xf numFmtId="0" fontId="40" fillId="32" borderId="0"/>
    <xf numFmtId="0" fontId="14" fillId="8" borderId="4"/>
    <xf numFmtId="0" fontId="9" fillId="0" borderId="0"/>
    <xf numFmtId="0" fontId="40" fillId="29" borderId="0"/>
    <xf numFmtId="43" fontId="40" fillId="0" borderId="0"/>
    <xf numFmtId="43" fontId="9" fillId="0" borderId="0"/>
  </cellStyleXfs>
  <cellXfs count="555">
    <xf numFmtId="0" fontId="0" fillId="0" borderId="0" xfId="0"/>
    <xf numFmtId="0" fontId="9" fillId="0" borderId="1" xfId="0" applyFont="1" applyBorder="1"/>
    <xf numFmtId="0" fontId="9" fillId="0" borderId="1" xfId="0" applyFont="1" applyBorder="1" applyAlignment="1">
      <alignment horizontal="center"/>
    </xf>
    <xf numFmtId="2" fontId="9" fillId="0" borderId="1" xfId="0" applyNumberFormat="1" applyFont="1" applyBorder="1"/>
    <xf numFmtId="0" fontId="9" fillId="2" borderId="1" xfId="0" applyFont="1" applyFill="1" applyBorder="1"/>
    <xf numFmtId="0" fontId="0" fillId="2" borderId="1" xfId="0" applyFill="1" applyBorder="1"/>
    <xf numFmtId="0" fontId="10" fillId="0" borderId="0" xfId="0" applyFont="1" applyAlignment="1">
      <alignment horizontal="left"/>
    </xf>
    <xf numFmtId="0" fontId="11" fillId="3" borderId="2" xfId="0" applyFont="1" applyFill="1" applyBorder="1" applyAlignment="1">
      <alignment horizontal="center" vertical="center" wrapText="1"/>
    </xf>
    <xf numFmtId="0" fontId="12" fillId="0" borderId="0" xfId="0" applyFont="1"/>
    <xf numFmtId="0" fontId="0" fillId="4" borderId="1" xfId="0" applyFill="1" applyBorder="1" applyAlignment="1">
      <alignment horizontal="center" vertical="center"/>
    </xf>
    <xf numFmtId="0" fontId="0" fillId="5" borderId="1" xfId="4" applyFont="1" applyFill="1" applyBorder="1" applyAlignment="1">
      <alignment horizontal="center" vertical="center"/>
    </xf>
    <xf numFmtId="0" fontId="40" fillId="5" borderId="1" xfId="4" applyFill="1" applyBorder="1" applyAlignment="1">
      <alignment horizontal="center" vertical="center"/>
    </xf>
    <xf numFmtId="0" fontId="0" fillId="5" borderId="1" xfId="4" applyFont="1" applyFill="1" applyBorder="1" applyAlignment="1">
      <alignment horizontal="center" vertical="center" wrapText="1"/>
    </xf>
    <xf numFmtId="0" fontId="11" fillId="3" borderId="3" xfId="0" applyFont="1" applyFill="1" applyBorder="1" applyAlignment="1">
      <alignment horizontal="center" vertical="center" wrapText="1"/>
    </xf>
    <xf numFmtId="0" fontId="40" fillId="6" borderId="1" xfId="4" applyFill="1" applyBorder="1" applyAlignment="1">
      <alignment horizontal="center" vertical="center"/>
    </xf>
    <xf numFmtId="0" fontId="12" fillId="7" borderId="1" xfId="0" applyFont="1" applyFill="1" applyBorder="1" applyAlignment="1">
      <alignment horizontal="center"/>
    </xf>
    <xf numFmtId="0" fontId="11" fillId="7" borderId="1" xfId="0" applyFont="1" applyFill="1" applyBorder="1" applyAlignment="1">
      <alignment horizontal="center"/>
    </xf>
    <xf numFmtId="0" fontId="13" fillId="7" borderId="1" xfId="0" applyFont="1" applyFill="1" applyBorder="1"/>
    <xf numFmtId="0" fontId="14" fillId="8" borderId="4" xfId="5"/>
    <xf numFmtId="0" fontId="14" fillId="8" borderId="4" xfId="5" applyAlignment="1">
      <alignment wrapText="1"/>
    </xf>
    <xf numFmtId="4" fontId="13" fillId="7" borderId="1" xfId="0" applyNumberFormat="1" applyFont="1" applyFill="1" applyBorder="1"/>
    <xf numFmtId="0" fontId="0" fillId="0" borderId="0" xfId="0" applyAlignment="1">
      <alignment horizontal="center" vertical="center"/>
    </xf>
    <xf numFmtId="0" fontId="40" fillId="5" borderId="1" xfId="4" applyFill="1" applyBorder="1" applyAlignment="1">
      <alignment horizontal="center" vertical="center" wrapText="1"/>
    </xf>
    <xf numFmtId="2" fontId="0" fillId="0" borderId="0" xfId="0" applyNumberFormat="1"/>
    <xf numFmtId="0" fontId="0" fillId="0" borderId="0" xfId="0" applyAlignment="1">
      <alignment horizontal="left"/>
    </xf>
    <xf numFmtId="0" fontId="17" fillId="0" borderId="6" xfId="0" applyFont="1" applyBorder="1" applyAlignment="1">
      <alignment vertical="center"/>
    </xf>
    <xf numFmtId="0" fontId="18" fillId="11" borderId="3" xfId="0" applyFont="1" applyFill="1" applyBorder="1" applyAlignment="1" applyProtection="1">
      <alignment vertical="center"/>
      <protection locked="0"/>
    </xf>
    <xf numFmtId="0" fontId="17" fillId="0" borderId="3" xfId="0" applyFont="1" applyBorder="1" applyAlignment="1">
      <alignment horizontal="center" vertical="center"/>
    </xf>
    <xf numFmtId="0" fontId="17" fillId="0" borderId="3" xfId="0" applyFont="1" applyBorder="1" applyAlignment="1">
      <alignment horizontal="center" vertical="center" wrapText="1"/>
    </xf>
    <xf numFmtId="0" fontId="0" fillId="0" borderId="7" xfId="0" applyBorder="1" applyAlignment="1">
      <alignment vertical="center" wrapText="1"/>
    </xf>
    <xf numFmtId="0" fontId="9" fillId="12" borderId="1" xfId="0" applyFont="1" applyFill="1" applyBorder="1" applyAlignment="1" applyProtection="1">
      <alignment wrapText="1"/>
      <protection locked="0"/>
    </xf>
    <xf numFmtId="0" fontId="9" fillId="12" borderId="1" xfId="0" applyFont="1" applyFill="1" applyBorder="1" applyProtection="1">
      <protection locked="0"/>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0" fontId="0" fillId="9" borderId="7" xfId="0" applyFill="1" applyBorder="1" applyAlignment="1">
      <alignment vertical="center" wrapText="1"/>
    </xf>
    <xf numFmtId="0" fontId="9" fillId="9" borderId="1" xfId="0" applyFont="1" applyFill="1" applyBorder="1" applyAlignment="1" applyProtection="1">
      <alignment wrapText="1"/>
      <protection locked="0"/>
    </xf>
    <xf numFmtId="0" fontId="9" fillId="9" borderId="1" xfId="0" applyFont="1" applyFill="1" applyBorder="1" applyProtection="1">
      <protection locked="0"/>
    </xf>
    <xf numFmtId="0" fontId="0" fillId="9" borderId="1" xfId="0" applyFill="1" applyBorder="1" applyAlignment="1">
      <alignment horizontal="center" vertical="center"/>
    </xf>
    <xf numFmtId="2" fontId="0" fillId="9" borderId="1" xfId="0" applyNumberFormat="1" applyFill="1" applyBorder="1" applyAlignment="1">
      <alignment horizontal="center" vertical="center"/>
    </xf>
    <xf numFmtId="0" fontId="0" fillId="2" borderId="1" xfId="0" applyFill="1" applyBorder="1" applyAlignment="1">
      <alignment vertical="center" wrapText="1"/>
    </xf>
    <xf numFmtId="1" fontId="0" fillId="2" borderId="1" xfId="0" applyNumberForma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2" fontId="0" fillId="0" borderId="10" xfId="0" applyNumberFormat="1" applyBorder="1"/>
    <xf numFmtId="0" fontId="0" fillId="0" borderId="11" xfId="0" applyBorder="1" applyAlignment="1">
      <alignment vertical="center"/>
    </xf>
    <xf numFmtId="2" fontId="0" fillId="0" borderId="12" xfId="0" applyNumberFormat="1" applyBorder="1"/>
    <xf numFmtId="0" fontId="19" fillId="0" borderId="0" xfId="0" applyFont="1"/>
    <xf numFmtId="0" fontId="0" fillId="0" borderId="10" xfId="0" applyBorder="1" applyAlignment="1">
      <alignment vertical="center"/>
    </xf>
    <xf numFmtId="0" fontId="0" fillId="14" borderId="1" xfId="0" applyFill="1" applyBorder="1" applyAlignment="1">
      <alignment vertical="center"/>
    </xf>
    <xf numFmtId="0" fontId="9" fillId="11" borderId="3" xfId="0" applyFont="1" applyFill="1" applyBorder="1" applyProtection="1">
      <protection locked="0"/>
    </xf>
    <xf numFmtId="0" fontId="9" fillId="11" borderId="8" xfId="0" applyFont="1" applyFill="1" applyBorder="1" applyProtection="1">
      <protection locked="0"/>
    </xf>
    <xf numFmtId="1" fontId="0" fillId="0" borderId="10" xfId="0" applyNumberFormat="1" applyBorder="1"/>
    <xf numFmtId="0" fontId="0" fillId="9" borderId="1" xfId="0" applyFill="1" applyBorder="1"/>
    <xf numFmtId="1" fontId="0" fillId="9" borderId="10" xfId="0" applyNumberFormat="1" applyFill="1" applyBorder="1"/>
    <xf numFmtId="2" fontId="0" fillId="2" borderId="1" xfId="0" applyNumberFormat="1" applyFill="1" applyBorder="1" applyAlignment="1">
      <alignment horizontal="center" vertical="center"/>
    </xf>
    <xf numFmtId="2" fontId="0" fillId="0" borderId="1" xfId="0" applyNumberFormat="1" applyBorder="1" applyAlignment="1">
      <alignment vertical="center"/>
    </xf>
    <xf numFmtId="0" fontId="0" fillId="14" borderId="1" xfId="0" applyFill="1" applyBorder="1" applyAlignment="1">
      <alignment horizontal="right" vertical="center"/>
    </xf>
    <xf numFmtId="1" fontId="0" fillId="14" borderId="1" xfId="0" applyNumberFormat="1" applyFill="1" applyBorder="1" applyAlignment="1">
      <alignment vertical="center"/>
    </xf>
    <xf numFmtId="1" fontId="17" fillId="13" borderId="1" xfId="0" applyNumberFormat="1" applyFont="1" applyFill="1" applyBorder="1" applyAlignment="1">
      <alignment horizontal="center" vertical="center"/>
    </xf>
    <xf numFmtId="0" fontId="0" fillId="16" borderId="1" xfId="0" applyFill="1" applyBorder="1" applyAlignment="1">
      <alignment horizontal="center" vertical="center"/>
    </xf>
    <xf numFmtId="1" fontId="0" fillId="0" borderId="0" xfId="0" applyNumberFormat="1"/>
    <xf numFmtId="0" fontId="0" fillId="14" borderId="1" xfId="0" applyFill="1" applyBorder="1" applyAlignment="1">
      <alignment horizontal="center"/>
    </xf>
    <xf numFmtId="0" fontId="0" fillId="4" borderId="1" xfId="0" applyFill="1" applyBorder="1"/>
    <xf numFmtId="0" fontId="0" fillId="0" borderId="0" xfId="0" applyAlignment="1">
      <alignment vertical="center"/>
    </xf>
    <xf numFmtId="0" fontId="17" fillId="17" borderId="1" xfId="0" applyFont="1" applyFill="1" applyBorder="1" applyAlignment="1">
      <alignment vertical="center" wrapText="1"/>
    </xf>
    <xf numFmtId="0" fontId="17" fillId="17" borderId="1" xfId="0" applyFont="1" applyFill="1" applyBorder="1" applyAlignment="1">
      <alignment horizontal="center" vertical="center" wrapText="1"/>
    </xf>
    <xf numFmtId="0" fontId="0" fillId="17" borderId="1" xfId="0" applyFill="1" applyBorder="1"/>
    <xf numFmtId="0" fontId="21" fillId="0" borderId="1" xfId="0" applyFont="1" applyBorder="1" applyAlignment="1">
      <alignment vertical="center"/>
    </xf>
    <xf numFmtId="1" fontId="0" fillId="0" borderId="1" xfId="0" applyNumberFormat="1" applyBorder="1" applyAlignment="1">
      <alignment vertical="center"/>
    </xf>
    <xf numFmtId="9" fontId="0" fillId="0" borderId="9" xfId="0" applyNumberFormat="1" applyBorder="1" applyAlignment="1">
      <alignment horizontal="left" vertical="center"/>
    </xf>
    <xf numFmtId="0" fontId="19" fillId="0" borderId="9" xfId="0" applyFont="1" applyBorder="1" applyAlignment="1">
      <alignment horizontal="left" vertical="center"/>
    </xf>
    <xf numFmtId="0" fontId="0" fillId="0" borderId="1" xfId="0" applyBorder="1" applyAlignment="1">
      <alignment vertical="center"/>
    </xf>
    <xf numFmtId="0" fontId="20" fillId="0" borderId="9" xfId="0" applyFont="1" applyBorder="1" applyAlignment="1">
      <alignment horizontal="left" vertical="center"/>
    </xf>
    <xf numFmtId="0" fontId="0" fillId="17" borderId="1" xfId="0" applyFill="1" applyBorder="1" applyAlignment="1">
      <alignment vertical="center"/>
    </xf>
    <xf numFmtId="1" fontId="17" fillId="0" borderId="13" xfId="0" applyNumberFormat="1" applyFont="1" applyBorder="1" applyAlignment="1">
      <alignment vertical="center"/>
    </xf>
    <xf numFmtId="2" fontId="17" fillId="0" borderId="0" xfId="0" applyNumberFormat="1" applyFont="1" applyAlignment="1">
      <alignment horizontal="center" vertical="center"/>
    </xf>
    <xf numFmtId="0" fontId="17" fillId="18" borderId="6" xfId="0" applyFont="1" applyFill="1" applyBorder="1" applyAlignment="1">
      <alignment horizontal="center" vertical="center"/>
    </xf>
    <xf numFmtId="0" fontId="17" fillId="18" borderId="3" xfId="0" applyFont="1" applyFill="1" applyBorder="1" applyAlignment="1">
      <alignment horizontal="center" vertical="center"/>
    </xf>
    <xf numFmtId="0" fontId="17" fillId="18" borderId="3" xfId="0" applyFont="1" applyFill="1" applyBorder="1" applyAlignment="1">
      <alignment horizontal="center" vertical="center" wrapText="1"/>
    </xf>
    <xf numFmtId="2" fontId="0" fillId="0" borderId="1" xfId="0" applyNumberFormat="1" applyBorder="1"/>
    <xf numFmtId="0" fontId="0" fillId="0" borderId="2" xfId="0" applyBorder="1"/>
    <xf numFmtId="2" fontId="0" fillId="0" borderId="2" xfId="0" applyNumberFormat="1" applyBorder="1"/>
    <xf numFmtId="1" fontId="0" fillId="0" borderId="1" xfId="0" applyNumberFormat="1" applyBorder="1"/>
    <xf numFmtId="0" fontId="17" fillId="18" borderId="8" xfId="0" applyFont="1" applyFill="1" applyBorder="1" applyAlignment="1">
      <alignment horizontal="center" vertical="center" wrapText="1"/>
    </xf>
    <xf numFmtId="0" fontId="0" fillId="7" borderId="1" xfId="0" applyFill="1" applyBorder="1"/>
    <xf numFmtId="10" fontId="0" fillId="0" borderId="0" xfId="3" applyNumberFormat="1" applyFont="1"/>
    <xf numFmtId="0" fontId="17" fillId="18" borderId="8" xfId="0" applyFont="1" applyFill="1" applyBorder="1" applyAlignment="1">
      <alignment horizontal="center" vertical="center"/>
    </xf>
    <xf numFmtId="0" fontId="0" fillId="0" borderId="10" xfId="0" applyBorder="1"/>
    <xf numFmtId="0" fontId="0" fillId="0" borderId="12" xfId="0" applyBorder="1"/>
    <xf numFmtId="2" fontId="0" fillId="17" borderId="1" xfId="0" applyNumberFormat="1" applyFill="1" applyBorder="1"/>
    <xf numFmtId="2" fontId="0" fillId="17" borderId="10" xfId="0" applyNumberFormat="1" applyFill="1" applyBorder="1"/>
    <xf numFmtId="0" fontId="0" fillId="17" borderId="10" xfId="0" applyFill="1" applyBorder="1"/>
    <xf numFmtId="0" fontId="0" fillId="0" borderId="15" xfId="0" applyBorder="1"/>
    <xf numFmtId="0" fontId="0" fillId="0" borderId="17" xfId="0" applyBorder="1"/>
    <xf numFmtId="0" fontId="22" fillId="21" borderId="1" xfId="0" applyFont="1" applyFill="1" applyBorder="1" applyAlignment="1">
      <alignment horizontal="center" vertical="center"/>
    </xf>
    <xf numFmtId="0" fontId="0" fillId="22" borderId="1" xfId="0" applyFill="1" applyBorder="1" applyAlignment="1">
      <alignment horizontal="center" vertical="center"/>
    </xf>
    <xf numFmtId="0" fontId="0" fillId="20" borderId="1" xfId="0" applyFill="1" applyBorder="1"/>
    <xf numFmtId="2" fontId="0" fillId="4" borderId="1" xfId="0" applyNumberFormat="1" applyFill="1" applyBorder="1" applyAlignment="1">
      <alignment horizontal="left" vertical="center"/>
    </xf>
    <xf numFmtId="0" fontId="0" fillId="20" borderId="1" xfId="0" applyFill="1" applyBorder="1" applyAlignment="1">
      <alignment horizontal="center" vertical="center"/>
    </xf>
    <xf numFmtId="2" fontId="0" fillId="0" borderId="1" xfId="0" applyNumberFormat="1" applyBorder="1" applyAlignment="1">
      <alignment horizontal="left" vertical="center"/>
    </xf>
    <xf numFmtId="0" fontId="23" fillId="0" borderId="1" xfId="0" applyFont="1" applyBorder="1" applyAlignment="1">
      <alignment vertical="center"/>
    </xf>
    <xf numFmtId="0" fontId="0" fillId="23" borderId="1" xfId="0" applyFill="1" applyBorder="1" applyAlignment="1">
      <alignment horizontal="right" vertical="center"/>
    </xf>
    <xf numFmtId="2" fontId="0" fillId="23" borderId="1" xfId="0" applyNumberFormat="1" applyFill="1" applyBorder="1"/>
    <xf numFmtId="0" fontId="0" fillId="23" borderId="1" xfId="0" applyFill="1" applyBorder="1"/>
    <xf numFmtId="0" fontId="24" fillId="0" borderId="17" xfId="0" applyFont="1" applyBorder="1" applyAlignment="1">
      <alignment vertical="center"/>
    </xf>
    <xf numFmtId="0" fontId="0" fillId="23" borderId="1" xfId="0" applyFill="1" applyBorder="1" applyAlignment="1">
      <alignment horizontal="right"/>
    </xf>
    <xf numFmtId="0" fontId="17" fillId="0" borderId="0" xfId="0" applyFont="1" applyAlignment="1">
      <alignment horizontal="right" vertical="center"/>
    </xf>
    <xf numFmtId="2" fontId="26" fillId="14" borderId="1" xfId="0" applyNumberFormat="1" applyFont="1" applyFill="1" applyBorder="1" applyAlignment="1">
      <alignment horizontal="right" vertical="center"/>
    </xf>
    <xf numFmtId="0" fontId="0" fillId="0" borderId="1" xfId="0" applyBorder="1" applyAlignment="1">
      <alignment horizontal="right"/>
    </xf>
    <xf numFmtId="2" fontId="0" fillId="0" borderId="1" xfId="0" applyNumberFormat="1" applyBorder="1" applyAlignment="1">
      <alignment horizontal="right" vertical="center"/>
    </xf>
    <xf numFmtId="0" fontId="0" fillId="0" borderId="1" xfId="0" applyBorder="1" applyAlignment="1">
      <alignment horizontal="left"/>
    </xf>
    <xf numFmtId="0" fontId="0" fillId="0" borderId="1" xfId="0" applyBorder="1" applyAlignment="1">
      <alignment horizontal="right" vertical="center"/>
    </xf>
    <xf numFmtId="0" fontId="26" fillId="0" borderId="0" xfId="0" applyFont="1" applyAlignment="1">
      <alignment horizontal="right"/>
    </xf>
    <xf numFmtId="0" fontId="0" fillId="0" borderId="0" xfId="0" applyAlignment="1">
      <alignment horizontal="right"/>
    </xf>
    <xf numFmtId="0" fontId="20" fillId="0" borderId="0" xfId="0" applyFont="1"/>
    <xf numFmtId="2" fontId="20" fillId="0" borderId="0" xfId="0" applyNumberFormat="1" applyFont="1"/>
    <xf numFmtId="0" fontId="0" fillId="10" borderId="1" xfId="0" applyFill="1" applyBorder="1" applyAlignment="1">
      <alignment horizontal="center" wrapText="1"/>
    </xf>
    <xf numFmtId="0" fontId="0" fillId="4" borderId="1" xfId="0" applyFill="1" applyBorder="1" applyAlignment="1">
      <alignment horizontal="center" wrapText="1"/>
    </xf>
    <xf numFmtId="0" fontId="0" fillId="4" borderId="1" xfId="0" applyFill="1" applyBorder="1" applyAlignment="1">
      <alignment horizontal="center"/>
    </xf>
    <xf numFmtId="1" fontId="0" fillId="4" borderId="1" xfId="0" applyNumberFormat="1" applyFill="1" applyBorder="1" applyAlignment="1">
      <alignment horizontal="center"/>
    </xf>
    <xf numFmtId="0" fontId="0" fillId="10" borderId="1" xfId="0" applyFill="1" applyBorder="1"/>
    <xf numFmtId="2" fontId="0" fillId="0" borderId="1" xfId="0" applyNumberFormat="1" applyBorder="1" applyAlignment="1">
      <alignment horizontal="center"/>
    </xf>
    <xf numFmtId="2" fontId="0" fillId="0" borderId="1" xfId="0" applyNumberFormat="1" applyBorder="1" applyAlignment="1">
      <alignment horizontal="left"/>
    </xf>
    <xf numFmtId="0" fontId="0" fillId="0" borderId="10" xfId="0" applyBorder="1" applyAlignment="1">
      <alignment horizontal="right"/>
    </xf>
    <xf numFmtId="2" fontId="0" fillId="0" borderId="10" xfId="0" applyNumberFormat="1" applyBorder="1" applyAlignment="1">
      <alignment horizontal="right"/>
    </xf>
    <xf numFmtId="1" fontId="0" fillId="0" borderId="0" xfId="0" applyNumberFormat="1" applyAlignment="1">
      <alignment horizontal="center"/>
    </xf>
    <xf numFmtId="0" fontId="17" fillId="0" borderId="0" xfId="0" applyFont="1" applyAlignment="1">
      <alignment horizontal="center" vertical="center"/>
    </xf>
    <xf numFmtId="0" fontId="17" fillId="0" borderId="1" xfId="0" applyFont="1" applyBorder="1" applyAlignment="1">
      <alignment vertical="center"/>
    </xf>
    <xf numFmtId="0" fontId="27" fillId="0" borderId="0" xfId="0" applyFont="1" applyAlignment="1">
      <alignment horizontal="center"/>
    </xf>
    <xf numFmtId="0" fontId="0" fillId="20" borderId="1" xfId="0" applyFill="1" applyBorder="1" applyAlignment="1">
      <alignment vertical="center"/>
    </xf>
    <xf numFmtId="0" fontId="27" fillId="0" borderId="0" xfId="0" applyFont="1" applyAlignment="1">
      <alignment horizontal="right"/>
    </xf>
    <xf numFmtId="0" fontId="0" fillId="4" borderId="1" xfId="0" applyFill="1" applyBorder="1" applyAlignment="1">
      <alignment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17" fillId="10" borderId="1" xfId="0" applyFont="1" applyFill="1" applyBorder="1"/>
    <xf numFmtId="9" fontId="17" fillId="10" borderId="1" xfId="0" applyNumberFormat="1" applyFont="1" applyFill="1" applyBorder="1"/>
    <xf numFmtId="2" fontId="17" fillId="10" borderId="1" xfId="0" applyNumberFormat="1" applyFont="1" applyFill="1" applyBorder="1"/>
    <xf numFmtId="2" fontId="0" fillId="10" borderId="1" xfId="0" applyNumberFormat="1" applyFill="1" applyBorder="1"/>
    <xf numFmtId="1" fontId="0" fillId="10" borderId="1" xfId="0" applyNumberFormat="1" applyFill="1" applyBorder="1"/>
    <xf numFmtId="0" fontId="30" fillId="26" borderId="1" xfId="0" applyFont="1" applyFill="1" applyBorder="1" applyAlignment="1">
      <alignment vertical="center" wrapText="1"/>
    </xf>
    <xf numFmtId="0" fontId="30" fillId="26" borderId="1" xfId="0" applyFont="1" applyFill="1" applyBorder="1" applyAlignment="1">
      <alignment horizontal="center" vertical="center" wrapText="1"/>
    </xf>
    <xf numFmtId="2" fontId="17" fillId="18" borderId="1" xfId="0" applyNumberFormat="1" applyFont="1" applyFill="1" applyBorder="1"/>
    <xf numFmtId="0" fontId="17" fillId="0" borderId="2" xfId="0" applyFont="1" applyBorder="1" applyAlignment="1">
      <alignment horizontal="left"/>
    </xf>
    <xf numFmtId="0" fontId="0" fillId="18" borderId="2" xfId="0" applyFill="1" applyBorder="1"/>
    <xf numFmtId="2" fontId="0" fillId="14" borderId="1" xfId="0" applyNumberFormat="1" applyFill="1" applyBorder="1" applyAlignment="1">
      <alignment horizontal="right"/>
    </xf>
    <xf numFmtId="0" fontId="14" fillId="27" borderId="4" xfId="5" applyFill="1" applyAlignment="1">
      <alignment horizontal="center"/>
    </xf>
    <xf numFmtId="0" fontId="14" fillId="25" borderId="4" xfId="5" applyFill="1" applyAlignment="1">
      <alignment horizontal="center" vertical="center"/>
    </xf>
    <xf numFmtId="0" fontId="14" fillId="25" borderId="4" xfId="5" applyFill="1" applyAlignment="1">
      <alignment horizontal="center"/>
    </xf>
    <xf numFmtId="0" fontId="0" fillId="9" borderId="1" xfId="0" applyFill="1" applyBorder="1" applyAlignment="1">
      <alignment horizontal="right" vertical="center"/>
    </xf>
    <xf numFmtId="0" fontId="0" fillId="0" borderId="0" xfId="0" applyAlignment="1">
      <alignment horizontal="right" vertical="center"/>
    </xf>
    <xf numFmtId="0" fontId="0" fillId="28" borderId="1" xfId="0" applyFill="1" applyBorder="1" applyAlignment="1">
      <alignment horizontal="center" vertical="center"/>
    </xf>
    <xf numFmtId="1" fontId="0" fillId="0" borderId="1" xfId="0" applyNumberFormat="1" applyBorder="1" applyAlignment="1">
      <alignment horizontal="right" vertical="center"/>
    </xf>
    <xf numFmtId="2" fontId="0" fillId="0" borderId="23" xfId="0" applyNumberFormat="1" applyBorder="1" applyAlignment="1">
      <alignment horizontal="right" vertical="center"/>
    </xf>
    <xf numFmtId="0" fontId="0" fillId="29" borderId="1" xfId="7" applyFont="1" applyBorder="1"/>
    <xf numFmtId="0" fontId="40" fillId="29" borderId="1" xfId="7" applyBorder="1"/>
    <xf numFmtId="2" fontId="0" fillId="0" borderId="0" xfId="0" applyNumberFormat="1" applyAlignment="1">
      <alignment horizontal="right" vertical="center"/>
    </xf>
    <xf numFmtId="2" fontId="40" fillId="29" borderId="1" xfId="7" applyNumberFormat="1" applyBorder="1"/>
    <xf numFmtId="1" fontId="0" fillId="0" borderId="0" xfId="0" applyNumberFormat="1" applyAlignment="1">
      <alignment horizontal="right" vertical="center"/>
    </xf>
    <xf numFmtId="0" fontId="0" fillId="16" borderId="6" xfId="0" applyFill="1" applyBorder="1" applyAlignment="1">
      <alignment horizontal="center"/>
    </xf>
    <xf numFmtId="0" fontId="0" fillId="16" borderId="8" xfId="0" applyFill="1" applyBorder="1" applyAlignment="1">
      <alignment horizontal="center"/>
    </xf>
    <xf numFmtId="0" fontId="31" fillId="30" borderId="7" xfId="0" applyFont="1" applyFill="1" applyBorder="1"/>
    <xf numFmtId="0" fontId="31" fillId="30" borderId="10" xfId="0" applyFont="1" applyFill="1" applyBorder="1"/>
    <xf numFmtId="0" fontId="32" fillId="0" borderId="0" xfId="0" applyFont="1"/>
    <xf numFmtId="0" fontId="33" fillId="0" borderId="0" xfId="0" applyFont="1"/>
    <xf numFmtId="0" fontId="32" fillId="0" borderId="0" xfId="0" applyFont="1" applyAlignment="1">
      <alignment wrapText="1"/>
    </xf>
    <xf numFmtId="0" fontId="0" fillId="0" borderId="0" xfId="0" applyAlignment="1">
      <alignment vertical="center" wrapText="1"/>
    </xf>
    <xf numFmtId="0" fontId="0" fillId="2" borderId="1" xfId="0" applyFill="1" applyBorder="1" applyAlignment="1">
      <alignment wrapText="1"/>
    </xf>
    <xf numFmtId="0" fontId="0" fillId="6" borderId="1" xfId="0" applyFill="1" applyBorder="1" applyAlignment="1">
      <alignment vertical="center"/>
    </xf>
    <xf numFmtId="0" fontId="0" fillId="6" borderId="2" xfId="0" applyFill="1" applyBorder="1" applyAlignment="1">
      <alignment vertical="center"/>
    </xf>
    <xf numFmtId="0" fontId="17" fillId="11" borderId="6" xfId="0" applyFont="1" applyFill="1" applyBorder="1" applyAlignment="1">
      <alignment horizontal="center" vertical="center"/>
    </xf>
    <xf numFmtId="0" fontId="17" fillId="11" borderId="8" xfId="0" applyFont="1" applyFill="1" applyBorder="1" applyAlignment="1">
      <alignment horizontal="center" vertical="center" wrapText="1"/>
    </xf>
    <xf numFmtId="0" fontId="0" fillId="13" borderId="7" xfId="0" applyFill="1" applyBorder="1"/>
    <xf numFmtId="0" fontId="0" fillId="13" borderId="11" xfId="0" applyFill="1" applyBorder="1"/>
    <xf numFmtId="0" fontId="0" fillId="0" borderId="24" xfId="0" applyBorder="1"/>
    <xf numFmtId="0" fontId="0" fillId="11" borderId="26" xfId="0" applyFill="1" applyBorder="1" applyAlignment="1">
      <alignment horizontal="center"/>
    </xf>
    <xf numFmtId="0" fontId="0" fillId="0" borderId="27" xfId="0" applyBorder="1"/>
    <xf numFmtId="0" fontId="0" fillId="11" borderId="29" xfId="0" applyFill="1" applyBorder="1" applyAlignment="1">
      <alignment horizontal="center"/>
    </xf>
    <xf numFmtId="0" fontId="0" fillId="31" borderId="24" xfId="0" applyFill="1" applyBorder="1"/>
    <xf numFmtId="0" fontId="0" fillId="31" borderId="25" xfId="0" applyFill="1" applyBorder="1"/>
    <xf numFmtId="0" fontId="0" fillId="31" borderId="30" xfId="0" applyFill="1" applyBorder="1"/>
    <xf numFmtId="0" fontId="0" fillId="11" borderId="1" xfId="0" applyFill="1" applyBorder="1"/>
    <xf numFmtId="0" fontId="0" fillId="0" borderId="31" xfId="0" applyBorder="1"/>
    <xf numFmtId="0" fontId="34" fillId="0" borderId="32" xfId="0" applyFont="1" applyBorder="1"/>
    <xf numFmtId="0" fontId="9" fillId="14" borderId="1" xfId="0" applyFont="1" applyFill="1" applyBorder="1"/>
    <xf numFmtId="2" fontId="0" fillId="14" borderId="1" xfId="0" applyNumberFormat="1" applyFill="1" applyBorder="1"/>
    <xf numFmtId="0" fontId="19" fillId="0" borderId="1" xfId="0" applyFont="1" applyBorder="1"/>
    <xf numFmtId="0" fontId="0" fillId="0" borderId="0" xfId="0" applyAlignment="1">
      <alignment wrapText="1"/>
    </xf>
    <xf numFmtId="0" fontId="26" fillId="0" borderId="1" xfId="0" applyFont="1" applyBorder="1"/>
    <xf numFmtId="0" fontId="19" fillId="0" borderId="32" xfId="0" applyFont="1" applyBorder="1"/>
    <xf numFmtId="0" fontId="19" fillId="0" borderId="31" xfId="0" applyFont="1" applyBorder="1"/>
    <xf numFmtId="0" fontId="0" fillId="32" borderId="31" xfId="0" applyFill="1" applyBorder="1"/>
    <xf numFmtId="0" fontId="0" fillId="32" borderId="1" xfId="0" applyFill="1" applyBorder="1"/>
    <xf numFmtId="0" fontId="34" fillId="32" borderId="32" xfId="0" applyFont="1" applyFill="1" applyBorder="1"/>
    <xf numFmtId="0" fontId="0" fillId="0" borderId="28" xfId="0" applyBorder="1"/>
    <xf numFmtId="0" fontId="34" fillId="0" borderId="33" xfId="0" applyFont="1" applyBorder="1"/>
    <xf numFmtId="1" fontId="0" fillId="0" borderId="30" xfId="0" applyNumberFormat="1" applyBorder="1"/>
    <xf numFmtId="0" fontId="0" fillId="0" borderId="36" xfId="0" applyBorder="1"/>
    <xf numFmtId="0" fontId="0" fillId="0" borderId="37" xfId="0" applyBorder="1"/>
    <xf numFmtId="0" fontId="16" fillId="16" borderId="39" xfId="0" applyFont="1" applyFill="1" applyBorder="1" applyAlignment="1">
      <alignment vertical="center"/>
    </xf>
    <xf numFmtId="9" fontId="21" fillId="16" borderId="40" xfId="3" applyFont="1" applyFill="1" applyBorder="1" applyAlignment="1">
      <alignment vertical="center"/>
    </xf>
    <xf numFmtId="0" fontId="0" fillId="0" borderId="42" xfId="0" applyBorder="1" applyAlignment="1">
      <alignment vertical="center"/>
    </xf>
    <xf numFmtId="9" fontId="0" fillId="0" borderId="3" xfId="3" applyFont="1" applyBorder="1"/>
    <xf numFmtId="0" fontId="0" fillId="0" borderId="31" xfId="0" applyBorder="1" applyAlignment="1">
      <alignment vertical="center"/>
    </xf>
    <xf numFmtId="9" fontId="0" fillId="0" borderId="0" xfId="0" applyNumberFormat="1"/>
    <xf numFmtId="0" fontId="0" fillId="0" borderId="27" xfId="0" applyBorder="1" applyAlignment="1">
      <alignment vertical="center"/>
    </xf>
    <xf numFmtId="9" fontId="0" fillId="0" borderId="43" xfId="3" applyFont="1" applyBorder="1"/>
    <xf numFmtId="0" fontId="0" fillId="7" borderId="0" xfId="0" applyFill="1"/>
    <xf numFmtId="0" fontId="36" fillId="7" borderId="0" xfId="0" applyFont="1" applyFill="1"/>
    <xf numFmtId="0" fontId="37" fillId="7" borderId="0" xfId="0" applyFont="1" applyFill="1"/>
    <xf numFmtId="0" fontId="38" fillId="7" borderId="0" xfId="0" applyFont="1" applyFill="1"/>
    <xf numFmtId="0" fontId="39" fillId="7" borderId="0" xfId="0" applyFont="1" applyFill="1"/>
    <xf numFmtId="0" fontId="17" fillId="0" borderId="5" xfId="0" applyFont="1" applyBorder="1" applyAlignment="1">
      <alignment horizontal="center" vertical="center" wrapText="1"/>
    </xf>
    <xf numFmtId="1" fontId="0" fillId="0" borderId="13" xfId="0" applyNumberFormat="1" applyBorder="1"/>
    <xf numFmtId="0" fontId="8" fillId="0" borderId="0" xfId="0" applyFont="1"/>
    <xf numFmtId="0" fontId="41" fillId="7" borderId="0" xfId="0" applyFont="1" applyFill="1" applyAlignment="1">
      <alignment horizontal="left" vertical="center" wrapText="1"/>
    </xf>
    <xf numFmtId="0" fontId="41" fillId="7" borderId="17" xfId="0" applyFont="1" applyFill="1" applyBorder="1" applyAlignment="1">
      <alignment horizontal="left" vertical="center" wrapText="1"/>
    </xf>
    <xf numFmtId="0" fontId="41" fillId="7" borderId="21" xfId="0" applyFont="1" applyFill="1" applyBorder="1" applyAlignment="1">
      <alignment horizontal="left" vertical="center" wrapText="1"/>
    </xf>
    <xf numFmtId="0" fontId="41" fillId="7" borderId="17"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1" xfId="0" applyFont="1" applyFill="1" applyBorder="1" applyAlignment="1">
      <alignment horizontal="left" vertical="top" wrapText="1"/>
    </xf>
    <xf numFmtId="0" fontId="19" fillId="7" borderId="38" xfId="0" applyFont="1" applyFill="1" applyBorder="1" applyAlignment="1">
      <alignment horizontal="center" vertical="center"/>
    </xf>
    <xf numFmtId="0" fontId="7" fillId="0" borderId="0" xfId="0" applyFont="1"/>
    <xf numFmtId="0" fontId="6" fillId="0" borderId="0" xfId="0" applyFont="1" applyAlignment="1">
      <alignment vertical="center"/>
    </xf>
    <xf numFmtId="0" fontId="17" fillId="17" borderId="10" xfId="0" applyFont="1" applyFill="1" applyBorder="1" applyAlignment="1">
      <alignment horizontal="center" vertical="center" wrapText="1"/>
    </xf>
    <xf numFmtId="1" fontId="0" fillId="7" borderId="1" xfId="0" applyNumberFormat="1" applyFill="1" applyBorder="1" applyAlignment="1">
      <alignment horizontal="center"/>
    </xf>
    <xf numFmtId="0" fontId="43" fillId="0" borderId="0" xfId="0" applyFont="1"/>
    <xf numFmtId="0" fontId="45" fillId="0" borderId="21" xfId="6" applyFont="1" applyBorder="1"/>
    <xf numFmtId="0" fontId="46" fillId="0" borderId="17" xfId="6" applyFont="1" applyBorder="1" applyAlignment="1">
      <alignment horizontal="center"/>
    </xf>
    <xf numFmtId="0" fontId="46" fillId="0" borderId="15" xfId="6" applyFont="1" applyBorder="1" applyAlignment="1">
      <alignment horizontal="left" vertical="center"/>
    </xf>
    <xf numFmtId="0" fontId="45" fillId="0" borderId="16" xfId="6" applyFont="1" applyBorder="1"/>
    <xf numFmtId="0" fontId="46" fillId="0" borderId="28" xfId="6" applyFont="1" applyBorder="1" applyAlignment="1">
      <alignment horizontal="center" vertical="center"/>
    </xf>
    <xf numFmtId="0" fontId="45" fillId="0" borderId="42" xfId="6" applyFont="1" applyBorder="1" applyAlignment="1">
      <alignment horizontal="center"/>
    </xf>
    <xf numFmtId="0" fontId="45" fillId="0" borderId="3" xfId="6" applyFont="1" applyBorder="1"/>
    <xf numFmtId="0" fontId="45" fillId="0" borderId="31" xfId="6" applyFont="1" applyBorder="1" applyAlignment="1">
      <alignment horizontal="center"/>
    </xf>
    <xf numFmtId="0" fontId="45" fillId="0" borderId="1" xfId="6" applyFont="1" applyBorder="1"/>
    <xf numFmtId="1" fontId="45" fillId="0" borderId="1" xfId="6" applyNumberFormat="1" applyFont="1" applyBorder="1" applyAlignment="1">
      <alignment horizontal="center"/>
    </xf>
    <xf numFmtId="0" fontId="45" fillId="7" borderId="1" xfId="6" applyFont="1" applyFill="1" applyBorder="1"/>
    <xf numFmtId="1" fontId="45" fillId="0" borderId="21" xfId="6" applyNumberFormat="1" applyFont="1" applyBorder="1"/>
    <xf numFmtId="0" fontId="45" fillId="7" borderId="2" xfId="6" applyFont="1" applyFill="1" applyBorder="1"/>
    <xf numFmtId="0" fontId="45" fillId="0" borderId="2" xfId="6" applyFont="1" applyBorder="1"/>
    <xf numFmtId="0" fontId="45" fillId="0" borderId="2" xfId="6" applyFont="1" applyBorder="1" applyAlignment="1">
      <alignment horizontal="center" vertical="center"/>
    </xf>
    <xf numFmtId="0" fontId="46" fillId="0" borderId="40" xfId="6" applyFont="1" applyBorder="1" applyAlignment="1">
      <alignment horizontal="center"/>
    </xf>
    <xf numFmtId="0" fontId="46" fillId="0" borderId="21" xfId="6" applyFont="1" applyBorder="1"/>
    <xf numFmtId="0" fontId="45" fillId="0" borderId="17" xfId="6" applyFont="1" applyBorder="1" applyAlignment="1">
      <alignment horizontal="center"/>
    </xf>
    <xf numFmtId="0" fontId="46" fillId="0" borderId="17" xfId="6" applyFont="1" applyBorder="1" applyAlignment="1">
      <alignment horizontal="left"/>
    </xf>
    <xf numFmtId="0" fontId="46" fillId="0" borderId="24" xfId="6" applyFont="1" applyBorder="1" applyAlignment="1">
      <alignment horizontal="center"/>
    </xf>
    <xf numFmtId="0" fontId="46" fillId="0" borderId="7" xfId="6" applyFont="1" applyBorder="1" applyAlignment="1">
      <alignment horizontal="center"/>
    </xf>
    <xf numFmtId="0" fontId="46" fillId="0" borderId="11" xfId="6" applyFont="1" applyBorder="1" applyAlignment="1">
      <alignment horizontal="center"/>
    </xf>
    <xf numFmtId="0" fontId="45" fillId="0" borderId="36" xfId="6" applyFont="1" applyBorder="1" applyAlignment="1">
      <alignment horizontal="center"/>
    </xf>
    <xf numFmtId="0" fontId="45" fillId="0" borderId="32" xfId="6" applyFont="1" applyBorder="1" applyAlignment="1">
      <alignment horizontal="center"/>
    </xf>
    <xf numFmtId="0" fontId="45" fillId="0" borderId="0" xfId="6" applyFont="1"/>
    <xf numFmtId="0" fontId="46" fillId="0" borderId="0" xfId="6" applyFont="1"/>
    <xf numFmtId="0" fontId="45" fillId="0" borderId="16" xfId="6" applyFont="1" applyBorder="1" applyAlignment="1">
      <alignment horizontal="center"/>
    </xf>
    <xf numFmtId="0" fontId="45" fillId="0" borderId="19" xfId="6" applyFont="1" applyBorder="1" applyAlignment="1">
      <alignment horizontal="center"/>
    </xf>
    <xf numFmtId="0" fontId="46" fillId="0" borderId="25" xfId="6" applyFont="1" applyBorder="1"/>
    <xf numFmtId="0" fontId="46" fillId="0" borderId="28" xfId="6" applyFont="1" applyBorder="1"/>
    <xf numFmtId="0" fontId="46" fillId="33" borderId="1" xfId="6" applyFont="1" applyFill="1" applyBorder="1" applyAlignment="1">
      <alignment horizontal="center"/>
    </xf>
    <xf numFmtId="0" fontId="0" fillId="34" borderId="0" xfId="0" applyFill="1"/>
    <xf numFmtId="0" fontId="5" fillId="34" borderId="0" xfId="0" applyFont="1" applyFill="1"/>
    <xf numFmtId="0" fontId="0" fillId="34" borderId="0" xfId="0" applyFill="1" applyAlignment="1">
      <alignment vertical="center"/>
    </xf>
    <xf numFmtId="0" fontId="5" fillId="0" borderId="7" xfId="0" applyFont="1" applyBorder="1"/>
    <xf numFmtId="1" fontId="45" fillId="7" borderId="3" xfId="6" applyNumberFormat="1" applyFont="1" applyFill="1" applyBorder="1" applyAlignment="1">
      <alignment horizontal="center"/>
    </xf>
    <xf numFmtId="0" fontId="46" fillId="7" borderId="1" xfId="6" applyFont="1" applyFill="1" applyBorder="1"/>
    <xf numFmtId="1" fontId="0" fillId="17" borderId="10" xfId="0" applyNumberFormat="1" applyFill="1" applyBorder="1" applyAlignment="1">
      <alignment vertical="center"/>
    </xf>
    <xf numFmtId="1" fontId="0" fillId="17" borderId="1" xfId="0" applyNumberFormat="1" applyFill="1" applyBorder="1"/>
    <xf numFmtId="1" fontId="0" fillId="17" borderId="1" xfId="0" applyNumberFormat="1" applyFill="1" applyBorder="1" applyAlignment="1">
      <alignment horizontal="center" vertical="center"/>
    </xf>
    <xf numFmtId="0" fontId="0" fillId="0" borderId="1" xfId="0" applyBorder="1"/>
    <xf numFmtId="0" fontId="0" fillId="0" borderId="0" xfId="0" applyProtection="1">
      <protection locked="0"/>
    </xf>
    <xf numFmtId="0" fontId="46" fillId="0" borderId="19" xfId="6" applyFont="1" applyBorder="1" applyAlignment="1">
      <alignment vertical="center"/>
    </xf>
    <xf numFmtId="0" fontId="46" fillId="0" borderId="19" xfId="6" applyFont="1" applyBorder="1" applyAlignment="1">
      <alignment horizontal="center" vertical="center"/>
    </xf>
    <xf numFmtId="0" fontId="47" fillId="0" borderId="1" xfId="6" applyFont="1" applyBorder="1"/>
    <xf numFmtId="0" fontId="45" fillId="0" borderId="1" xfId="6" applyFont="1" applyBorder="1" applyAlignment="1">
      <alignment horizontal="right" vertical="center"/>
    </xf>
    <xf numFmtId="0" fontId="46" fillId="0" borderId="1" xfId="6" applyFont="1" applyBorder="1"/>
    <xf numFmtId="0" fontId="46" fillId="0" borderId="20" xfId="6" applyFont="1" applyBorder="1" applyAlignment="1">
      <alignment horizontal="center"/>
    </xf>
    <xf numFmtId="0" fontId="47" fillId="0" borderId="25" xfId="6" applyFont="1" applyBorder="1"/>
    <xf numFmtId="0" fontId="51" fillId="35" borderId="16" xfId="6" applyFont="1" applyFill="1" applyBorder="1" applyAlignment="1">
      <alignment horizontal="right"/>
    </xf>
    <xf numFmtId="0" fontId="0" fillId="0" borderId="25" xfId="0" applyBorder="1"/>
    <xf numFmtId="0" fontId="46" fillId="0" borderId="25" xfId="6" applyFont="1" applyBorder="1" applyAlignment="1">
      <alignment horizontal="center"/>
    </xf>
    <xf numFmtId="14" fontId="46" fillId="0" borderId="30" xfId="6" applyNumberFormat="1" applyFont="1" applyBorder="1"/>
    <xf numFmtId="0" fontId="46" fillId="0" borderId="31" xfId="6" applyFont="1" applyBorder="1" applyAlignment="1">
      <alignment vertical="center"/>
    </xf>
    <xf numFmtId="0" fontId="46" fillId="0" borderId="31" xfId="6" applyFont="1" applyBorder="1"/>
    <xf numFmtId="0" fontId="46" fillId="7" borderId="32" xfId="6" applyFont="1" applyFill="1" applyBorder="1"/>
    <xf numFmtId="0" fontId="46" fillId="0" borderId="28" xfId="6" applyFont="1" applyBorder="1" applyAlignment="1">
      <alignment horizontal="left"/>
    </xf>
    <xf numFmtId="0" fontId="46" fillId="0" borderId="56" xfId="6" applyFont="1" applyBorder="1" applyAlignment="1">
      <alignment horizontal="center" vertical="center"/>
    </xf>
    <xf numFmtId="0" fontId="45" fillId="0" borderId="1" xfId="6" applyFont="1" applyBorder="1" applyAlignment="1">
      <alignment horizontal="center" wrapText="1"/>
    </xf>
    <xf numFmtId="0" fontId="45" fillId="0" borderId="1" xfId="6" applyFont="1" applyBorder="1" applyAlignment="1">
      <alignment horizontal="center" vertical="center" wrapText="1"/>
    </xf>
    <xf numFmtId="0" fontId="19" fillId="0" borderId="0" xfId="0" applyFont="1" applyAlignment="1">
      <alignment horizontal="center" vertical="center"/>
    </xf>
    <xf numFmtId="0" fontId="45" fillId="0" borderId="0" xfId="6" applyFont="1" applyAlignment="1">
      <alignment horizontal="left" vertical="center"/>
    </xf>
    <xf numFmtId="0" fontId="45" fillId="0" borderId="0" xfId="6" applyFont="1" applyAlignment="1">
      <alignment horizontal="center" vertical="center"/>
    </xf>
    <xf numFmtId="0" fontId="48" fillId="0" borderId="21" xfId="6" applyFont="1" applyBorder="1" applyAlignment="1">
      <alignment horizontal="left" readingOrder="1"/>
    </xf>
    <xf numFmtId="0" fontId="45" fillId="0" borderId="0" xfId="6" applyFont="1" applyAlignment="1">
      <alignment horizontal="center"/>
    </xf>
    <xf numFmtId="0" fontId="46" fillId="0" borderId="0" xfId="6" applyFont="1" applyAlignment="1">
      <alignment horizontal="center"/>
    </xf>
    <xf numFmtId="0" fontId="45" fillId="0" borderId="0" xfId="6" applyFont="1" applyAlignment="1">
      <alignment horizontal="left"/>
    </xf>
    <xf numFmtId="0" fontId="45" fillId="0" borderId="31" xfId="6" applyFont="1" applyBorder="1" applyAlignment="1">
      <alignment horizontal="center" vertical="center"/>
    </xf>
    <xf numFmtId="0" fontId="46" fillId="0" borderId="0" xfId="6" applyFont="1" applyAlignment="1">
      <alignment horizontal="left"/>
    </xf>
    <xf numFmtId="0" fontId="46" fillId="0" borderId="0" xfId="6" applyFont="1" applyAlignment="1">
      <alignment horizontal="center" vertical="center"/>
    </xf>
    <xf numFmtId="0" fontId="46" fillId="0" borderId="0" xfId="6" applyFont="1" applyAlignment="1">
      <alignment horizontal="center" vertical="top"/>
    </xf>
    <xf numFmtId="0" fontId="45" fillId="0" borderId="53" xfId="6" applyFont="1" applyBorder="1"/>
    <xf numFmtId="1" fontId="45" fillId="0" borderId="10" xfId="9" applyNumberFormat="1" applyFont="1" applyBorder="1" applyAlignment="1">
      <alignment horizontal="center" vertical="center"/>
    </xf>
    <xf numFmtId="14" fontId="46" fillId="0" borderId="20" xfId="6" applyNumberFormat="1" applyFont="1" applyBorder="1"/>
    <xf numFmtId="0" fontId="46" fillId="0" borderId="21" xfId="6" applyFont="1" applyBorder="1" applyAlignment="1">
      <alignment horizontal="center"/>
    </xf>
    <xf numFmtId="0" fontId="45" fillId="0" borderId="21" xfId="6" applyFont="1" applyBorder="1" applyAlignment="1">
      <alignment horizontal="center"/>
    </xf>
    <xf numFmtId="0" fontId="46" fillId="7" borderId="21" xfId="6" applyFont="1" applyFill="1" applyBorder="1"/>
    <xf numFmtId="0" fontId="49" fillId="0" borderId="0" xfId="6" applyFont="1" applyAlignment="1">
      <alignment horizontal="center"/>
    </xf>
    <xf numFmtId="1" fontId="45" fillId="7" borderId="8" xfId="6" applyNumberFormat="1" applyFont="1" applyFill="1" applyBorder="1" applyAlignment="1">
      <alignment horizontal="right"/>
    </xf>
    <xf numFmtId="1" fontId="45" fillId="0" borderId="10" xfId="6" applyNumberFormat="1" applyFont="1" applyBorder="1" applyAlignment="1">
      <alignment horizontal="right"/>
    </xf>
    <xf numFmtId="9" fontId="45" fillId="7" borderId="3" xfId="3" applyFont="1" applyFill="1" applyBorder="1" applyAlignment="1">
      <alignment horizontal="right"/>
    </xf>
    <xf numFmtId="9" fontId="46" fillId="0" borderId="57" xfId="3" applyFont="1" applyBorder="1" applyAlignment="1">
      <alignment horizontal="center"/>
    </xf>
    <xf numFmtId="0" fontId="46" fillId="0" borderId="34" xfId="6" applyFont="1" applyBorder="1" applyAlignment="1">
      <alignment horizontal="center" vertical="center"/>
    </xf>
    <xf numFmtId="9" fontId="45" fillId="0" borderId="61" xfId="3" applyFont="1" applyBorder="1" applyAlignment="1">
      <alignment horizontal="center"/>
    </xf>
    <xf numFmtId="10" fontId="45" fillId="0" borderId="61" xfId="3" applyNumberFormat="1" applyFont="1" applyBorder="1" applyAlignment="1">
      <alignment horizontal="center"/>
    </xf>
    <xf numFmtId="0" fontId="46" fillId="0" borderId="20" xfId="6" applyFont="1" applyBorder="1" applyAlignment="1">
      <alignment vertical="center"/>
    </xf>
    <xf numFmtId="0" fontId="3" fillId="0" borderId="0" xfId="0" applyFont="1" applyAlignment="1">
      <alignment horizontal="left"/>
    </xf>
    <xf numFmtId="0" fontId="35" fillId="0" borderId="0" xfId="0" applyFont="1" applyAlignment="1">
      <alignment vertical="center"/>
    </xf>
    <xf numFmtId="0" fontId="3" fillId="0" borderId="0" xfId="0" applyFont="1"/>
    <xf numFmtId="9" fontId="45" fillId="7" borderId="8" xfId="3" applyFont="1" applyFill="1" applyBorder="1" applyAlignment="1">
      <alignment horizontal="right"/>
    </xf>
    <xf numFmtId="0" fontId="46" fillId="0" borderId="62" xfId="6" applyFont="1" applyBorder="1" applyAlignment="1">
      <alignment horizontal="center"/>
    </xf>
    <xf numFmtId="9" fontId="45" fillId="7" borderId="1" xfId="3" applyFont="1" applyFill="1" applyBorder="1" applyAlignment="1">
      <alignment horizontal="right"/>
    </xf>
    <xf numFmtId="1" fontId="14" fillId="8" borderId="4" xfId="5" applyNumberFormat="1"/>
    <xf numFmtId="0" fontId="2" fillId="0" borderId="1" xfId="0" applyFont="1" applyBorder="1" applyAlignment="1">
      <alignment horizontal="center" vertical="center"/>
    </xf>
    <xf numFmtId="0" fontId="46" fillId="0" borderId="52" xfId="6" applyFont="1" applyBorder="1" applyAlignment="1">
      <alignment horizontal="center"/>
    </xf>
    <xf numFmtId="0" fontId="45" fillId="0" borderId="52" xfId="6" applyFont="1" applyBorder="1" applyAlignment="1">
      <alignment horizont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17" fillId="0" borderId="7" xfId="0" applyFont="1" applyBorder="1" applyAlignment="1">
      <alignment horizontal="center" vertical="center" wrapText="1"/>
    </xf>
    <xf numFmtId="0" fontId="0" fillId="0" borderId="10" xfId="0" applyBorder="1" applyAlignment="1">
      <alignment horizontal="center"/>
    </xf>
    <xf numFmtId="0" fontId="0" fillId="0" borderId="7" xfId="0" applyBorder="1" applyAlignment="1">
      <alignment horizontal="center"/>
    </xf>
    <xf numFmtId="0" fontId="46" fillId="0" borderId="27" xfId="6" applyFont="1" applyBorder="1" applyAlignment="1">
      <alignment horizontal="left"/>
    </xf>
    <xf numFmtId="1" fontId="46" fillId="0" borderId="28" xfId="6" applyNumberFormat="1" applyFont="1" applyBorder="1" applyAlignment="1">
      <alignment horizontal="right"/>
    </xf>
    <xf numFmtId="2" fontId="46" fillId="0" borderId="28" xfId="6" applyNumberFormat="1" applyFont="1" applyBorder="1"/>
    <xf numFmtId="0" fontId="26" fillId="0" borderId="1" xfId="0" applyFont="1" applyBorder="1" applyAlignment="1">
      <alignment horizontal="center"/>
    </xf>
    <xf numFmtId="0" fontId="1" fillId="0" borderId="0" xfId="0" applyFont="1"/>
    <xf numFmtId="0" fontId="0" fillId="0" borderId="19" xfId="0" applyBorder="1"/>
    <xf numFmtId="0" fontId="0" fillId="0" borderId="22" xfId="0" applyBorder="1"/>
    <xf numFmtId="0" fontId="45" fillId="0" borderId="53" xfId="6" applyFont="1" applyBorder="1" applyAlignment="1">
      <alignment horizontal="center"/>
    </xf>
    <xf numFmtId="0" fontId="45" fillId="0" borderId="1" xfId="6" applyFont="1" applyBorder="1" applyAlignment="1">
      <alignment horizontal="center"/>
    </xf>
    <xf numFmtId="0" fontId="0" fillId="0" borderId="7" xfId="0" applyBorder="1"/>
    <xf numFmtId="0" fontId="0" fillId="0" borderId="13" xfId="0" applyBorder="1"/>
    <xf numFmtId="0" fontId="0" fillId="0" borderId="1" xfId="0" applyBorder="1" applyAlignment="1">
      <alignment horizontal="center"/>
    </xf>
    <xf numFmtId="0" fontId="0" fillId="0" borderId="6" xfId="0" applyBorder="1"/>
    <xf numFmtId="0" fontId="45" fillId="0" borderId="3" xfId="6" applyFont="1" applyBorder="1" applyAlignment="1">
      <alignment horizontal="center"/>
    </xf>
    <xf numFmtId="0" fontId="46" fillId="0" borderId="25" xfId="6" applyFont="1" applyBorder="1" applyAlignment="1">
      <alignment horizontal="center" vertical="center"/>
    </xf>
    <xf numFmtId="0" fontId="0" fillId="0" borderId="3" xfId="0" applyBorder="1"/>
    <xf numFmtId="0" fontId="0" fillId="0" borderId="16" xfId="0" applyBorder="1"/>
    <xf numFmtId="0" fontId="0" fillId="0" borderId="18" xfId="0" applyBorder="1"/>
    <xf numFmtId="0" fontId="46" fillId="0" borderId="55" xfId="6" applyFont="1" applyBorder="1" applyAlignment="1">
      <alignment horizontal="center" vertical="center"/>
    </xf>
    <xf numFmtId="0" fontId="49" fillId="0" borderId="2" xfId="6" applyFont="1" applyBorder="1" applyAlignment="1">
      <alignment horizontal="center"/>
    </xf>
    <xf numFmtId="0" fontId="0" fillId="0" borderId="11" xfId="0" applyBorder="1"/>
    <xf numFmtId="0" fontId="45" fillId="0" borderId="2" xfId="6" applyFont="1" applyBorder="1" applyAlignment="1">
      <alignment horizontal="center"/>
    </xf>
    <xf numFmtId="0" fontId="0" fillId="0" borderId="20" xfId="0" applyBorder="1"/>
    <xf numFmtId="0" fontId="0" fillId="0" borderId="21" xfId="0" applyBorder="1"/>
    <xf numFmtId="0" fontId="0" fillId="0" borderId="0" xfId="0"/>
    <xf numFmtId="0" fontId="0" fillId="0" borderId="8" xfId="0" applyBorder="1"/>
    <xf numFmtId="0" fontId="0" fillId="0" borderId="14" xfId="0" applyBorder="1"/>
    <xf numFmtId="0" fontId="0" fillId="0" borderId="10" xfId="0" applyBorder="1" applyAlignment="1">
      <alignment horizontal="left" vertical="center"/>
    </xf>
    <xf numFmtId="0" fontId="0" fillId="0" borderId="1" xfId="0" applyBorder="1" applyAlignment="1">
      <alignment horizontal="center" vertical="center"/>
    </xf>
    <xf numFmtId="0" fontId="0" fillId="17" borderId="1" xfId="0" applyFill="1" applyBorder="1" applyAlignment="1">
      <alignment horizontal="center" vertical="center"/>
    </xf>
    <xf numFmtId="0" fontId="0" fillId="0" borderId="1" xfId="0" applyBorder="1" applyAlignment="1">
      <alignment horizontal="left" vertical="center"/>
    </xf>
    <xf numFmtId="0" fontId="17" fillId="0" borderId="1" xfId="0" applyFont="1" applyBorder="1" applyAlignment="1">
      <alignment horizontal="center" vertical="center" wrapText="1"/>
    </xf>
    <xf numFmtId="2" fontId="17" fillId="13" borderId="1" xfId="0" applyNumberFormat="1" applyFont="1" applyFill="1" applyBorder="1" applyAlignment="1">
      <alignment horizontal="center" vertical="center"/>
    </xf>
    <xf numFmtId="0" fontId="29" fillId="26" borderId="1" xfId="0" applyFont="1" applyFill="1" applyBorder="1" applyAlignment="1">
      <alignment horizontal="center" vertical="center" wrapText="1"/>
    </xf>
    <xf numFmtId="0" fontId="17" fillId="10" borderId="1" xfId="0" applyFont="1" applyFill="1" applyBorder="1" applyAlignment="1">
      <alignment horizontal="center" vertical="center"/>
    </xf>
    <xf numFmtId="0" fontId="0" fillId="10" borderId="1" xfId="0" applyFill="1" applyBorder="1" applyAlignment="1">
      <alignment horizontal="center"/>
    </xf>
    <xf numFmtId="0" fontId="0" fillId="0" borderId="0" xfId="0" applyAlignment="1">
      <alignment horizontal="center"/>
    </xf>
    <xf numFmtId="0" fontId="17" fillId="0" borderId="0" xfId="0" applyFont="1" applyAlignment="1">
      <alignment horizontal="left" vertical="center"/>
    </xf>
    <xf numFmtId="167" fontId="51" fillId="35" borderId="16" xfId="6" applyNumberFormat="1" applyFont="1" applyFill="1" applyBorder="1" applyAlignment="1">
      <alignment horizontal="left"/>
    </xf>
    <xf numFmtId="164" fontId="46" fillId="0" borderId="33" xfId="9" applyNumberFormat="1" applyFont="1" applyBorder="1" applyAlignment="1">
      <alignment horizontal="left"/>
    </xf>
    <xf numFmtId="164" fontId="46" fillId="0" borderId="22" xfId="9" applyNumberFormat="1" applyFont="1" applyBorder="1" applyAlignment="1">
      <alignment horizontal="left"/>
    </xf>
    <xf numFmtId="164" fontId="45" fillId="0" borderId="0" xfId="9" applyNumberFormat="1" applyFont="1" applyAlignment="1">
      <alignment horizontal="center" vertical="center"/>
    </xf>
    <xf numFmtId="164" fontId="45" fillId="0" borderId="20" xfId="9" applyNumberFormat="1" applyFont="1" applyBorder="1" applyAlignment="1">
      <alignment horizontal="center"/>
    </xf>
    <xf numFmtId="164" fontId="46" fillId="0" borderId="30" xfId="9" applyNumberFormat="1" applyFont="1" applyBorder="1" applyAlignment="1">
      <alignment horizontal="center" vertical="center"/>
    </xf>
    <xf numFmtId="164" fontId="46" fillId="0" borderId="52" xfId="9" applyNumberFormat="1" applyFont="1" applyBorder="1" applyAlignment="1">
      <alignment horizontal="center" vertical="center"/>
    </xf>
    <xf numFmtId="164" fontId="46" fillId="0" borderId="33" xfId="9" applyNumberFormat="1" applyFont="1" applyBorder="1" applyAlignment="1">
      <alignment horizontal="center" vertical="center"/>
    </xf>
    <xf numFmtId="168" fontId="45" fillId="0" borderId="8" xfId="9" applyNumberFormat="1" applyFont="1" applyBorder="1" applyAlignment="1">
      <alignment horizontal="center"/>
    </xf>
    <xf numFmtId="168" fontId="45" fillId="0" borderId="10" xfId="6" applyNumberFormat="1" applyFont="1" applyBorder="1" applyAlignment="1">
      <alignment horizontal="right"/>
    </xf>
    <xf numFmtId="168" fontId="45" fillId="0" borderId="1" xfId="9" applyNumberFormat="1" applyFont="1" applyBorder="1" applyAlignment="1">
      <alignment horizontal="center"/>
    </xf>
    <xf numFmtId="168" fontId="45" fillId="0" borderId="5" xfId="9" applyNumberFormat="1" applyFont="1" applyBorder="1" applyAlignment="1">
      <alignment horizontal="center"/>
    </xf>
    <xf numFmtId="168" fontId="45" fillId="0" borderId="2" xfId="9" applyNumberFormat="1" applyFont="1" applyBorder="1" applyAlignment="1">
      <alignment horizontal="center"/>
    </xf>
    <xf numFmtId="164" fontId="46" fillId="0" borderId="41" xfId="9" applyNumberFormat="1" applyFont="1" applyBorder="1" applyAlignment="1">
      <alignment horizontal="center"/>
    </xf>
    <xf numFmtId="164" fontId="45" fillId="0" borderId="0" xfId="9" applyNumberFormat="1" applyFont="1" applyAlignment="1">
      <alignment horizontal="center"/>
    </xf>
    <xf numFmtId="164" fontId="46" fillId="0" borderId="10" xfId="9" applyNumberFormat="1" applyFont="1" applyBorder="1" applyAlignment="1">
      <alignment horizontal="center"/>
    </xf>
    <xf numFmtId="164" fontId="46" fillId="0" borderId="35" xfId="9" applyNumberFormat="1" applyFont="1" applyBorder="1" applyAlignment="1">
      <alignment horizontal="center"/>
    </xf>
    <xf numFmtId="164" fontId="46" fillId="0" borderId="12" xfId="9" applyNumberFormat="1" applyFont="1" applyBorder="1" applyAlignment="1">
      <alignment horizontal="center"/>
    </xf>
    <xf numFmtId="164" fontId="46" fillId="0" borderId="60" xfId="9" applyNumberFormat="1" applyFont="1" applyBorder="1" applyAlignment="1">
      <alignment horizontal="center"/>
    </xf>
    <xf numFmtId="43" fontId="45" fillId="0" borderId="1" xfId="6" applyNumberFormat="1" applyFont="1" applyBorder="1" applyAlignment="1">
      <alignment horizontal="center"/>
    </xf>
    <xf numFmtId="168" fontId="45" fillId="0" borderId="10" xfId="9" applyNumberFormat="1" applyFont="1" applyBorder="1" applyAlignment="1">
      <alignment horizontal="center"/>
    </xf>
    <xf numFmtId="169" fontId="45" fillId="0" borderId="61" xfId="3" applyNumberFormat="1" applyFont="1" applyBorder="1" applyAlignment="1">
      <alignment horizontal="center"/>
    </xf>
    <xf numFmtId="170" fontId="45" fillId="0" borderId="61" xfId="3" applyNumberFormat="1" applyFont="1" applyBorder="1" applyAlignment="1">
      <alignment horizontal="center"/>
    </xf>
    <xf numFmtId="164" fontId="46" fillId="0" borderId="54" xfId="9" applyNumberFormat="1" applyFont="1" applyBorder="1" applyAlignment="1">
      <alignment horizontal="center"/>
    </xf>
    <xf numFmtId="168" fontId="46" fillId="0" borderId="53" xfId="9" applyNumberFormat="1" applyFont="1" applyBorder="1" applyAlignment="1">
      <alignment horizontal="center"/>
    </xf>
    <xf numFmtId="168" fontId="46" fillId="0" borderId="60" xfId="9" applyNumberFormat="1" applyFont="1" applyBorder="1" applyAlignment="1">
      <alignment horizontal="center"/>
    </xf>
    <xf numFmtId="164" fontId="46" fillId="0" borderId="0" xfId="9" applyNumberFormat="1" applyFont="1" applyAlignment="1">
      <alignment horizontal="center"/>
    </xf>
    <xf numFmtId="168" fontId="46" fillId="0" borderId="0" xfId="9" applyNumberFormat="1" applyFont="1" applyAlignment="1">
      <alignment horizontal="left" vertical="center"/>
    </xf>
    <xf numFmtId="168" fontId="46" fillId="0" borderId="0" xfId="9" applyNumberFormat="1" applyFont="1" applyAlignment="1">
      <alignment horizontal="right" vertical="center"/>
    </xf>
    <xf numFmtId="168" fontId="46" fillId="0" borderId="17" xfId="9" applyNumberFormat="1" applyFont="1" applyBorder="1" applyAlignment="1">
      <alignment horizontal="center"/>
    </xf>
    <xf numFmtId="164" fontId="46" fillId="0" borderId="57" xfId="9" applyNumberFormat="1" applyFont="1" applyBorder="1" applyAlignment="1">
      <alignment horizontal="center"/>
    </xf>
    <xf numFmtId="168" fontId="50" fillId="17" borderId="21" xfId="9" applyNumberFormat="1" applyFont="1" applyFill="1" applyBorder="1" applyAlignment="1">
      <alignment horizontal="center" vertical="center"/>
    </xf>
    <xf numFmtId="165" fontId="0" fillId="9" borderId="1" xfId="0" applyNumberFormat="1" applyFill="1" applyBorder="1" applyAlignment="1">
      <alignment horizontal="center" vertical="center"/>
    </xf>
    <xf numFmtId="43" fontId="0" fillId="0" borderId="1" xfId="1" applyFont="1" applyBorder="1" applyAlignment="1">
      <alignment horizontal="center" vertical="center"/>
    </xf>
    <xf numFmtId="43" fontId="0" fillId="17" borderId="1" xfId="1" applyFont="1" applyFill="1" applyBorder="1" applyAlignment="1">
      <alignment horizontal="center" vertical="center"/>
    </xf>
    <xf numFmtId="43" fontId="0" fillId="4" borderId="1" xfId="0" applyNumberFormat="1" applyFill="1" applyBorder="1"/>
    <xf numFmtId="43" fontId="0" fillId="0" borderId="0" xfId="0" applyNumberFormat="1"/>
    <xf numFmtId="43" fontId="0" fillId="0" borderId="1" xfId="0" applyNumberFormat="1" applyBorder="1"/>
    <xf numFmtId="166" fontId="0" fillId="0" borderId="0" xfId="0" applyNumberFormat="1"/>
    <xf numFmtId="44" fontId="0" fillId="0" borderId="0" xfId="0" applyNumberFormat="1"/>
    <xf numFmtId="166" fontId="0" fillId="0" borderId="0" xfId="2" applyNumberFormat="1" applyFont="1"/>
    <xf numFmtId="171" fontId="0" fillId="0" borderId="0" xfId="0" applyNumberFormat="1"/>
    <xf numFmtId="44" fontId="0" fillId="0" borderId="0" xfId="2" applyFont="1"/>
    <xf numFmtId="166" fontId="21" fillId="16" borderId="40" xfId="2" applyNumberFormat="1" applyFont="1" applyFill="1" applyBorder="1" applyAlignment="1">
      <alignment vertical="center"/>
    </xf>
    <xf numFmtId="44" fontId="42" fillId="7" borderId="41" xfId="0" applyNumberFormat="1" applyFont="1" applyFill="1" applyBorder="1" applyAlignment="1">
      <alignment vertical="center"/>
    </xf>
    <xf numFmtId="172" fontId="0" fillId="0" borderId="3" xfId="0" applyNumberFormat="1" applyBorder="1"/>
    <xf numFmtId="44" fontId="19" fillId="7" borderId="41" xfId="0" applyNumberFormat="1" applyFont="1" applyFill="1" applyBorder="1" applyAlignment="1">
      <alignment vertical="center"/>
    </xf>
    <xf numFmtId="172" fontId="0" fillId="0" borderId="1" xfId="0" applyNumberFormat="1" applyBorder="1"/>
    <xf numFmtId="172" fontId="19" fillId="7" borderId="1" xfId="0" applyNumberFormat="1" applyFont="1" applyFill="1" applyBorder="1"/>
    <xf numFmtId="172" fontId="0" fillId="0" borderId="28" xfId="0" applyNumberFormat="1" applyBorder="1"/>
    <xf numFmtId="172" fontId="19" fillId="7" borderId="28" xfId="0" applyNumberFormat="1" applyFont="1" applyFill="1" applyBorder="1"/>
    <xf numFmtId="173" fontId="30" fillId="26" borderId="1" xfId="0" applyNumberFormat="1" applyFont="1" applyFill="1" applyBorder="1" applyAlignment="1">
      <alignment horizontal="center" vertical="center" wrapText="1"/>
    </xf>
    <xf numFmtId="174" fontId="0" fillId="20" borderId="1" xfId="0" applyNumberFormat="1" applyFill="1" applyBorder="1" applyAlignment="1">
      <alignment vertical="center"/>
    </xf>
    <xf numFmtId="173" fontId="0" fillId="7" borderId="1" xfId="0" applyNumberFormat="1" applyFill="1" applyBorder="1" applyAlignment="1">
      <alignment horizontal="center"/>
    </xf>
    <xf numFmtId="174" fontId="0" fillId="0" borderId="0" xfId="0" applyNumberFormat="1" applyAlignment="1">
      <alignment horizontal="center"/>
    </xf>
    <xf numFmtId="166" fontId="14" fillId="8" borderId="4" xfId="2" applyNumberFormat="1" applyFont="1" applyFill="1" applyBorder="1"/>
    <xf numFmtId="0" fontId="4" fillId="0" borderId="1" xfId="0" applyFont="1" applyBorder="1" applyAlignment="1">
      <alignment horizontal="center"/>
    </xf>
    <xf numFmtId="0" fontId="0" fillId="0" borderId="7" xfId="0" applyBorder="1"/>
    <xf numFmtId="168" fontId="46" fillId="0" borderId="1" xfId="9" applyNumberFormat="1" applyFont="1" applyBorder="1" applyAlignment="1">
      <alignment horizontal="right" vertical="center"/>
    </xf>
    <xf numFmtId="0" fontId="46" fillId="0" borderId="25" xfId="6" applyFont="1" applyBorder="1" applyAlignment="1">
      <alignment horizontal="center" vertical="top" wrapText="1"/>
    </xf>
    <xf numFmtId="0" fontId="0" fillId="0" borderId="67" xfId="0" applyBorder="1"/>
    <xf numFmtId="0" fontId="0" fillId="0" borderId="3" xfId="0" applyBorder="1"/>
    <xf numFmtId="0" fontId="44" fillId="0" borderId="74" xfId="6" applyFont="1" applyBorder="1" applyAlignment="1">
      <alignment horizontal="center" vertical="center"/>
    </xf>
    <xf numFmtId="0" fontId="0" fillId="0" borderId="16" xfId="0" applyBorder="1"/>
    <xf numFmtId="0" fontId="0" fillId="0" borderId="20" xfId="0" applyBorder="1"/>
    <xf numFmtId="0" fontId="0" fillId="0" borderId="18" xfId="0" applyBorder="1"/>
    <xf numFmtId="0" fontId="0" fillId="0" borderId="19" xfId="0" applyBorder="1"/>
    <xf numFmtId="0" fontId="0" fillId="0" borderId="22" xfId="0" applyBorder="1"/>
    <xf numFmtId="0" fontId="45" fillId="0" borderId="1" xfId="6" applyFont="1" applyBorder="1" applyAlignment="1">
      <alignment horizontal="center"/>
    </xf>
    <xf numFmtId="0" fontId="0" fillId="0" borderId="9" xfId="0" applyBorder="1"/>
    <xf numFmtId="0" fontId="46" fillId="0" borderId="1" xfId="6" applyFont="1" applyBorder="1" applyAlignment="1">
      <alignment horizontal="center"/>
    </xf>
    <xf numFmtId="0" fontId="45" fillId="0" borderId="68" xfId="6" applyFont="1" applyBorder="1" applyAlignment="1">
      <alignment horizontal="center" wrapText="1"/>
    </xf>
    <xf numFmtId="0" fontId="0" fillId="0" borderId="21" xfId="0" applyBorder="1"/>
    <xf numFmtId="168" fontId="46" fillId="17" borderId="74" xfId="9" applyNumberFormat="1" applyFont="1" applyFill="1" applyBorder="1" applyAlignment="1">
      <alignment horizontal="center" vertical="center"/>
    </xf>
    <xf numFmtId="0" fontId="46" fillId="0" borderId="71" xfId="6" applyFont="1" applyBorder="1" applyAlignment="1">
      <alignment horizontal="center" vertical="center"/>
    </xf>
    <xf numFmtId="0" fontId="0" fillId="0" borderId="72" xfId="0" applyBorder="1"/>
    <xf numFmtId="0" fontId="0" fillId="0" borderId="1" xfId="0" applyBorder="1" applyAlignment="1">
      <alignment horizontal="center"/>
    </xf>
    <xf numFmtId="0" fontId="46" fillId="0" borderId="25" xfId="6" applyFont="1" applyBorder="1" applyAlignment="1">
      <alignment horizontal="center" vertical="center"/>
    </xf>
    <xf numFmtId="0" fontId="0" fillId="0" borderId="63" xfId="0" applyBorder="1"/>
    <xf numFmtId="0" fontId="0" fillId="0" borderId="5" xfId="0" applyBorder="1"/>
    <xf numFmtId="0" fontId="0" fillId="0" borderId="0" xfId="0"/>
    <xf numFmtId="0" fontId="0" fillId="0" borderId="64" xfId="0" applyBorder="1"/>
    <xf numFmtId="0" fontId="0" fillId="0" borderId="8" xfId="0" applyBorder="1"/>
    <xf numFmtId="0" fontId="0" fillId="0" borderId="14" xfId="0" applyBorder="1"/>
    <xf numFmtId="0" fontId="0" fillId="0" borderId="6" xfId="0" applyBorder="1"/>
    <xf numFmtId="0" fontId="46" fillId="0" borderId="24" xfId="6" applyFont="1" applyBorder="1" applyAlignment="1">
      <alignment horizontal="center" vertical="center"/>
    </xf>
    <xf numFmtId="0" fontId="0" fillId="0" borderId="69" xfId="0" applyBorder="1"/>
    <xf numFmtId="168" fontId="46" fillId="0" borderId="57" xfId="9" applyNumberFormat="1" applyFont="1" applyBorder="1" applyAlignment="1">
      <alignment horizontal="center"/>
    </xf>
    <xf numFmtId="0" fontId="0" fillId="0" borderId="54" xfId="0" applyBorder="1"/>
    <xf numFmtId="168" fontId="45" fillId="0" borderId="51" xfId="6" applyNumberFormat="1" applyFont="1" applyBorder="1" applyAlignment="1">
      <alignment horizontal="center"/>
    </xf>
    <xf numFmtId="0" fontId="0" fillId="0" borderId="51" xfId="0" applyBorder="1"/>
    <xf numFmtId="0" fontId="0" fillId="0" borderId="42" xfId="0" applyBorder="1"/>
    <xf numFmtId="0" fontId="46" fillId="0" borderId="50" xfId="6" applyFont="1" applyBorder="1" applyAlignment="1">
      <alignment horizontal="center" vertical="center" wrapText="1"/>
    </xf>
    <xf numFmtId="0" fontId="0" fillId="0" borderId="73" xfId="0" applyBorder="1"/>
    <xf numFmtId="0" fontId="0" fillId="0" borderId="2" xfId="0" applyBorder="1" applyAlignment="1">
      <alignment horizontal="center"/>
    </xf>
    <xf numFmtId="0" fontId="0" fillId="0" borderId="11" xfId="0" applyBorder="1"/>
    <xf numFmtId="168" fontId="46" fillId="0" borderId="3" xfId="9" applyNumberFormat="1" applyFont="1" applyBorder="1" applyAlignment="1">
      <alignment horizontal="left" vertical="center"/>
    </xf>
    <xf numFmtId="1" fontId="46" fillId="0" borderId="19" xfId="6" applyNumberFormat="1" applyFont="1" applyBorder="1" applyAlignment="1">
      <alignment horizontal="center" vertical="center"/>
    </xf>
    <xf numFmtId="0" fontId="45" fillId="0" borderId="39" xfId="6" applyFont="1" applyBorder="1" applyAlignment="1">
      <alignment horizontal="center"/>
    </xf>
    <xf numFmtId="0" fontId="0" fillId="0" borderId="59" xfId="0" applyBorder="1"/>
    <xf numFmtId="0" fontId="45" fillId="0" borderId="2" xfId="6" applyFont="1" applyBorder="1" applyAlignment="1">
      <alignment horizontal="center"/>
    </xf>
    <xf numFmtId="0" fontId="0" fillId="0" borderId="70" xfId="0" applyBorder="1"/>
    <xf numFmtId="0" fontId="45" fillId="0" borderId="54" xfId="6" applyFont="1" applyBorder="1" applyAlignment="1">
      <alignment horizontal="center"/>
    </xf>
    <xf numFmtId="9" fontId="45" fillId="0" borderId="1" xfId="6" applyNumberFormat="1" applyFont="1" applyBorder="1" applyAlignment="1">
      <alignment horizontal="center"/>
    </xf>
    <xf numFmtId="0" fontId="45" fillId="0" borderId="65" xfId="6" applyFont="1" applyBorder="1" applyAlignment="1">
      <alignment horizontal="center"/>
    </xf>
    <xf numFmtId="0" fontId="0" fillId="0" borderId="53" xfId="0" applyBorder="1"/>
    <xf numFmtId="0" fontId="0" fillId="0" borderId="66" xfId="0" applyBorder="1"/>
    <xf numFmtId="168" fontId="50" fillId="17" borderId="68" xfId="9" applyNumberFormat="1" applyFont="1" applyFill="1" applyBorder="1" applyAlignment="1">
      <alignment horizontal="center" vertical="center"/>
    </xf>
    <xf numFmtId="0" fontId="45" fillId="0" borderId="3" xfId="6" applyFont="1" applyBorder="1" applyAlignment="1">
      <alignment horizontal="center"/>
    </xf>
    <xf numFmtId="0" fontId="46" fillId="17" borderId="81" xfId="6" applyFont="1" applyFill="1" applyBorder="1" applyAlignment="1">
      <alignment horizontal="center" vertical="center"/>
    </xf>
    <xf numFmtId="168" fontId="46" fillId="0" borderId="1" xfId="9" applyNumberFormat="1" applyFont="1" applyBorder="1" applyAlignment="1">
      <alignment horizontal="left" vertical="center"/>
    </xf>
    <xf numFmtId="0" fontId="46" fillId="0" borderId="33" xfId="6" applyFont="1" applyBorder="1" applyAlignment="1">
      <alignment horizontal="left" vertical="center"/>
    </xf>
    <xf numFmtId="0" fontId="0" fillId="0" borderId="13" xfId="0" applyBorder="1"/>
    <xf numFmtId="0" fontId="0" fillId="0" borderId="38" xfId="0" applyBorder="1"/>
    <xf numFmtId="0" fontId="0" fillId="0" borderId="80" xfId="0" applyBorder="1"/>
    <xf numFmtId="0" fontId="46" fillId="0" borderId="57" xfId="6" applyFont="1" applyBorder="1" applyAlignment="1">
      <alignment horizontal="center"/>
    </xf>
    <xf numFmtId="0" fontId="46" fillId="0" borderId="75" xfId="6" applyFont="1" applyBorder="1" applyAlignment="1">
      <alignment horizontal="left" vertical="center"/>
    </xf>
    <xf numFmtId="0" fontId="0" fillId="0" borderId="76" xfId="0" applyBorder="1"/>
    <xf numFmtId="0" fontId="0" fillId="0" borderId="77" xfId="0" applyBorder="1"/>
    <xf numFmtId="0" fontId="0" fillId="0" borderId="78" xfId="0" applyBorder="1"/>
    <xf numFmtId="0" fontId="0" fillId="0" borderId="79" xfId="0" applyBorder="1"/>
    <xf numFmtId="0" fontId="0" fillId="0" borderId="58" xfId="0" applyBorder="1"/>
    <xf numFmtId="9" fontId="45" fillId="0" borderId="3" xfId="6" applyNumberFormat="1" applyFont="1" applyBorder="1" applyAlignment="1">
      <alignment horizontal="center"/>
    </xf>
    <xf numFmtId="0" fontId="46" fillId="0" borderId="18" xfId="6" applyFont="1" applyBorder="1" applyAlignment="1">
      <alignment horizontal="center"/>
    </xf>
    <xf numFmtId="0" fontId="0" fillId="0" borderId="3" xfId="0" applyBorder="1" applyAlignment="1">
      <alignment horizontal="center"/>
    </xf>
    <xf numFmtId="0" fontId="46" fillId="0" borderId="55" xfId="6" applyFont="1" applyBorder="1" applyAlignment="1">
      <alignment horizontal="center" vertical="center"/>
    </xf>
    <xf numFmtId="0" fontId="0" fillId="0" borderId="55" xfId="0" applyBorder="1"/>
    <xf numFmtId="0" fontId="49" fillId="0" borderId="2" xfId="6" applyFont="1" applyBorder="1" applyAlignment="1">
      <alignment horizontal="center"/>
    </xf>
    <xf numFmtId="0" fontId="46" fillId="0" borderId="18" xfId="6" applyFont="1" applyBorder="1" applyAlignment="1">
      <alignment horizontal="left" vertical="center" wrapText="1"/>
    </xf>
    <xf numFmtId="0" fontId="45" fillId="0" borderId="22" xfId="6" applyFont="1" applyBorder="1" applyAlignment="1">
      <alignment horizontal="center" vertical="center"/>
    </xf>
    <xf numFmtId="0" fontId="45" fillId="0" borderId="53" xfId="6" applyFont="1" applyBorder="1" applyAlignment="1">
      <alignment horizontal="center"/>
    </xf>
    <xf numFmtId="0" fontId="45" fillId="0" borderId="57" xfId="6" applyFont="1" applyBorder="1" applyAlignment="1">
      <alignment horizontal="center"/>
    </xf>
    <xf numFmtId="0" fontId="0" fillId="0" borderId="10" xfId="0" applyBorder="1" applyAlignment="1">
      <alignment horizontal="left" vertical="center"/>
    </xf>
    <xf numFmtId="0" fontId="0" fillId="0" borderId="1" xfId="0" applyBorder="1" applyAlignment="1">
      <alignment horizontal="left" vertical="center"/>
    </xf>
    <xf numFmtId="0" fontId="17" fillId="17" borderId="7" xfId="0" applyFont="1" applyFill="1" applyBorder="1" applyAlignment="1">
      <alignment horizontal="center" vertical="center" wrapText="1"/>
    </xf>
    <xf numFmtId="0" fontId="0" fillId="0" borderId="1" xfId="0" applyBorder="1" applyAlignment="1">
      <alignment horizontal="center" vertical="center"/>
    </xf>
    <xf numFmtId="0" fontId="20" fillId="15" borderId="1" xfId="0" applyFont="1" applyFill="1" applyBorder="1" applyAlignment="1">
      <alignment horizontal="center" vertical="center"/>
    </xf>
    <xf numFmtId="0" fontId="17" fillId="17" borderId="1" xfId="0" applyFont="1" applyFill="1" applyBorder="1" applyAlignment="1">
      <alignment horizontal="center" vertical="center"/>
    </xf>
    <xf numFmtId="0" fontId="4" fillId="0" borderId="10" xfId="0" applyFont="1" applyBorder="1" applyAlignment="1">
      <alignment horizontal="left" vertical="center"/>
    </xf>
    <xf numFmtId="0" fontId="17" fillId="13" borderId="1" xfId="0" applyFont="1" applyFill="1" applyBorder="1" applyAlignment="1">
      <alignment horizontal="center" vertical="center"/>
    </xf>
    <xf numFmtId="2" fontId="17" fillId="13" borderId="1" xfId="0" applyNumberFormat="1" applyFont="1" applyFill="1" applyBorder="1" applyAlignment="1">
      <alignment horizontal="center" vertical="center"/>
    </xf>
    <xf numFmtId="0" fontId="0" fillId="17" borderId="1" xfId="0" applyFill="1" applyBorder="1" applyAlignment="1">
      <alignment horizontal="center" vertical="center"/>
    </xf>
    <xf numFmtId="0" fontId="15" fillId="10" borderId="0" xfId="0" applyFont="1" applyFill="1" applyAlignment="1">
      <alignment horizontal="center"/>
    </xf>
    <xf numFmtId="0" fontId="0" fillId="0" borderId="9" xfId="0" applyBorder="1" applyAlignment="1">
      <alignment horizontal="center"/>
    </xf>
    <xf numFmtId="0" fontId="16" fillId="0" borderId="5" xfId="0" applyFont="1" applyBorder="1" applyAlignment="1">
      <alignment horizontal="center" vertical="center"/>
    </xf>
    <xf numFmtId="0" fontId="16" fillId="0" borderId="1" xfId="0" applyFont="1" applyBorder="1" applyAlignment="1">
      <alignment horizontal="center" vertical="center"/>
    </xf>
    <xf numFmtId="0" fontId="17" fillId="0" borderId="1" xfId="0" applyFont="1" applyBorder="1" applyAlignment="1">
      <alignment horizontal="left" vertical="center"/>
    </xf>
    <xf numFmtId="0" fontId="0" fillId="17" borderId="1" xfId="0" applyFill="1" applyBorder="1" applyAlignment="1">
      <alignment horizontal="left" vertical="center"/>
    </xf>
    <xf numFmtId="0" fontId="0" fillId="14" borderId="1" xfId="0" applyFill="1" applyBorder="1" applyAlignment="1">
      <alignment horizontal="center" vertical="center"/>
    </xf>
    <xf numFmtId="0" fontId="17" fillId="0" borderId="1" xfId="0" applyFont="1" applyBorder="1" applyAlignment="1">
      <alignment horizontal="center" vertical="center" wrapText="1"/>
    </xf>
    <xf numFmtId="0" fontId="7" fillId="0" borderId="25" xfId="0" applyFont="1" applyBorder="1" applyAlignment="1">
      <alignment horizontal="center"/>
    </xf>
    <xf numFmtId="0" fontId="0" fillId="0" borderId="82" xfId="0" applyBorder="1"/>
    <xf numFmtId="0" fontId="6" fillId="0" borderId="34" xfId="0" applyFont="1" applyBorder="1" applyAlignment="1">
      <alignment horizontal="center" vertical="center"/>
    </xf>
    <xf numFmtId="0" fontId="0" fillId="0" borderId="83" xfId="0" applyBorder="1"/>
    <xf numFmtId="0" fontId="0" fillId="0" borderId="61" xfId="0" applyBorder="1"/>
    <xf numFmtId="0" fontId="19" fillId="7" borderId="20" xfId="0" applyFont="1" applyFill="1" applyBorder="1" applyAlignment="1">
      <alignment horizontal="center"/>
    </xf>
    <xf numFmtId="175" fontId="43" fillId="0" borderId="0" xfId="0" applyNumberFormat="1" applyFont="1" applyAlignment="1">
      <alignment horizontal="center"/>
    </xf>
    <xf numFmtId="0" fontId="17" fillId="18" borderId="1" xfId="0" applyFont="1" applyFill="1" applyBorder="1" applyAlignment="1">
      <alignment horizontal="center" vertical="center" wrapText="1"/>
    </xf>
    <xf numFmtId="0" fontId="28" fillId="0" borderId="1" xfId="0" applyFont="1" applyBorder="1" applyAlignment="1">
      <alignment horizontal="left" vertical="center" readingOrder="1"/>
    </xf>
    <xf numFmtId="0" fontId="29" fillId="26" borderId="1" xfId="0" applyFont="1" applyFill="1" applyBorder="1" applyAlignment="1">
      <alignment horizontal="center" vertical="center" wrapText="1"/>
    </xf>
    <xf numFmtId="0" fontId="17" fillId="0" borderId="1" xfId="0" applyFont="1" applyBorder="1" applyAlignment="1">
      <alignment horizontal="center" vertical="center"/>
    </xf>
    <xf numFmtId="0" fontId="0" fillId="11" borderId="1" xfId="0" applyFill="1" applyBorder="1" applyAlignment="1">
      <alignment horizontal="center" vertical="center"/>
    </xf>
    <xf numFmtId="0" fontId="0" fillId="2" borderId="1" xfId="0" applyFill="1" applyBorder="1" applyAlignment="1">
      <alignment horizontal="center" vertical="center"/>
    </xf>
    <xf numFmtId="0" fontId="41" fillId="7" borderId="86" xfId="0" applyFont="1" applyFill="1" applyBorder="1" applyAlignment="1">
      <alignment horizontal="left" vertical="top" wrapText="1"/>
    </xf>
    <xf numFmtId="0" fontId="0" fillId="0" borderId="47" xfId="0" applyBorder="1"/>
    <xf numFmtId="0" fontId="17" fillId="7" borderId="84" xfId="0" applyFont="1" applyFill="1" applyBorder="1" applyAlignment="1">
      <alignment horizontal="left" vertical="center"/>
    </xf>
    <xf numFmtId="0" fontId="0" fillId="0" borderId="46" xfId="0" applyBorder="1"/>
    <xf numFmtId="0" fontId="16" fillId="7" borderId="85" xfId="0" applyFont="1" applyFill="1" applyBorder="1" applyAlignment="1">
      <alignment horizontal="center" vertical="center"/>
    </xf>
    <xf numFmtId="0" fontId="0" fillId="0" borderId="44" xfId="0" applyBorder="1"/>
    <xf numFmtId="0" fontId="0" fillId="0" borderId="45" xfId="0" applyBorder="1"/>
    <xf numFmtId="0" fontId="8" fillId="0" borderId="60" xfId="0" applyFont="1" applyBorder="1" applyAlignment="1">
      <alignment horizontal="center" vertical="center" wrapText="1"/>
    </xf>
    <xf numFmtId="0" fontId="0" fillId="0" borderId="48" xfId="0" applyBorder="1"/>
    <xf numFmtId="0" fontId="0" fillId="0" borderId="49" xfId="0" applyBorder="1"/>
    <xf numFmtId="0" fontId="17" fillId="10" borderId="1" xfId="0" applyFont="1" applyFill="1" applyBorder="1" applyAlignment="1">
      <alignment horizontal="center" vertical="center"/>
    </xf>
    <xf numFmtId="0" fontId="0" fillId="0" borderId="1" xfId="0"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xf>
    <xf numFmtId="0" fontId="17" fillId="16" borderId="0" xfId="0" applyFont="1" applyFill="1" applyAlignment="1">
      <alignment horizontal="center"/>
    </xf>
    <xf numFmtId="0" fontId="0" fillId="0" borderId="0" xfId="0" applyAlignment="1">
      <alignment horizontal="center"/>
    </xf>
    <xf numFmtId="0" fontId="0" fillId="13" borderId="1" xfId="0" applyFill="1" applyBorder="1" applyAlignment="1">
      <alignment horizontal="center" vertical="center"/>
    </xf>
    <xf numFmtId="0" fontId="0" fillId="13" borderId="1" xfId="0" applyFill="1" applyBorder="1" applyAlignment="1">
      <alignment horizontal="center" wrapText="1"/>
    </xf>
    <xf numFmtId="0" fontId="25" fillId="0" borderId="1" xfId="0" applyFont="1" applyBorder="1" applyAlignment="1">
      <alignment horizontal="center"/>
    </xf>
    <xf numFmtId="0" fontId="17" fillId="11" borderId="1" xfId="0" applyFont="1" applyFill="1" applyBorder="1" applyAlignment="1">
      <alignment horizontal="center"/>
    </xf>
    <xf numFmtId="0" fontId="17" fillId="19" borderId="1" xfId="0" applyFont="1" applyFill="1" applyBorder="1" applyAlignment="1">
      <alignment horizontal="center"/>
    </xf>
    <xf numFmtId="0" fontId="17" fillId="20" borderId="1" xfId="0" applyFont="1" applyFill="1" applyBorder="1" applyAlignment="1">
      <alignment horizontal="center"/>
    </xf>
    <xf numFmtId="0" fontId="17" fillId="0" borderId="0" xfId="0" applyFont="1" applyAlignment="1">
      <alignment horizontal="left" vertical="center"/>
    </xf>
    <xf numFmtId="0" fontId="14" fillId="8" borderId="4" xfId="5" applyAlignment="1">
      <alignment horizontal="center"/>
    </xf>
    <xf numFmtId="0" fontId="0" fillId="0" borderId="87" xfId="0" applyBorder="1"/>
    <xf numFmtId="0" fontId="0" fillId="0" borderId="88" xfId="0" applyBorder="1"/>
  </cellXfs>
  <cellStyles count="10">
    <cellStyle name="20% - Accent4" xfId="7" builtinId="42"/>
    <cellStyle name="40% - Accent2" xfId="4" builtinId="35"/>
    <cellStyle name="Comma" xfId="1" builtinId="3"/>
    <cellStyle name="Comma 2" xfId="8"/>
    <cellStyle name="Comma 2 2" xfId="9"/>
    <cellStyle name="Currency" xfId="2" builtinId="4"/>
    <cellStyle name="Normal" xfId="0" builtinId="0"/>
    <cellStyle name="Normal 2" xfId="6"/>
    <cellStyle name="Output" xfId="5" builtinId="21"/>
    <cellStyle name="Percent" xfId="3" builtinId="5"/>
  </cellStyles>
  <dxfs count="159">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strike val="0"/>
        <sz val="11"/>
        <color theme="1"/>
        <name val="Calibri"/>
      </font>
      <fill>
        <patternFill patternType="solid">
          <bgColor theme="2" tint="-9.9978637043366805E-2"/>
        </patternFill>
      </fill>
      <border>
        <left style="thin">
          <color auto="1"/>
        </left>
        <right/>
        <top style="thin">
          <color auto="1"/>
        </top>
        <bottom style="thin">
          <color auto="1"/>
        </bottom>
      </border>
    </dxf>
    <dxf>
      <fill>
        <patternFill patternType="solid">
          <bgColor theme="2" tint="-9.9978637043366805E-2"/>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3"/>
        </patternFill>
      </fill>
      <alignment vertical="center"/>
      <border>
        <left style="thin">
          <color auto="1"/>
        </left>
        <right style="thin">
          <color auto="1"/>
        </right>
        <top style="thin">
          <color auto="1"/>
        </top>
        <bottom style="thin">
          <color auto="1"/>
        </bottom>
      </border>
    </dxf>
    <dxf>
      <fill>
        <patternFill patternType="solid">
          <bgColor theme="5" tint="0.79995117038483843"/>
        </patternFill>
      </fill>
      <alignment vertical="center"/>
      <border>
        <left style="thin">
          <color auto="1"/>
        </left>
        <right style="thin">
          <color auto="1"/>
        </right>
        <top style="thin">
          <color auto="1"/>
        </top>
        <bottom style="thin">
          <color auto="1"/>
        </bottom>
      </border>
    </dxf>
    <dxf>
      <fill>
        <patternFill patternType="solid">
          <bgColor theme="5" tint="0.79995117038483843"/>
        </patternFill>
      </fill>
      <alignment vertical="center"/>
      <border>
        <left style="thin">
          <color auto="1"/>
        </left>
        <right style="thin">
          <color auto="1"/>
        </right>
        <top style="thin">
          <color auto="1"/>
        </top>
        <bottom style="thin">
          <color auto="1"/>
        </bottom>
      </border>
    </dxf>
    <dxf>
      <numFmt numFmtId="0" formatCode="General"/>
      <fill>
        <patternFill patternType="solid">
          <bgColor theme="9" tint="0.79995117038483843"/>
        </patternFill>
      </fill>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strike val="0"/>
        <sz val="10"/>
        <color auto="1"/>
        <name val="Arial"/>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strike val="0"/>
        <sz val="10"/>
        <color auto="1"/>
        <name val="Arial"/>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strike val="0"/>
        <sz val="10"/>
        <color auto="1"/>
        <name val="Arial"/>
      </font>
      <border>
        <left style="thin">
          <color auto="1"/>
        </left>
        <right style="thin">
          <color auto="1"/>
        </right>
        <top style="thin">
          <color auto="1"/>
        </top>
        <bottom style="thin">
          <color auto="1"/>
        </bottom>
      </border>
      <protection locked="0" hidden="0"/>
    </dxf>
    <dxf>
      <font>
        <strike val="0"/>
        <sz val="10"/>
        <color auto="1"/>
        <name val="Arial"/>
      </font>
      <border>
        <left style="thin">
          <color auto="1"/>
        </left>
        <right style="thin">
          <color auto="1"/>
        </right>
        <top style="thin">
          <color auto="1"/>
        </top>
        <bottom style="thin">
          <color auto="1"/>
        </bottom>
      </border>
      <protection locked="0" hidden="0"/>
    </dxf>
    <dxf>
      <font>
        <strike val="0"/>
        <sz val="10"/>
        <color auto="1"/>
        <name val="Arial"/>
      </font>
      <alignment horizontal="center" vertical="center"/>
      <border>
        <left style="thin">
          <color auto="1"/>
        </left>
        <right style="thin">
          <color auto="1"/>
        </right>
        <top style="thin">
          <color auto="1"/>
        </top>
        <bottom style="thin">
          <color auto="1"/>
        </bottom>
      </border>
      <protection locked="0" hidden="0"/>
    </dxf>
    <dxf>
      <font>
        <strike val="0"/>
        <sz val="10"/>
        <color auto="1"/>
        <name val="Arial"/>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strike val="0"/>
        <sz val="10"/>
        <color auto="1"/>
        <name val="Arial"/>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strike val="0"/>
        <sz val="10"/>
        <color auto="1"/>
        <name val="Arial"/>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strike val="0"/>
        <sz val="11"/>
        <color theme="1"/>
        <name val="Calibri"/>
      </font>
      <alignment vertical="center"/>
      <border>
        <left/>
        <right/>
        <top style="thin">
          <color auto="1"/>
        </top>
        <bottom style="thin">
          <color auto="1"/>
        </bottom>
      </border>
    </dxf>
    <dxf>
      <numFmt numFmtId="0" formatCode="General"/>
    </dxf>
    <dxf>
      <fill>
        <patternFill patternType="solid">
          <bgColor theme="1" tint="4.9989318521683403E-2"/>
        </patternFill>
      </fill>
    </dxf>
    <dxf>
      <fill>
        <patternFill patternType="solid">
          <bgColor theme="9" tint="0.39991454817346722"/>
        </patternFill>
      </fill>
    </dxf>
    <dxf>
      <fill>
        <patternFill patternType="solid">
          <bgColor theme="9" tint="0.399914548173467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mOULD </a:t>
            </a:r>
            <a:r>
              <a:rPr lang="en-IN" baseline="0"/>
              <a:t>- RAW MATERIAL </a:t>
            </a:r>
            <a:endParaRPr lang="en-IN"/>
          </a:p>
        </c:rich>
      </c:tx>
      <c:overlay val="0"/>
      <c:spPr>
        <a:noFill/>
        <a:ln>
          <a:noFill/>
          <a:prstDash val="solid"/>
        </a:ln>
      </c:spPr>
    </c:title>
    <c:autoTitleDeleted val="0"/>
    <c:plotArea>
      <c:layout/>
      <c:barChart>
        <c:barDir val="col"/>
        <c:grouping val="clustered"/>
        <c:varyColors val="0"/>
        <c:ser>
          <c:idx val="0"/>
          <c:order val="0"/>
          <c:tx>
            <c:strRef>
              <c:f>DASHBOARD!$B$14</c:f>
              <c:strCache>
                <c:ptCount val="1"/>
                <c:pt idx="0">
                  <c:v>MOULD BASE</c:v>
                </c:pt>
              </c:strCache>
            </c:strRef>
          </c:tx>
          <c:spPr>
            <a:solidFill>
              <a:schemeClr val="accent1"/>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DASHBOARD!$I$14</c:f>
              <c:numCache>
                <c:formatCode>0%</c:formatCode>
                <c:ptCount val="1"/>
                <c:pt idx="0">
                  <c:v>0.113329537934588</c:v>
                </c:pt>
              </c:numCache>
            </c:numRef>
          </c:val>
          <c:extLst>
            <c:ext xmlns:c16="http://schemas.microsoft.com/office/drawing/2014/chart" uri="{C3380CC4-5D6E-409C-BE32-E72D297353CC}">
              <c16:uniqueId val="{00000000-68C7-4CF9-9722-0A4E8C3B717C}"/>
            </c:ext>
          </c:extLst>
        </c:ser>
        <c:ser>
          <c:idx val="1"/>
          <c:order val="1"/>
          <c:tx>
            <c:strRef>
              <c:f>DASHBOARD!$B$15</c:f>
              <c:strCache>
                <c:ptCount val="1"/>
                <c:pt idx="0">
                  <c:v>CORE </c:v>
                </c:pt>
              </c:strCache>
            </c:strRef>
          </c:tx>
          <c:spPr>
            <a:solidFill>
              <a:schemeClr val="accent2"/>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DASHBOARD!$I$15</c:f>
              <c:numCache>
                <c:formatCode>0%</c:formatCode>
                <c:ptCount val="1"/>
                <c:pt idx="0">
                  <c:v>0.1483245299953036</c:v>
                </c:pt>
              </c:numCache>
            </c:numRef>
          </c:val>
          <c:extLst>
            <c:ext xmlns:c16="http://schemas.microsoft.com/office/drawing/2014/chart" uri="{C3380CC4-5D6E-409C-BE32-E72D297353CC}">
              <c16:uniqueId val="{00000001-68C7-4CF9-9722-0A4E8C3B717C}"/>
            </c:ext>
          </c:extLst>
        </c:ser>
        <c:ser>
          <c:idx val="2"/>
          <c:order val="2"/>
          <c:tx>
            <c:strRef>
              <c:f>DASHBOARD!$B$16</c:f>
              <c:strCache>
                <c:ptCount val="1"/>
                <c:pt idx="0">
                  <c:v>CAVITY</c:v>
                </c:pt>
              </c:strCache>
            </c:strRef>
          </c:tx>
          <c:spPr>
            <a:solidFill>
              <a:schemeClr val="accent3"/>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DASHBOARD!$I$16</c:f>
              <c:numCache>
                <c:formatCode>0%</c:formatCode>
                <c:ptCount val="1"/>
                <c:pt idx="0">
                  <c:v>0.14438917334969631</c:v>
                </c:pt>
              </c:numCache>
            </c:numRef>
          </c:val>
          <c:extLst>
            <c:ext xmlns:c16="http://schemas.microsoft.com/office/drawing/2014/chart" uri="{C3380CC4-5D6E-409C-BE32-E72D297353CC}">
              <c16:uniqueId val="{00000002-68C7-4CF9-9722-0A4E8C3B717C}"/>
            </c:ext>
          </c:extLst>
        </c:ser>
        <c:ser>
          <c:idx val="3"/>
          <c:order val="3"/>
          <c:tx>
            <c:strRef>
              <c:f>DASHBOARD!$B$17</c:f>
              <c:strCache>
                <c:ptCount val="1"/>
                <c:pt idx="0">
                  <c:v>ELECTRODES</c:v>
                </c:pt>
              </c:strCache>
            </c:strRef>
          </c:tx>
          <c:spPr>
            <a:solidFill>
              <a:schemeClr val="accent4"/>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DASHBOARD!$I$17</c:f>
              <c:numCache>
                <c:formatCode>0%</c:formatCode>
                <c:ptCount val="1"/>
                <c:pt idx="0">
                  <c:v>1.9815775128781209E-2</c:v>
                </c:pt>
              </c:numCache>
            </c:numRef>
          </c:val>
          <c:extLst>
            <c:ext xmlns:c16="http://schemas.microsoft.com/office/drawing/2014/chart" uri="{C3380CC4-5D6E-409C-BE32-E72D297353CC}">
              <c16:uniqueId val="{00000003-68C7-4CF9-9722-0A4E8C3B717C}"/>
            </c:ext>
          </c:extLst>
        </c:ser>
        <c:ser>
          <c:idx val="4"/>
          <c:order val="4"/>
          <c:tx>
            <c:strRef>
              <c:f>DASHBOARD!$B$18</c:f>
              <c:strCache>
                <c:ptCount val="1"/>
                <c:pt idx="0">
                  <c:v>SPACER BLOCK</c:v>
                </c:pt>
              </c:strCache>
            </c:strRef>
          </c:tx>
          <c:spPr>
            <a:solidFill>
              <a:schemeClr val="accent5"/>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DASHBOARD!$I$18</c:f>
              <c:numCache>
                <c:formatCode>0%</c:formatCode>
                <c:ptCount val="1"/>
                <c:pt idx="0">
                  <c:v>6.344296114216913E-2</c:v>
                </c:pt>
              </c:numCache>
            </c:numRef>
          </c:val>
          <c:extLst>
            <c:ext xmlns:c16="http://schemas.microsoft.com/office/drawing/2014/chart" uri="{C3380CC4-5D6E-409C-BE32-E72D297353CC}">
              <c16:uniqueId val="{00000004-68C7-4CF9-9722-0A4E8C3B717C}"/>
            </c:ext>
          </c:extLst>
        </c:ser>
        <c:ser>
          <c:idx val="5"/>
          <c:order val="5"/>
          <c:tx>
            <c:strRef>
              <c:f>DASHBOARD!$B$19</c:f>
              <c:strCache>
                <c:ptCount val="1"/>
                <c:pt idx="0">
                  <c:v>EJECTOR PLATE</c:v>
                </c:pt>
              </c:strCache>
            </c:strRef>
          </c:tx>
          <c:spPr>
            <a:solidFill>
              <a:schemeClr val="accent6"/>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DASHBOARD!$I$19</c:f>
              <c:numCache>
                <c:formatCode>0%</c:formatCode>
                <c:ptCount val="1"/>
                <c:pt idx="0">
                  <c:v>7.882941229340408E-2</c:v>
                </c:pt>
              </c:numCache>
            </c:numRef>
          </c:val>
          <c:extLst>
            <c:ext xmlns:c16="http://schemas.microsoft.com/office/drawing/2014/chart" uri="{C3380CC4-5D6E-409C-BE32-E72D297353CC}">
              <c16:uniqueId val="{00000005-68C7-4CF9-9722-0A4E8C3B717C}"/>
            </c:ext>
          </c:extLst>
        </c:ser>
        <c:ser>
          <c:idx val="6"/>
          <c:order val="6"/>
          <c:tx>
            <c:strRef>
              <c:f>DASHBOARD!$B$20</c:f>
              <c:strCache>
                <c:ptCount val="1"/>
                <c:pt idx="0">
                  <c:v>OTHER PARTS</c:v>
                </c:pt>
              </c:strCache>
            </c:strRef>
          </c:tx>
          <c:spPr>
            <a:solidFill>
              <a:schemeClr val="accent1">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DASHBOARD!$I$20</c:f>
              <c:numCache>
                <c:formatCode>0%</c:formatCode>
                <c:ptCount val="1"/>
                <c:pt idx="0">
                  <c:v>8.5551231426244916E-3</c:v>
                </c:pt>
              </c:numCache>
            </c:numRef>
          </c:val>
          <c:extLst>
            <c:ext xmlns:c16="http://schemas.microsoft.com/office/drawing/2014/chart" uri="{C3380CC4-5D6E-409C-BE32-E72D297353CC}">
              <c16:uniqueId val="{00000006-68C7-4CF9-9722-0A4E8C3B717C}"/>
            </c:ext>
          </c:extLst>
        </c:ser>
        <c:ser>
          <c:idx val="7"/>
          <c:order val="7"/>
          <c:tx>
            <c:strRef>
              <c:f>DASHBOARD!$B$21</c:f>
              <c:strCache>
                <c:ptCount val="1"/>
                <c:pt idx="0">
                  <c:v>STANDARD ITEMS</c:v>
                </c:pt>
              </c:strCache>
            </c:strRef>
          </c:tx>
          <c:spPr>
            <a:solidFill>
              <a:schemeClr val="accent2">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DASHBOARD!$I$21</c:f>
              <c:numCache>
                <c:formatCode>0%</c:formatCode>
                <c:ptCount val="1"/>
                <c:pt idx="0">
                  <c:v>3.5972460194012998E-2</c:v>
                </c:pt>
              </c:numCache>
            </c:numRef>
          </c:val>
          <c:extLst>
            <c:ext xmlns:c16="http://schemas.microsoft.com/office/drawing/2014/chart" uri="{C3380CC4-5D6E-409C-BE32-E72D297353CC}">
              <c16:uniqueId val="{00000007-68C7-4CF9-9722-0A4E8C3B717C}"/>
            </c:ext>
          </c:extLst>
        </c:ser>
        <c:ser>
          <c:idx val="8"/>
          <c:order val="8"/>
          <c:tx>
            <c:strRef>
              <c:f>DASHBOARD!$B$22</c:f>
              <c:strCache>
                <c:ptCount val="1"/>
                <c:pt idx="0">
                  <c:v>TEXTURING</c:v>
                </c:pt>
              </c:strCache>
            </c:strRef>
          </c:tx>
          <c:spPr>
            <a:solidFill>
              <a:schemeClr val="accent3">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DASHBOARD!$I$22</c:f>
              <c:numCache>
                <c:formatCode>0%</c:formatCode>
                <c:ptCount val="1"/>
                <c:pt idx="0">
                  <c:v>2.8587385584646095E-2</c:v>
                </c:pt>
              </c:numCache>
            </c:numRef>
          </c:val>
          <c:extLst>
            <c:ext xmlns:c16="http://schemas.microsoft.com/office/drawing/2014/chart" uri="{C3380CC4-5D6E-409C-BE32-E72D297353CC}">
              <c16:uniqueId val="{00000008-68C7-4CF9-9722-0A4E8C3B717C}"/>
            </c:ext>
          </c:extLst>
        </c:ser>
        <c:ser>
          <c:idx val="9"/>
          <c:order val="9"/>
          <c:tx>
            <c:strRef>
              <c:f>DASHBOARD!$B$23</c:f>
              <c:strCache>
                <c:ptCount val="1"/>
                <c:pt idx="0">
                  <c:v>CLAMPING PLATE</c:v>
                </c:pt>
              </c:strCache>
            </c:strRef>
          </c:tx>
          <c:spPr>
            <a:solidFill>
              <a:schemeClr val="accent4">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DASHBOARD!$I$23</c:f>
              <c:numCache>
                <c:formatCode>0%</c:formatCode>
                <c:ptCount val="1"/>
                <c:pt idx="0">
                  <c:v>4.3659285657327261E-2</c:v>
                </c:pt>
              </c:numCache>
            </c:numRef>
          </c:val>
          <c:extLst>
            <c:ext xmlns:c16="http://schemas.microsoft.com/office/drawing/2014/chart" uri="{C3380CC4-5D6E-409C-BE32-E72D297353CC}">
              <c16:uniqueId val="{00000009-68C7-4CF9-9722-0A4E8C3B717C}"/>
            </c:ext>
          </c:extLst>
        </c:ser>
        <c:ser>
          <c:idx val="10"/>
          <c:order val="10"/>
          <c:tx>
            <c:strRef>
              <c:f>DASHBOARD!$B$24</c:f>
              <c:strCache>
                <c:ptCount val="1"/>
                <c:pt idx="0">
                  <c:v>HRS</c:v>
                </c:pt>
              </c:strCache>
            </c:strRef>
          </c:tx>
          <c:spPr>
            <a:solidFill>
              <a:schemeClr val="accent5">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DASHBOARD!$I$24</c:f>
              <c:numCache>
                <c:formatCode>0%</c:formatCode>
                <c:ptCount val="1"/>
                <c:pt idx="0">
                  <c:v>0.28587385584646091</c:v>
                </c:pt>
              </c:numCache>
            </c:numRef>
          </c:val>
          <c:extLst>
            <c:ext xmlns:c16="http://schemas.microsoft.com/office/drawing/2014/chart" uri="{C3380CC4-5D6E-409C-BE32-E72D297353CC}">
              <c16:uniqueId val="{0000000A-68C7-4CF9-9722-0A4E8C3B717C}"/>
            </c:ext>
          </c:extLst>
        </c:ser>
        <c:ser>
          <c:idx val="11"/>
          <c:order val="11"/>
          <c:tx>
            <c:strRef>
              <c:f>DASHBOARD!$B$25</c:f>
              <c:strCache>
                <c:ptCount val="1"/>
                <c:pt idx="0">
                  <c:v>HARDENING + POLISHING</c:v>
                </c:pt>
              </c:strCache>
            </c:strRef>
          </c:tx>
          <c:spPr>
            <a:solidFill>
              <a:schemeClr val="accent6">
                <a:lumMod val="60000"/>
              </a:schemeClr>
            </a:solidFill>
            <a:ln>
              <a:noFill/>
              <a:prstDash val="solid"/>
            </a:ln>
          </c:spPr>
          <c:invertIfNegative val="0"/>
          <c:dLbls>
            <c:spPr>
              <a:noFill/>
              <a:ln>
                <a:noFill/>
                <a:prstDash val="solid"/>
              </a:ln>
            </c:spPr>
            <c: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DASHBOARD!$I$25</c:f>
              <c:numCache>
                <c:formatCode>0%</c:formatCode>
                <c:ptCount val="1"/>
                <c:pt idx="0">
                  <c:v>2.9220499730986012E-2</c:v>
                </c:pt>
              </c:numCache>
            </c:numRef>
          </c:val>
          <c:extLst>
            <c:ext xmlns:c16="http://schemas.microsoft.com/office/drawing/2014/chart" uri="{C3380CC4-5D6E-409C-BE32-E72D297353CC}">
              <c16:uniqueId val="{0000000B-68C7-4CF9-9722-0A4E8C3B717C}"/>
            </c:ext>
          </c:extLst>
        </c:ser>
        <c:dLbls>
          <c:dLblPos val="outEnd"/>
          <c:showLegendKey val="0"/>
          <c:showVal val="1"/>
          <c:showCatName val="0"/>
          <c:showSerName val="0"/>
          <c:showPercent val="0"/>
          <c:showBubbleSize val="0"/>
        </c:dLbls>
        <c:gapWidth val="444"/>
        <c:overlap val="-90"/>
        <c:axId val="872408624"/>
        <c:axId val="872414032"/>
      </c:barChart>
      <c:catAx>
        <c:axId val="87240862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endParaRPr lang="en-US"/>
          </a:p>
        </c:txPr>
        <c:crossAx val="872414032"/>
        <c:crosses val="autoZero"/>
        <c:auto val="1"/>
        <c:lblAlgn val="ctr"/>
        <c:lblOffset val="100"/>
        <c:noMultiLvlLbl val="0"/>
      </c:catAx>
      <c:valAx>
        <c:axId val="872414032"/>
        <c:scaling>
          <c:orientation val="minMax"/>
        </c:scaling>
        <c:delete val="1"/>
        <c:axPos val="l"/>
        <c:numFmt formatCode="0%" sourceLinked="1"/>
        <c:majorTickMark val="none"/>
        <c:minorTickMark val="none"/>
        <c:tickLblPos val="nextTo"/>
        <c:crossAx val="87240862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COST</a:t>
            </a:r>
            <a:endParaRPr lang="en-IN"/>
          </a:p>
        </c:rich>
      </c:tx>
      <c:overlay val="0"/>
      <c:spPr>
        <a:noFill/>
        <a:ln>
          <a:noFill/>
          <a:prstDash val="solid"/>
        </a:ln>
      </c:spPr>
    </c:title>
    <c:autoTitleDeleted val="0"/>
    <c:plotArea>
      <c:layout/>
      <c:barChart>
        <c:barDir val="col"/>
        <c:grouping val="clustered"/>
        <c:varyColors val="0"/>
        <c:ser>
          <c:idx val="0"/>
          <c:order val="0"/>
          <c:tx>
            <c:strRef>
              <c:f>DASHBOARD!$B$34</c:f>
              <c:strCache>
                <c:ptCount val="1"/>
                <c:pt idx="0">
                  <c:v>Conv Milling - Facing</c:v>
                </c:pt>
              </c:strCache>
            </c:strRef>
          </c:tx>
          <c:spPr>
            <a:solidFill>
              <a:schemeClr val="accent1"/>
            </a:solidFill>
            <a:ln w="19050">
              <a:solidFill>
                <a:schemeClr val="lt1"/>
              </a:solidFill>
              <a:prstDash val="solid"/>
            </a:ln>
          </c:spPr>
          <c:invertIfNegative val="0"/>
          <c:dPt>
            <c:idx val="0"/>
            <c:invertIfNegative val="0"/>
            <c:bubble3D val="0"/>
            <c:spPr>
              <a:ln>
                <a:prstDash val="solid"/>
              </a:ln>
            </c:spPr>
            <c:extLst>
              <c:ext xmlns:c16="http://schemas.microsoft.com/office/drawing/2014/chart" uri="{C3380CC4-5D6E-409C-BE32-E72D297353CC}">
                <c16:uniqueId val="{00000001-1482-439D-902A-25A20AB7E55D}"/>
              </c:ext>
            </c:extLst>
          </c:dPt>
          <c:dPt>
            <c:idx val="1"/>
            <c:invertIfNegative val="0"/>
            <c:bubble3D val="0"/>
            <c:spPr>
              <a:ln>
                <a:prstDash val="solid"/>
              </a:ln>
            </c:spPr>
            <c:extLst>
              <c:ext xmlns:c16="http://schemas.microsoft.com/office/drawing/2014/chart" uri="{C3380CC4-5D6E-409C-BE32-E72D297353CC}">
                <c16:uniqueId val="{00000003-1482-439D-902A-25A20AB7E55D}"/>
              </c:ext>
            </c:extLst>
          </c:dPt>
          <c:dPt>
            <c:idx val="2"/>
            <c:invertIfNegative val="0"/>
            <c:bubble3D val="0"/>
            <c:spPr>
              <a:ln>
                <a:prstDash val="solid"/>
              </a:ln>
            </c:spPr>
            <c:extLst>
              <c:ext xmlns:c16="http://schemas.microsoft.com/office/drawing/2014/chart" uri="{C3380CC4-5D6E-409C-BE32-E72D297353CC}">
                <c16:uniqueId val="{00000005-1482-439D-902A-25A20AB7E55D}"/>
              </c:ext>
            </c:extLst>
          </c:dPt>
          <c:dPt>
            <c:idx val="3"/>
            <c:invertIfNegative val="0"/>
            <c:bubble3D val="0"/>
            <c:spPr>
              <a:ln>
                <a:prstDash val="solid"/>
              </a:ln>
            </c:spPr>
            <c:extLst>
              <c:ext xmlns:c16="http://schemas.microsoft.com/office/drawing/2014/chart" uri="{C3380CC4-5D6E-409C-BE32-E72D297353CC}">
                <c16:uniqueId val="{00000007-1482-439D-902A-25A20AB7E55D}"/>
              </c:ext>
            </c:extLst>
          </c:dPt>
          <c:dPt>
            <c:idx val="4"/>
            <c:invertIfNegative val="0"/>
            <c:bubble3D val="0"/>
            <c:spPr>
              <a:ln>
                <a:prstDash val="solid"/>
              </a:ln>
            </c:spPr>
            <c:extLst>
              <c:ext xmlns:c16="http://schemas.microsoft.com/office/drawing/2014/chart" uri="{C3380CC4-5D6E-409C-BE32-E72D297353CC}">
                <c16:uniqueId val="{00000009-1482-439D-902A-25A20AB7E55D}"/>
              </c:ext>
            </c:extLst>
          </c:dPt>
          <c:dPt>
            <c:idx val="5"/>
            <c:invertIfNegative val="0"/>
            <c:bubble3D val="0"/>
            <c:spPr>
              <a:ln>
                <a:prstDash val="solid"/>
              </a:ln>
            </c:spPr>
            <c:extLst>
              <c:ext xmlns:c16="http://schemas.microsoft.com/office/drawing/2014/chart" uri="{C3380CC4-5D6E-409C-BE32-E72D297353CC}">
                <c16:uniqueId val="{0000000B-1482-439D-902A-25A20AB7E55D}"/>
              </c:ext>
            </c:extLst>
          </c:dPt>
          <c:dPt>
            <c:idx val="6"/>
            <c:invertIfNegative val="0"/>
            <c:bubble3D val="0"/>
            <c:spPr>
              <a:ln>
                <a:prstDash val="solid"/>
              </a:ln>
            </c:spPr>
            <c:extLst>
              <c:ext xmlns:c16="http://schemas.microsoft.com/office/drawing/2014/chart" uri="{C3380CC4-5D6E-409C-BE32-E72D297353CC}">
                <c16:uniqueId val="{0000000D-1482-439D-902A-25A20AB7E55D}"/>
              </c:ext>
            </c:extLst>
          </c:dPt>
          <c:dPt>
            <c:idx val="7"/>
            <c:invertIfNegative val="0"/>
            <c:bubble3D val="0"/>
            <c:spPr>
              <a:ln>
                <a:prstDash val="solid"/>
              </a:ln>
            </c:spPr>
            <c:extLst>
              <c:ext xmlns:c16="http://schemas.microsoft.com/office/drawing/2014/chart" uri="{C3380CC4-5D6E-409C-BE32-E72D297353CC}">
                <c16:uniqueId val="{0000000F-1482-439D-902A-25A20AB7E55D}"/>
              </c:ext>
            </c:extLst>
          </c:dPt>
          <c:dPt>
            <c:idx val="8"/>
            <c:invertIfNegative val="0"/>
            <c:bubble3D val="0"/>
            <c:spPr>
              <a:ln>
                <a:prstDash val="solid"/>
              </a:ln>
            </c:spPr>
            <c:extLst>
              <c:ext xmlns:c16="http://schemas.microsoft.com/office/drawing/2014/chart" uri="{C3380CC4-5D6E-409C-BE32-E72D297353CC}">
                <c16:uniqueId val="{00000011-1482-439D-902A-25A20AB7E55D}"/>
              </c:ext>
            </c:extLst>
          </c:dPt>
          <c:dPt>
            <c:idx val="9"/>
            <c:invertIfNegative val="0"/>
            <c:bubble3D val="0"/>
            <c:spPr>
              <a:ln>
                <a:prstDash val="solid"/>
              </a:ln>
            </c:spPr>
            <c:extLst>
              <c:ext xmlns:c16="http://schemas.microsoft.com/office/drawing/2014/chart" uri="{C3380CC4-5D6E-409C-BE32-E72D297353CC}">
                <c16:uniqueId val="{00000013-1482-439D-902A-25A20AB7E55D}"/>
              </c:ext>
            </c:extLst>
          </c:dPt>
          <c:dPt>
            <c:idx val="10"/>
            <c:invertIfNegative val="0"/>
            <c:bubble3D val="0"/>
            <c:spPr>
              <a:ln>
                <a:prstDash val="solid"/>
              </a:ln>
            </c:spPr>
            <c:extLst>
              <c:ext xmlns:c16="http://schemas.microsoft.com/office/drawing/2014/chart" uri="{C3380CC4-5D6E-409C-BE32-E72D297353CC}">
                <c16:uniqueId val="{00000015-1482-439D-902A-25A20AB7E55D}"/>
              </c:ext>
            </c:extLst>
          </c:dPt>
          <c:dPt>
            <c:idx val="11"/>
            <c:invertIfNegative val="0"/>
            <c:bubble3D val="0"/>
            <c:spPr>
              <a:ln>
                <a:prstDash val="solid"/>
              </a:ln>
            </c:spPr>
            <c:extLst>
              <c:ext xmlns:c16="http://schemas.microsoft.com/office/drawing/2014/chart" uri="{C3380CC4-5D6E-409C-BE32-E72D297353CC}">
                <c16:uniqueId val="{00000017-1482-439D-902A-25A20AB7E55D}"/>
              </c:ext>
            </c:extLst>
          </c:dPt>
          <c:dPt>
            <c:idx val="12"/>
            <c:invertIfNegative val="0"/>
            <c:bubble3D val="0"/>
            <c:spPr>
              <a:ln>
                <a:prstDash val="solid"/>
              </a:ln>
            </c:spPr>
            <c:extLst>
              <c:ext xmlns:c16="http://schemas.microsoft.com/office/drawing/2014/chart" uri="{C3380CC4-5D6E-409C-BE32-E72D297353CC}">
                <c16:uniqueId val="{00000019-1482-439D-902A-25A20AB7E55D}"/>
              </c:ext>
            </c:extLst>
          </c:dPt>
          <c:dPt>
            <c:idx val="13"/>
            <c:invertIfNegative val="0"/>
            <c:bubble3D val="0"/>
            <c:spPr>
              <a:ln>
                <a:prstDash val="solid"/>
              </a:ln>
            </c:spPr>
            <c:extLst>
              <c:ext xmlns:c16="http://schemas.microsoft.com/office/drawing/2014/chart" uri="{C3380CC4-5D6E-409C-BE32-E72D297353CC}">
                <c16:uniqueId val="{0000001B-1482-439D-902A-25A20AB7E55D}"/>
              </c:ext>
            </c:extLst>
          </c:dPt>
          <c:dPt>
            <c:idx val="14"/>
            <c:invertIfNegative val="0"/>
            <c:bubble3D val="0"/>
            <c:spPr>
              <a:ln>
                <a:prstDash val="solid"/>
              </a:ln>
            </c:spPr>
            <c:extLst>
              <c:ext xmlns:c16="http://schemas.microsoft.com/office/drawing/2014/chart" uri="{C3380CC4-5D6E-409C-BE32-E72D297353CC}">
                <c16:uniqueId val="{0000001D-1482-439D-902A-25A20AB7E55D}"/>
              </c:ext>
            </c:extLst>
          </c:dPt>
          <c:dPt>
            <c:idx val="15"/>
            <c:invertIfNegative val="0"/>
            <c:bubble3D val="0"/>
            <c:spPr>
              <a:ln>
                <a:prstDash val="solid"/>
              </a:ln>
            </c:spPr>
            <c:extLst>
              <c:ext xmlns:c16="http://schemas.microsoft.com/office/drawing/2014/chart" uri="{C3380CC4-5D6E-409C-BE32-E72D297353CC}">
                <c16:uniqueId val="{0000001F-1482-439D-902A-25A20AB7E55D}"/>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DASHBOARD!$I$34</c:f>
              <c:numCache>
                <c:formatCode>0%</c:formatCode>
                <c:ptCount val="1"/>
                <c:pt idx="0">
                  <c:v>0.24836336640345549</c:v>
                </c:pt>
              </c:numCache>
            </c:numRef>
          </c:val>
          <c:extLst>
            <c:ext xmlns:c16="http://schemas.microsoft.com/office/drawing/2014/chart" uri="{C3380CC4-5D6E-409C-BE32-E72D297353CC}">
              <c16:uniqueId val="{00000020-1482-439D-902A-25A20AB7E55D}"/>
            </c:ext>
          </c:extLst>
        </c:ser>
        <c:ser>
          <c:idx val="1"/>
          <c:order val="1"/>
          <c:tx>
            <c:strRef>
              <c:f>DASHBOARD!$B$35</c:f>
              <c:strCache>
                <c:ptCount val="1"/>
                <c:pt idx="0">
                  <c:v>Conv Milling - End Milling</c:v>
                </c:pt>
              </c:strCache>
            </c:strRef>
          </c:tx>
          <c:spPr>
            <a:solidFill>
              <a:schemeClr val="accent2"/>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DASHBOARD!$I$35</c:f>
              <c:numCache>
                <c:formatCode>0.0%</c:formatCode>
                <c:ptCount val="1"/>
                <c:pt idx="0">
                  <c:v>8.6387257879462775E-3</c:v>
                </c:pt>
              </c:numCache>
            </c:numRef>
          </c:val>
          <c:extLst>
            <c:ext xmlns:c16="http://schemas.microsoft.com/office/drawing/2014/chart" uri="{C3380CC4-5D6E-409C-BE32-E72D297353CC}">
              <c16:uniqueId val="{00000021-1482-439D-902A-25A20AB7E55D}"/>
            </c:ext>
          </c:extLst>
        </c:ser>
        <c:ser>
          <c:idx val="2"/>
          <c:order val="2"/>
          <c:tx>
            <c:strRef>
              <c:f>DASHBOARD!$B$36</c:f>
              <c:strCache>
                <c:ptCount val="1"/>
                <c:pt idx="0">
                  <c:v>Conv Lathe - Facing / Turning</c:v>
                </c:pt>
              </c:strCache>
            </c:strRef>
          </c:tx>
          <c:spPr>
            <a:solidFill>
              <a:schemeClr val="accent3"/>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DASHBOARD!$I$36</c:f>
              <c:numCache>
                <c:formatCode>0.0%</c:formatCode>
                <c:ptCount val="1"/>
                <c:pt idx="0">
                  <c:v>0</c:v>
                </c:pt>
              </c:numCache>
            </c:numRef>
          </c:val>
          <c:extLst>
            <c:ext xmlns:c16="http://schemas.microsoft.com/office/drawing/2014/chart" uri="{C3380CC4-5D6E-409C-BE32-E72D297353CC}">
              <c16:uniqueId val="{00000022-1482-439D-902A-25A20AB7E55D}"/>
            </c:ext>
          </c:extLst>
        </c:ser>
        <c:ser>
          <c:idx val="3"/>
          <c:order val="3"/>
          <c:tx>
            <c:strRef>
              <c:f>DASHBOARD!$B$37</c:f>
              <c:strCache>
                <c:ptCount val="1"/>
                <c:pt idx="0">
                  <c:v>Surface Grinding</c:v>
                </c:pt>
              </c:strCache>
            </c:strRef>
          </c:tx>
          <c:spPr>
            <a:solidFill>
              <a:schemeClr val="accent4"/>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DASHBOARD!$I$37</c:f>
              <c:numCache>
                <c:formatCode>0%</c:formatCode>
                <c:ptCount val="1"/>
                <c:pt idx="0">
                  <c:v>0.28615779172572042</c:v>
                </c:pt>
              </c:numCache>
            </c:numRef>
          </c:val>
          <c:extLst>
            <c:ext xmlns:c16="http://schemas.microsoft.com/office/drawing/2014/chart" uri="{C3380CC4-5D6E-409C-BE32-E72D297353CC}">
              <c16:uniqueId val="{00000023-1482-439D-902A-25A20AB7E55D}"/>
            </c:ext>
          </c:extLst>
        </c:ser>
        <c:ser>
          <c:idx val="4"/>
          <c:order val="4"/>
          <c:tx>
            <c:strRef>
              <c:f>DASHBOARD!$B$38</c:f>
              <c:strCache>
                <c:ptCount val="1"/>
                <c:pt idx="0">
                  <c:v>Cylindrical Grinding</c:v>
                </c:pt>
              </c:strCache>
            </c:strRef>
          </c:tx>
          <c:spPr>
            <a:solidFill>
              <a:schemeClr val="accent5"/>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DASHBOARD!$I$38</c:f>
              <c:numCache>
                <c:formatCode>0.00%</c:formatCode>
                <c:ptCount val="1"/>
                <c:pt idx="0">
                  <c:v>0</c:v>
                </c:pt>
              </c:numCache>
            </c:numRef>
          </c:val>
          <c:extLst>
            <c:ext xmlns:c16="http://schemas.microsoft.com/office/drawing/2014/chart" uri="{C3380CC4-5D6E-409C-BE32-E72D297353CC}">
              <c16:uniqueId val="{00000024-1482-439D-902A-25A20AB7E55D}"/>
            </c:ext>
          </c:extLst>
        </c:ser>
        <c:ser>
          <c:idx val="5"/>
          <c:order val="5"/>
          <c:tx>
            <c:strRef>
              <c:f>DASHBOARD!$B$39</c:f>
              <c:strCache>
                <c:ptCount val="1"/>
                <c:pt idx="0">
                  <c:v>Radial Drilling - Hole drilling</c:v>
                </c:pt>
              </c:strCache>
            </c:strRef>
          </c:tx>
          <c:spPr>
            <a:solidFill>
              <a:schemeClr val="accent6"/>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DASHBOARD!$I$39</c:f>
              <c:numCache>
                <c:formatCode>0%</c:formatCode>
                <c:ptCount val="1"/>
                <c:pt idx="0">
                  <c:v>4.4543429844097995E-2</c:v>
                </c:pt>
              </c:numCache>
            </c:numRef>
          </c:val>
          <c:extLst>
            <c:ext xmlns:c16="http://schemas.microsoft.com/office/drawing/2014/chart" uri="{C3380CC4-5D6E-409C-BE32-E72D297353CC}">
              <c16:uniqueId val="{00000025-1482-439D-902A-25A20AB7E55D}"/>
            </c:ext>
          </c:extLst>
        </c:ser>
        <c:ser>
          <c:idx val="6"/>
          <c:order val="6"/>
          <c:tx>
            <c:strRef>
              <c:f>DASHBOARD!$B$40</c:f>
              <c:strCache>
                <c:ptCount val="1"/>
                <c:pt idx="0">
                  <c:v>Radial Drilling - Reaming / Tapping</c:v>
                </c:pt>
              </c:strCache>
            </c:strRef>
          </c:tx>
          <c:spPr>
            <a:solidFill>
              <a:schemeClr val="accent1">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DASHBOARD!$I$40</c:f>
              <c:numCache>
                <c:formatCode>0.0%</c:formatCode>
                <c:ptCount val="1"/>
                <c:pt idx="0">
                  <c:v>1.619761085239927E-2</c:v>
                </c:pt>
              </c:numCache>
            </c:numRef>
          </c:val>
          <c:extLst>
            <c:ext xmlns:c16="http://schemas.microsoft.com/office/drawing/2014/chart" uri="{C3380CC4-5D6E-409C-BE32-E72D297353CC}">
              <c16:uniqueId val="{00000026-1482-439D-902A-25A20AB7E55D}"/>
            </c:ext>
          </c:extLst>
        </c:ser>
        <c:ser>
          <c:idx val="7"/>
          <c:order val="7"/>
          <c:tx>
            <c:strRef>
              <c:f>DASHBOARD!$B$41</c:f>
              <c:strCache>
                <c:ptCount val="1"/>
                <c:pt idx="0">
                  <c:v>Pillar Drilling</c:v>
                </c:pt>
              </c:strCache>
            </c:strRef>
          </c:tx>
          <c:spPr>
            <a:solidFill>
              <a:schemeClr val="accent2">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DASHBOARD!$I$41</c:f>
              <c:numCache>
                <c:formatCode>0.00%</c:formatCode>
                <c:ptCount val="1"/>
                <c:pt idx="0">
                  <c:v>0</c:v>
                </c:pt>
              </c:numCache>
            </c:numRef>
          </c:val>
          <c:extLst>
            <c:ext xmlns:c16="http://schemas.microsoft.com/office/drawing/2014/chart" uri="{C3380CC4-5D6E-409C-BE32-E72D297353CC}">
              <c16:uniqueId val="{00000027-1482-439D-902A-25A20AB7E55D}"/>
            </c:ext>
          </c:extLst>
        </c:ser>
        <c:ser>
          <c:idx val="8"/>
          <c:order val="8"/>
          <c:tx>
            <c:strRef>
              <c:f>DASHBOARD!$B$42</c:f>
              <c:strCache>
                <c:ptCount val="1"/>
                <c:pt idx="0">
                  <c:v>Gun Drilling</c:v>
                </c:pt>
              </c:strCache>
            </c:strRef>
          </c:tx>
          <c:spPr>
            <a:solidFill>
              <a:schemeClr val="accent3">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DASHBOARD!$I$42</c:f>
              <c:numCache>
                <c:formatCode>0.000%</c:formatCode>
                <c:ptCount val="1"/>
                <c:pt idx="0">
                  <c:v>5.3992036174664243E-3</c:v>
                </c:pt>
              </c:numCache>
            </c:numRef>
          </c:val>
          <c:extLst>
            <c:ext xmlns:c16="http://schemas.microsoft.com/office/drawing/2014/chart" uri="{C3380CC4-5D6E-409C-BE32-E72D297353CC}">
              <c16:uniqueId val="{00000028-1482-439D-902A-25A20AB7E55D}"/>
            </c:ext>
          </c:extLst>
        </c:ser>
        <c:ser>
          <c:idx val="9"/>
          <c:order val="9"/>
          <c:tx>
            <c:strRef>
              <c:f>DASHBOARD!$B$43</c:f>
              <c:strCache>
                <c:ptCount val="1"/>
                <c:pt idx="0">
                  <c:v>NC EDM</c:v>
                </c:pt>
              </c:strCache>
            </c:strRef>
          </c:tx>
          <c:spPr>
            <a:solidFill>
              <a:schemeClr val="accent4">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DASHBOARD!$I$43</c:f>
              <c:numCache>
                <c:formatCode>0.00%</c:formatCode>
                <c:ptCount val="1"/>
                <c:pt idx="0">
                  <c:v>0</c:v>
                </c:pt>
              </c:numCache>
            </c:numRef>
          </c:val>
          <c:extLst>
            <c:ext xmlns:c16="http://schemas.microsoft.com/office/drawing/2014/chart" uri="{C3380CC4-5D6E-409C-BE32-E72D297353CC}">
              <c16:uniqueId val="{00000029-1482-439D-902A-25A20AB7E55D}"/>
            </c:ext>
          </c:extLst>
        </c:ser>
        <c:ser>
          <c:idx val="10"/>
          <c:order val="10"/>
          <c:tx>
            <c:strRef>
              <c:f>DASHBOARD!$B$44</c:f>
              <c:strCache>
                <c:ptCount val="1"/>
                <c:pt idx="0">
                  <c:v>Wirecut EDM</c:v>
                </c:pt>
              </c:strCache>
            </c:strRef>
          </c:tx>
          <c:spPr>
            <a:solidFill>
              <a:schemeClr val="accent5">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DASHBOARD!$I$44</c:f>
              <c:numCache>
                <c:formatCode>0.00%</c:formatCode>
                <c:ptCount val="1"/>
                <c:pt idx="0">
                  <c:v>0</c:v>
                </c:pt>
              </c:numCache>
            </c:numRef>
          </c:val>
          <c:extLst>
            <c:ext xmlns:c16="http://schemas.microsoft.com/office/drawing/2014/chart" uri="{C3380CC4-5D6E-409C-BE32-E72D297353CC}">
              <c16:uniqueId val="{0000002A-1482-439D-902A-25A20AB7E55D}"/>
            </c:ext>
          </c:extLst>
        </c:ser>
        <c:ser>
          <c:idx val="11"/>
          <c:order val="11"/>
          <c:tx>
            <c:strRef>
              <c:f>DASHBOARD!$B$45</c:f>
              <c:strCache>
                <c:ptCount val="1"/>
                <c:pt idx="0">
                  <c:v>Jig Boring</c:v>
                </c:pt>
              </c:strCache>
            </c:strRef>
          </c:tx>
          <c:spPr>
            <a:solidFill>
              <a:schemeClr val="accent6">
                <a:lumMod val="6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DASHBOARD!$I$45</c:f>
              <c:numCache>
                <c:formatCode>0.00%</c:formatCode>
                <c:ptCount val="1"/>
                <c:pt idx="0">
                  <c:v>0</c:v>
                </c:pt>
              </c:numCache>
            </c:numRef>
          </c:val>
          <c:extLst>
            <c:ext xmlns:c16="http://schemas.microsoft.com/office/drawing/2014/chart" uri="{C3380CC4-5D6E-409C-BE32-E72D297353CC}">
              <c16:uniqueId val="{0000002B-1482-439D-902A-25A20AB7E55D}"/>
            </c:ext>
          </c:extLst>
        </c:ser>
        <c:ser>
          <c:idx val="12"/>
          <c:order val="12"/>
          <c:tx>
            <c:strRef>
              <c:f>DASHBOARD!$B$46</c:f>
              <c:strCache>
                <c:ptCount val="1"/>
                <c:pt idx="0">
                  <c:v>CNC Lathe</c:v>
                </c:pt>
              </c:strCache>
            </c:strRef>
          </c:tx>
          <c:spPr>
            <a:solidFill>
              <a:schemeClr val="accent1">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DASHBOARD!$I$46</c:f>
              <c:numCache>
                <c:formatCode>0%</c:formatCode>
                <c:ptCount val="1"/>
                <c:pt idx="0">
                  <c:v>0.15873658635351284</c:v>
                </c:pt>
              </c:numCache>
            </c:numRef>
          </c:val>
          <c:extLst>
            <c:ext xmlns:c16="http://schemas.microsoft.com/office/drawing/2014/chart" uri="{C3380CC4-5D6E-409C-BE32-E72D297353CC}">
              <c16:uniqueId val="{0000002C-1482-439D-902A-25A20AB7E55D}"/>
            </c:ext>
          </c:extLst>
        </c:ser>
        <c:ser>
          <c:idx val="13"/>
          <c:order val="13"/>
          <c:tx>
            <c:strRef>
              <c:f>DASHBOARD!$B$47</c:f>
              <c:strCache>
                <c:ptCount val="1"/>
                <c:pt idx="0">
                  <c:v>CNC Milling</c:v>
                </c:pt>
              </c:strCache>
            </c:strRef>
          </c:tx>
          <c:spPr>
            <a:solidFill>
              <a:schemeClr val="accent2">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DASHBOARD!$I$47</c:f>
              <c:numCache>
                <c:formatCode>0%</c:formatCode>
                <c:ptCount val="1"/>
                <c:pt idx="0">
                  <c:v>0.20085037456975097</c:v>
                </c:pt>
              </c:numCache>
            </c:numRef>
          </c:val>
          <c:extLst>
            <c:ext xmlns:c16="http://schemas.microsoft.com/office/drawing/2014/chart" uri="{C3380CC4-5D6E-409C-BE32-E72D297353CC}">
              <c16:uniqueId val="{0000002D-1482-439D-902A-25A20AB7E55D}"/>
            </c:ext>
          </c:extLst>
        </c:ser>
        <c:ser>
          <c:idx val="14"/>
          <c:order val="14"/>
          <c:tx>
            <c:strRef>
              <c:f>DASHBOARD!$B$48</c:f>
              <c:strCache>
                <c:ptCount val="1"/>
                <c:pt idx="0">
                  <c:v>CNC EDM</c:v>
                </c:pt>
              </c:strCache>
            </c:strRef>
          </c:tx>
          <c:spPr>
            <a:solidFill>
              <a:schemeClr val="accent3">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DASHBOARD!$I$48</c:f>
              <c:numCache>
                <c:formatCode>0%</c:formatCode>
                <c:ptCount val="1"/>
                <c:pt idx="0">
                  <c:v>2.5916177363838833E-2</c:v>
                </c:pt>
              </c:numCache>
            </c:numRef>
          </c:val>
          <c:extLst>
            <c:ext xmlns:c16="http://schemas.microsoft.com/office/drawing/2014/chart" uri="{C3380CC4-5D6E-409C-BE32-E72D297353CC}">
              <c16:uniqueId val="{0000002E-1482-439D-902A-25A20AB7E55D}"/>
            </c:ext>
          </c:extLst>
        </c:ser>
        <c:ser>
          <c:idx val="15"/>
          <c:order val="15"/>
          <c:tx>
            <c:strRef>
              <c:f>DASHBOARD!$B$49</c:f>
              <c:strCache>
                <c:ptCount val="1"/>
                <c:pt idx="0">
                  <c:v>Bench Work</c:v>
                </c:pt>
              </c:strCache>
            </c:strRef>
          </c:tx>
          <c:spPr>
            <a:solidFill>
              <a:schemeClr val="accent4">
                <a:lumMod val="80000"/>
                <a:lumOff val="20000"/>
              </a:schemeClr>
            </a:solidFill>
            <a:ln w="19050">
              <a:solidFill>
                <a:schemeClr val="lt1"/>
              </a:solid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DASHBOARD!$I$49</c:f>
              <c:numCache>
                <c:formatCode>0.00%</c:formatCode>
                <c:ptCount val="1"/>
                <c:pt idx="0">
                  <c:v>5.196733481811433E-3</c:v>
                </c:pt>
              </c:numCache>
            </c:numRef>
          </c:val>
          <c:extLst>
            <c:ext xmlns:c16="http://schemas.microsoft.com/office/drawing/2014/chart" uri="{C3380CC4-5D6E-409C-BE32-E72D297353CC}">
              <c16:uniqueId val="{0000002F-1482-439D-902A-25A20AB7E55D}"/>
            </c:ext>
          </c:extLst>
        </c:ser>
        <c:dLbls>
          <c:dLblPos val="inEnd"/>
          <c:showLegendKey val="0"/>
          <c:showVal val="1"/>
          <c:showCatName val="0"/>
          <c:showSerName val="0"/>
          <c:showPercent val="0"/>
          <c:showBubbleSize val="0"/>
        </c:dLbls>
        <c:gapWidth val="100"/>
        <c:axId val="872407792"/>
        <c:axId val="872412784"/>
      </c:barChart>
      <c:catAx>
        <c:axId val="872407792"/>
        <c:scaling>
          <c:orientation val="minMax"/>
        </c:scaling>
        <c:delete val="0"/>
        <c:axPos val="b"/>
        <c:majorTickMark val="out"/>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72412784"/>
        <c:crosses val="autoZero"/>
        <c:auto val="1"/>
        <c:lblAlgn val="ctr"/>
        <c:lblOffset val="100"/>
        <c:noMultiLvlLbl val="0"/>
      </c:catAx>
      <c:valAx>
        <c:axId val="8724127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7240779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COST BREAKUP</a:t>
            </a:r>
            <a:endParaRPr lang="en-IN"/>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A938-4D0A-B351-99E1577A7EE8}"/>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A938-4D0A-B351-99E1577A7EE8}"/>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A938-4D0A-B351-99E1577A7EE8}"/>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A938-4D0A-B351-99E1577A7EE8}"/>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A938-4D0A-B351-99E1577A7EE8}"/>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Infographics!$K$2:$K$6</c:f>
              <c:strCache>
                <c:ptCount val="5"/>
                <c:pt idx="0">
                  <c:v>I) DESIGN COST +MOULD FLOW   : </c:v>
                </c:pt>
                <c:pt idx="1">
                  <c:v>II) RAW MATERIAL COST :</c:v>
                </c:pt>
                <c:pt idx="2">
                  <c:v>III) PROCESS COST :</c:v>
                </c:pt>
                <c:pt idx="3">
                  <c:v>IV) PROFIT &amp; OVERHEADS COST :</c:v>
                </c:pt>
                <c:pt idx="4">
                  <c:v>V) OTHER EXPENSES :                         </c:v>
                </c:pt>
              </c:strCache>
            </c:strRef>
          </c:cat>
          <c:val>
            <c:numRef>
              <c:f>Infographics!$L$2:$L$6</c:f>
              <c:numCache>
                <c:formatCode>General</c:formatCode>
                <c:ptCount val="5"/>
                <c:pt idx="0" formatCode="0">
                  <c:v>258847.83579495471</c:v>
                </c:pt>
                <c:pt idx="1">
                  <c:v>419765.56283779378</c:v>
                </c:pt>
                <c:pt idx="2">
                  <c:v>533279.80853362684</c:v>
                </c:pt>
                <c:pt idx="3">
                  <c:v>185468.96057668407</c:v>
                </c:pt>
                <c:pt idx="4">
                  <c:v>0</c:v>
                </c:pt>
              </c:numCache>
            </c:numRef>
          </c:val>
          <c:extLst>
            <c:ext xmlns:c16="http://schemas.microsoft.com/office/drawing/2014/chart" uri="{C3380CC4-5D6E-409C-BE32-E72D297353CC}">
              <c16:uniqueId val="{0000000A-A938-4D0A-B351-99E1577A7EE8}"/>
            </c:ext>
          </c:extLst>
        </c:ser>
        <c:dLbls>
          <c:dLblPos val="bestFit"/>
          <c:showLegendKey val="0"/>
          <c:showVal val="1"/>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c:rich>
      </c:tx>
      <c:overlay val="0"/>
      <c:spPr>
        <a:noFill/>
        <a:ln>
          <a:noFill/>
          <a:prstDash val="solid"/>
        </a:ln>
      </c:spPr>
    </c:title>
    <c:autoTitleDeleted val="0"/>
    <c:plotArea>
      <c:layout>
        <c:manualLayout>
          <c:layoutTarget val="inner"/>
          <c:xMode val="edge"/>
          <c:yMode val="edge"/>
          <c:x val="7.3617230788167398E-2"/>
          <c:y val="0.16245370370370399"/>
          <c:w val="0.46120669291338601"/>
          <c:h val="0.76867782152231001"/>
        </c:manualLayout>
      </c:layout>
      <c:doughnut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9BCB-418A-8BD2-CB2BB9E575C7}"/>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9BCB-418A-8BD2-CB2BB9E575C7}"/>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9BCB-418A-8BD2-CB2BB9E575C7}"/>
              </c:ext>
            </c:extLst>
          </c:dPt>
          <c:dPt>
            <c:idx val="3"/>
            <c:bubble3D val="0"/>
            <c:spPr>
              <a:solidFill>
                <a:schemeClr val="accent4"/>
              </a:solidFill>
              <a:ln w="19050">
                <a:solidFill>
                  <a:schemeClr val="lt1"/>
                </a:solidFill>
                <a:prstDash val="solid"/>
              </a:ln>
            </c:spPr>
            <c:extLst>
              <c:ext xmlns:c16="http://schemas.microsoft.com/office/drawing/2014/chart" uri="{C3380CC4-5D6E-409C-BE32-E72D297353CC}">
                <c16:uniqueId val="{00000007-9BCB-418A-8BD2-CB2BB9E575C7}"/>
              </c:ext>
            </c:extLst>
          </c:dPt>
          <c:dPt>
            <c:idx val="4"/>
            <c:bubble3D val="0"/>
            <c:spPr>
              <a:solidFill>
                <a:schemeClr val="accent5"/>
              </a:solidFill>
              <a:ln w="19050">
                <a:solidFill>
                  <a:schemeClr val="lt1"/>
                </a:solidFill>
                <a:prstDash val="solid"/>
              </a:ln>
            </c:spPr>
            <c:extLst>
              <c:ext xmlns:c16="http://schemas.microsoft.com/office/drawing/2014/chart" uri="{C3380CC4-5D6E-409C-BE32-E72D297353CC}">
                <c16:uniqueId val="{00000009-9BCB-418A-8BD2-CB2BB9E575C7}"/>
              </c:ext>
            </c:extLst>
          </c:dPt>
          <c:dPt>
            <c:idx val="5"/>
            <c:bubble3D val="0"/>
            <c:spPr>
              <a:solidFill>
                <a:schemeClr val="accent6"/>
              </a:solidFill>
              <a:ln w="19050">
                <a:solidFill>
                  <a:schemeClr val="lt1"/>
                </a:solidFill>
                <a:prstDash val="solid"/>
              </a:ln>
            </c:spPr>
            <c:extLst>
              <c:ext xmlns:c16="http://schemas.microsoft.com/office/drawing/2014/chart" uri="{C3380CC4-5D6E-409C-BE32-E72D297353CC}">
                <c16:uniqueId val="{0000000B-9BCB-418A-8BD2-CB2BB9E575C7}"/>
              </c:ext>
            </c:extLst>
          </c:dPt>
          <c:dPt>
            <c:idx val="6"/>
            <c:bubble3D val="0"/>
            <c:spPr>
              <a:solidFill>
                <a:schemeClr val="accent1">
                  <a:lumMod val="60000"/>
                </a:schemeClr>
              </a:solidFill>
              <a:ln w="19050">
                <a:solidFill>
                  <a:schemeClr val="lt1"/>
                </a:solidFill>
                <a:prstDash val="solid"/>
              </a:ln>
            </c:spPr>
            <c:extLst>
              <c:ext xmlns:c16="http://schemas.microsoft.com/office/drawing/2014/chart" uri="{C3380CC4-5D6E-409C-BE32-E72D297353CC}">
                <c16:uniqueId val="{0000000D-9BCB-418A-8BD2-CB2BB9E575C7}"/>
              </c:ext>
            </c:extLst>
          </c:dPt>
          <c:dPt>
            <c:idx val="7"/>
            <c:bubble3D val="0"/>
            <c:spPr>
              <a:solidFill>
                <a:schemeClr val="accent2">
                  <a:lumMod val="60000"/>
                </a:schemeClr>
              </a:solidFill>
              <a:ln w="19050">
                <a:solidFill>
                  <a:schemeClr val="lt1"/>
                </a:solidFill>
                <a:prstDash val="solid"/>
              </a:ln>
            </c:spPr>
            <c:extLst>
              <c:ext xmlns:c16="http://schemas.microsoft.com/office/drawing/2014/chart" uri="{C3380CC4-5D6E-409C-BE32-E72D297353CC}">
                <c16:uniqueId val="{0000000F-9BCB-418A-8BD2-CB2BB9E575C7}"/>
              </c:ext>
            </c:extLst>
          </c:dPt>
          <c:dPt>
            <c:idx val="8"/>
            <c:bubble3D val="0"/>
            <c:spPr>
              <a:solidFill>
                <a:schemeClr val="accent3">
                  <a:lumMod val="60000"/>
                </a:schemeClr>
              </a:solidFill>
              <a:ln w="19050">
                <a:solidFill>
                  <a:schemeClr val="lt1"/>
                </a:solidFill>
                <a:prstDash val="solid"/>
              </a:ln>
            </c:spPr>
            <c:extLst>
              <c:ext xmlns:c16="http://schemas.microsoft.com/office/drawing/2014/chart" uri="{C3380CC4-5D6E-409C-BE32-E72D297353CC}">
                <c16:uniqueId val="{00000011-9BCB-418A-8BD2-CB2BB9E575C7}"/>
              </c:ext>
            </c:extLst>
          </c:dPt>
          <c:dPt>
            <c:idx val="9"/>
            <c:bubble3D val="0"/>
            <c:spPr>
              <a:solidFill>
                <a:schemeClr val="accent4">
                  <a:lumMod val="60000"/>
                </a:schemeClr>
              </a:solidFill>
              <a:ln w="19050">
                <a:solidFill>
                  <a:schemeClr val="lt1"/>
                </a:solidFill>
                <a:prstDash val="solid"/>
              </a:ln>
            </c:spPr>
            <c:extLst>
              <c:ext xmlns:c16="http://schemas.microsoft.com/office/drawing/2014/chart" uri="{C3380CC4-5D6E-409C-BE32-E72D297353CC}">
                <c16:uniqueId val="{00000013-9BCB-418A-8BD2-CB2BB9E575C7}"/>
              </c:ext>
            </c:extLst>
          </c:dPt>
          <c:dLbls>
            <c:spPr>
              <a:noFill/>
              <a:ln>
                <a:noFill/>
                <a:prstDash val="solid"/>
              </a:ln>
            </c:spPr>
            <c: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'INJ. MOULDING ESTIMATION'!$B$26:$B$35</c:f>
              <c:strCache>
                <c:ptCount val="10"/>
                <c:pt idx="0">
                  <c:v>Material Cost</c:v>
                </c:pt>
                <c:pt idx="1">
                  <c:v>Conversion Cost</c:v>
                </c:pt>
                <c:pt idx="2">
                  <c:v>Standard Items</c:v>
                </c:pt>
                <c:pt idx="3">
                  <c:v>Hot Runner</c:v>
                </c:pt>
                <c:pt idx="4">
                  <c:v>Texturizing</c:v>
                </c:pt>
                <c:pt idx="5">
                  <c:v>Design &amp; Mould Flow</c:v>
                </c:pt>
                <c:pt idx="6">
                  <c:v>Polishing &amp; Treatment</c:v>
                </c:pt>
                <c:pt idx="7">
                  <c:v>Packaging &amp; Movement</c:v>
                </c:pt>
                <c:pt idx="8">
                  <c:v>Service Charges</c:v>
                </c:pt>
                <c:pt idx="9">
                  <c:v>Profit &amp; Overhead</c:v>
                </c:pt>
              </c:strCache>
            </c:strRef>
          </c:cat>
          <c:val>
            <c:numRef>
              <c:f>'INJ. MOULDING ESTIMATION'!$C$26:$C$35</c:f>
              <c:numCache>
                <c:formatCode>0%</c:formatCode>
                <c:ptCount val="10"/>
                <c:pt idx="0">
                  <c:v>0.18121405734699297</c:v>
                </c:pt>
                <c:pt idx="1">
                  <c:v>0.38404262479724871</c:v>
                </c:pt>
                <c:pt idx="2">
                  <c:v>1.0874298148253981E-2</c:v>
                </c:pt>
                <c:pt idx="3">
                  <c:v>8.6418263429832956E-2</c:v>
                </c:pt>
                <c:pt idx="4">
                  <c:v>8.6418263429832963E-3</c:v>
                </c:pt>
                <c:pt idx="5">
                  <c:v>0.18640983718308785</c:v>
                </c:pt>
                <c:pt idx="6">
                  <c:v>8.8332136418237412E-3</c:v>
                </c:pt>
                <c:pt idx="7">
                  <c:v>3.6007609762430397E-3</c:v>
                </c:pt>
                <c:pt idx="8">
                  <c:v>0</c:v>
                </c:pt>
                <c:pt idx="9">
                  <c:v>0.12996511813353351</c:v>
                </c:pt>
              </c:numCache>
            </c:numRef>
          </c:val>
          <c:extLst>
            <c:ext xmlns:c16="http://schemas.microsoft.com/office/drawing/2014/chart" uri="{C3380CC4-5D6E-409C-BE32-E72D297353CC}">
              <c16:uniqueId val="{00000014-9BCB-418A-8BD2-CB2BB9E575C7}"/>
            </c:ext>
          </c:extLst>
        </c:ser>
        <c:dLbls>
          <c:showLegendKey val="0"/>
          <c:showVal val="1"/>
          <c:showCatName val="0"/>
          <c:showSerName val="0"/>
          <c:showPercent val="0"/>
          <c:showBubbleSize val="0"/>
          <c:showLeaderLines val="1"/>
        </c:dLbls>
        <c:firstSliceAng val="0"/>
        <c:holeSize val="50"/>
      </c:doughnutChart>
    </c:plotArea>
    <c:legend>
      <c:legendPos val="b"/>
      <c:layout>
        <c:manualLayout>
          <c:xMode val="edge"/>
          <c:yMode val="edge"/>
          <c:x val="0.59660542432195995"/>
          <c:y val="0.17187226596675401"/>
          <c:w val="0.35956692913385802"/>
          <c:h val="0.72627588218139405"/>
        </c:manualLayout>
      </c:layout>
      <c:overlay val="0"/>
      <c:spPr>
        <a:noFill/>
        <a:ln>
          <a:noFill/>
          <a:prstDash val="solid"/>
        </a:ln>
      </c:spPr>
      <c: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1</a:t>
            </a:r>
            <a:endParaRPr lang="en-IN"/>
          </a:p>
        </c:rich>
      </c:tx>
      <c:overlay val="0"/>
      <c:spPr>
        <a:noFill/>
        <a:ln>
          <a:noFill/>
          <a:prstDash val="solid"/>
        </a:ln>
      </c:spPr>
    </c:title>
    <c:autoTitleDeleted val="0"/>
    <c:plotArea>
      <c:layout/>
      <c:scatterChart>
        <c:scatterStyle val="lineMarker"/>
        <c:varyColors val="0"/>
        <c:ser>
          <c:idx val="0"/>
          <c:order val="0"/>
          <c:spPr>
            <a:ln w="19050" cap="rnd">
              <a:noFill/>
              <a:prstDash val="solid"/>
              <a:round/>
            </a:ln>
          </c:spPr>
          <c:marker>
            <c:symbol val="circle"/>
            <c:size val="5"/>
            <c:spPr>
              <a:solidFill>
                <a:schemeClr val="accent1"/>
              </a:solidFill>
              <a:ln w="9525">
                <a:solidFill>
                  <a:schemeClr val="accent1"/>
                </a:solidFill>
                <a:prstDash val="solid"/>
              </a:ln>
            </c:spPr>
          </c:marker>
          <c:trendline>
            <c:spPr>
              <a:ln w="19050" cap="rnd">
                <a:solidFill>
                  <a:schemeClr val="accent1"/>
                </a:solidFill>
                <a:prstDash val="sysDot"/>
              </a:ln>
            </c:spPr>
            <c:trendlineType val="linear"/>
            <c:dispRSqr val="0"/>
            <c:dispEq val="0"/>
          </c:trendline>
          <c:xVal>
            <c:numRef>
              <c:f>'No of Cavity'!$A$23:$A$29</c:f>
              <c:numCache>
                <c:formatCode>General</c:formatCode>
                <c:ptCount val="7"/>
                <c:pt idx="0">
                  <c:v>700</c:v>
                </c:pt>
                <c:pt idx="1">
                  <c:v>600</c:v>
                </c:pt>
                <c:pt idx="2">
                  <c:v>500</c:v>
                </c:pt>
                <c:pt idx="3">
                  <c:v>400</c:v>
                </c:pt>
                <c:pt idx="4">
                  <c:v>300</c:v>
                </c:pt>
                <c:pt idx="5">
                  <c:v>200</c:v>
                </c:pt>
                <c:pt idx="6">
                  <c:v>100</c:v>
                </c:pt>
              </c:numCache>
            </c:numRef>
          </c:xVal>
          <c:yVal>
            <c:numRef>
              <c:f>'No of Cavity'!$B$23:$B$29</c:f>
              <c:numCache>
                <c:formatCode>General</c:formatCode>
                <c:ptCount val="7"/>
                <c:pt idx="0">
                  <c:v>976</c:v>
                </c:pt>
                <c:pt idx="1">
                  <c:v>849</c:v>
                </c:pt>
                <c:pt idx="2">
                  <c:v>722</c:v>
                </c:pt>
                <c:pt idx="3">
                  <c:v>594</c:v>
                </c:pt>
                <c:pt idx="4">
                  <c:v>476</c:v>
                </c:pt>
                <c:pt idx="5">
                  <c:v>357</c:v>
                </c:pt>
                <c:pt idx="6">
                  <c:v>246</c:v>
                </c:pt>
              </c:numCache>
            </c:numRef>
          </c:yVal>
          <c:smooth val="0"/>
          <c:extLst>
            <c:ext xmlns:c16="http://schemas.microsoft.com/office/drawing/2014/chart" uri="{C3380CC4-5D6E-409C-BE32-E72D297353CC}">
              <c16:uniqueId val="{00000000-0235-47E7-9B43-BA37E3E323EB}"/>
            </c:ext>
          </c:extLst>
        </c:ser>
        <c:dLbls>
          <c:showLegendKey val="0"/>
          <c:showVal val="0"/>
          <c:showCatName val="0"/>
          <c:showSerName val="0"/>
          <c:showPercent val="0"/>
          <c:showBubbleSize val="0"/>
        </c:dLbls>
        <c:axId val="999786928"/>
        <c:axId val="999782128"/>
      </c:scatterChart>
      <c:valAx>
        <c:axId val="999786928"/>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999782128"/>
        <c:crosses val="autoZero"/>
        <c:crossBetween val="midCat"/>
      </c:valAx>
      <c:valAx>
        <c:axId val="999782128"/>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999786928"/>
        <c:crosses val="autoZero"/>
        <c:crossBetween val="midCat"/>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barChart>
        <c:barDir val="col"/>
        <c:grouping val="clustered"/>
        <c:varyColors val="0"/>
        <c:ser>
          <c:idx val="0"/>
          <c:order val="0"/>
          <c:spPr>
            <a:solidFill>
              <a:schemeClr val="accent1"/>
            </a:solidFill>
            <a:ln w="19050" cap="rnd">
              <a:noFill/>
              <a:prstDash val="solid"/>
              <a:round/>
            </a:ln>
          </c:spPr>
          <c:invertIfNegative val="0"/>
          <c:cat>
            <c:numRef>
              <c:f>'Mould Layout'!$B$26:$F$26</c:f>
              <c:numCache>
                <c:formatCode>General</c:formatCode>
                <c:ptCount val="5"/>
                <c:pt idx="0">
                  <c:v>1</c:v>
                </c:pt>
                <c:pt idx="1">
                  <c:v>2</c:v>
                </c:pt>
                <c:pt idx="2">
                  <c:v>4</c:v>
                </c:pt>
                <c:pt idx="3">
                  <c:v>6</c:v>
                </c:pt>
                <c:pt idx="4">
                  <c:v>8</c:v>
                </c:pt>
              </c:numCache>
            </c:numRef>
          </c:cat>
          <c:val>
            <c:numRef>
              <c:f>'Mould Layout'!$B$30:$F$30</c:f>
              <c:numCache>
                <c:formatCode>General</c:formatCode>
                <c:ptCount val="5"/>
                <c:pt idx="0">
                  <c:v>457.43502458835189</c:v>
                </c:pt>
                <c:pt idx="1">
                  <c:v>457.43502458835189</c:v>
                </c:pt>
                <c:pt idx="2">
                  <c:v>725.43502458835189</c:v>
                </c:pt>
                <c:pt idx="3">
                  <c:v>993.43502458835189</c:v>
                </c:pt>
                <c:pt idx="4">
                  <c:v>725.43502458835189</c:v>
                </c:pt>
              </c:numCache>
            </c:numRef>
          </c:val>
          <c:extLst>
            <c:ext xmlns:c16="http://schemas.microsoft.com/office/drawing/2014/chart" uri="{C3380CC4-5D6E-409C-BE32-E72D297353CC}">
              <c16:uniqueId val="{00000000-958A-4F68-BC05-F8AAC419468A}"/>
            </c:ext>
          </c:extLst>
        </c:ser>
        <c:dLbls>
          <c:showLegendKey val="0"/>
          <c:showVal val="0"/>
          <c:showCatName val="0"/>
          <c:showSerName val="0"/>
          <c:showPercent val="0"/>
          <c:showBubbleSize val="0"/>
        </c:dLbls>
        <c:gapWidth val="150"/>
        <c:axId val="1105768544"/>
        <c:axId val="1105769024"/>
      </c:barChart>
      <c:catAx>
        <c:axId val="1105768544"/>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endParaRPr lang="en-US"/>
          </a:p>
        </c:txPr>
        <c:crossAx val="1105769024"/>
        <c:crosses val="autoZero"/>
        <c:auto val="1"/>
        <c:lblAlgn val="ctr"/>
        <c:lblOffset val="100"/>
        <c:noMultiLvlLbl val="0"/>
      </c:catAx>
      <c:valAx>
        <c:axId val="1105769024"/>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endParaRPr lang="en-US"/>
          </a:p>
        </c:txPr>
        <c:crossAx val="110576854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60475</xdr:colOff>
      <xdr:row>1</xdr:row>
      <xdr:rowOff>151189</xdr:rowOff>
    </xdr:from>
    <xdr:to>
      <xdr:col>9</xdr:col>
      <xdr:colOff>453570</xdr:colOff>
      <xdr:row>22</xdr:row>
      <xdr:rowOff>60476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70555</xdr:colOff>
      <xdr:row>23</xdr:row>
      <xdr:rowOff>60477</xdr:rowOff>
    </xdr:from>
    <xdr:to>
      <xdr:col>9</xdr:col>
      <xdr:colOff>524127</xdr:colOff>
      <xdr:row>53</xdr:row>
      <xdr:rowOff>124732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917347</xdr:colOff>
      <xdr:row>6</xdr:row>
      <xdr:rowOff>57150</xdr:rowOff>
    </xdr:from>
    <xdr:to>
      <xdr:col>16</xdr:col>
      <xdr:colOff>22678</xdr:colOff>
      <xdr:row>31</xdr:row>
      <xdr:rowOff>102053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21</xdr:row>
      <xdr:rowOff>11430</xdr:rowOff>
    </xdr:from>
    <xdr:to>
      <xdr:col>8</xdr:col>
      <xdr:colOff>3615055</xdr:colOff>
      <xdr:row>36</xdr:row>
      <xdr:rowOff>5715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799064</xdr:colOff>
      <xdr:row>19</xdr:row>
      <xdr:rowOff>220307</xdr:rowOff>
    </xdr:from>
    <xdr:to>
      <xdr:col>9</xdr:col>
      <xdr:colOff>300589</xdr:colOff>
      <xdr:row>29</xdr:row>
      <xdr:rowOff>2398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394980</xdr:colOff>
      <xdr:row>22</xdr:row>
      <xdr:rowOff>54544</xdr:rowOff>
    </xdr:from>
    <xdr:to>
      <xdr:col>19</xdr:col>
      <xdr:colOff>386829</xdr:colOff>
      <xdr:row>35</xdr:row>
      <xdr:rowOff>35494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ersion%202%20Database%20injection%20moulding%20(Autosav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totalsRowShown="0">
  <autoFilter ref="A2:G16"/>
  <tableColumns count="7">
    <tableColumn id="1" name="Various Tool Steel" dataDxfId="131"/>
    <tableColumn id="4" name="Density(g/cc3)" dataDxfId="130"/>
    <tableColumn id="2" name="Uses" dataDxfId="129"/>
    <tableColumn id="3" name="Price/Kg" dataDxfId="128">
      <calculatedColumnFormula>Table1[[#This Row],[Total]]</calculatedColumnFormula>
    </tableColumn>
    <tableColumn id="5" name="RM cost" dataDxfId="127"/>
    <tableColumn id="6" name="Extra cost" dataDxfId="126"/>
    <tableColumn id="7" name="Total" dataDxfId="125"/>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totalsRowShown="0">
  <autoFilter ref="A19:E27"/>
  <tableColumns count="5">
    <tableColumn id="1" name="Part Material" dataDxfId="124"/>
    <tableColumn id="2" name="Price/kg" dataDxfId="123"/>
    <tableColumn id="3" name="Tonnage Constant(/cm2)" dataDxfId="122"/>
    <tableColumn id="4" name="Density" dataDxfId="121"/>
    <tableColumn id="5" name="Young modulus" dataDxfId="120"/>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totalsRowShown="0">
  <autoFilter ref="I2:L17"/>
  <tableColumns count="4">
    <tableColumn id="1" name="Machining Process" dataDxfId="119"/>
    <tableColumn id="2" name="MRR in cm3/min" dataDxfId="118"/>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totalsRowShown="0">
  <autoFilter ref="A1:C17"/>
  <tableColumns count="3">
    <tableColumn id="1" name="Part " dataDxfId="117"/>
    <tableColumn id="2" name="Dimensions" dataDxfId="116"/>
    <tableColumn id="3" name="unit" dataDxfId="115"/>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totalsRowShown="0">
  <autoFilter ref="A18:B24"/>
  <tableColumns count="2">
    <tableColumn id="1" name="Output" dataDxfId="114"/>
    <tableColumn id="2" name="Price" dataDxfId="113"/>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totalsRowShown="0">
  <autoFilter ref="A1:B7"/>
  <tableColumns count="2">
    <tableColumn id="1" name="Complexity index"/>
    <tableColumn id="2" name="Complexity factor" dataDxfId="111"/>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totalsRowShown="0">
  <autoFilter ref="A3:L19"/>
  <tableColumns count="12">
    <tableColumn id="1" name="Opn No" dataDxfId="110"/>
    <tableColumn id="2" name="Operation Name" dataDxfId="109"/>
    <tableColumn id="3" name="M/c Selected" dataDxfId="108"/>
    <tableColumn id="4" name="Initial Volume in cm3" dataDxfId="107"/>
    <tableColumn id="5" name="Final Volume in cm3" dataDxfId="106"/>
    <tableColumn id="6" name="Material to be removed in cm3" dataDxfId="105"/>
    <tableColumn id="7" name="Standard MRR in cm3 per min" dataDxfId="104"/>
    <tableColumn id="8" name="Cycle Time in Mins" dataDxfId="103"/>
    <tableColumn id="9" name="Programming" dataDxfId="102"/>
    <tableColumn id="10" name="Tool Change Time" dataDxfId="101"/>
    <tableColumn id="11" name="Fixture Set-up time in mins" dataDxfId="100"/>
    <tableColumn id="12" name="M/c Time in Hrs" dataDxfId="99">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totalsRowShown="0">
  <autoFilter ref="A41:L57"/>
  <tableColumns count="12">
    <tableColumn id="1" name="Opn No" dataDxfId="98"/>
    <tableColumn id="2" name="Operation Name" dataDxfId="97"/>
    <tableColumn id="3" name="M/c Selected" dataDxfId="96"/>
    <tableColumn id="4" name="Initial Volume in cm3" dataDxfId="95"/>
    <tableColumn id="5" name="Final Volume in cm3" dataDxfId="94"/>
    <tableColumn id="6" name="Material to be removed in cm3" dataDxfId="93"/>
    <tableColumn id="7" name="Standard MRR in cm3 per min" dataDxfId="92"/>
    <tableColumn id="8" name="Cycle Time in Mins" dataDxfId="91"/>
    <tableColumn id="9" name="Programming" dataDxfId="90"/>
    <tableColumn id="10" name="Tool Change Time" dataDxfId="89"/>
    <tableColumn id="11" name="Fixture Set-up time in mins" dataDxfId="88"/>
    <tableColumn id="12" name="M/c Time" dataDxfId="87"/>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totalsRowShown="0">
  <autoFilter ref="A22:L38"/>
  <tableColumns count="12">
    <tableColumn id="1" name="Opn No" dataDxfId="86"/>
    <tableColumn id="2" name="Operation Name" dataDxfId="85"/>
    <tableColumn id="3" name="M/c Selected" dataDxfId="84"/>
    <tableColumn id="4" name="Initial Volume in cm3" dataDxfId="83"/>
    <tableColumn id="5" name="Final Volume in cm3" dataDxfId="82"/>
    <tableColumn id="6" name="Material to be removed in cm3" dataDxfId="81"/>
    <tableColumn id="7" name="Standard MRR in cm3 per min" dataDxfId="80"/>
    <tableColumn id="8" name="Cycle Time in Mins" dataDxfId="79"/>
    <tableColumn id="9" name="Programming" dataDxfId="78"/>
    <tableColumn id="10" name="Tool Change Time" dataDxfId="77"/>
    <tableColumn id="11" name="Fixture Set-up time in mins" dataDxfId="76"/>
    <tableColumn id="12" name="M/c Time in Hrs" dataDxfId="75">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totalsRowShown="0">
  <autoFilter ref="A60:L76"/>
  <tableColumns count="12">
    <tableColumn id="1" name="Opn No" dataDxfId="74"/>
    <tableColumn id="2" name="Operation Name" dataDxfId="73"/>
    <tableColumn id="3" name="M/c Selected" dataDxfId="72"/>
    <tableColumn id="4" name="Initial Volume in cm3" dataDxfId="71"/>
    <tableColumn id="5" name="Final Volume in cm3" dataDxfId="70"/>
    <tableColumn id="6" name="Material to be removed in cm3" dataDxfId="69">
      <calculatedColumnFormula>D61-E61</calculatedColumnFormula>
    </tableColumn>
    <tableColumn id="7" name="Standard MRR in cm3 per min" dataDxfId="68">
      <calculatedColumnFormula>VLOOKUP(C61,Table15[],2,FALSE)</calculatedColumnFormula>
    </tableColumn>
    <tableColumn id="8" name="Cycle Time in Mins" dataDxfId="67">
      <calculatedColumnFormula>F61/G61</calculatedColumnFormula>
    </tableColumn>
    <tableColumn id="9" name="Programming" dataDxfId="66"/>
    <tableColumn id="10" name="Tool Change Time" dataDxfId="65"/>
    <tableColumn id="11" name="Fixture Set-up time in mins" dataDxfId="64"/>
    <tableColumn id="12" name="M/c Time" dataDxfId="63">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totalsRowShown="0">
  <autoFilter ref="A79:L95"/>
  <tableColumns count="12">
    <tableColumn id="1" name="Opn No" dataDxfId="62"/>
    <tableColumn id="2" name="Operation Name" dataDxfId="61"/>
    <tableColumn id="3" name="M/c Selected" dataDxfId="60"/>
    <tableColumn id="4" name="Initial Volume in cm3" dataDxfId="59"/>
    <tableColumn id="5" name="Final Volume in cm3" dataDxfId="58"/>
    <tableColumn id="6" name="Material to be removed in m3" dataDxfId="57"/>
    <tableColumn id="7" name="Standard MRR in cm3 per min" dataDxfId="56"/>
    <tableColumn id="8" name="Cycle Time in Mins" dataDxfId="55"/>
    <tableColumn id="9" name="Programming" dataDxfId="54"/>
    <tableColumn id="10" name="Tool Change Time" dataDxfId="53"/>
    <tableColumn id="11" name="Fixture Set-up time in mins" dataDxfId="52"/>
    <tableColumn id="12" name="M/c Time" dataDxfId="51"/>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totalsRowShown="0">
  <autoFilter ref="A98:L115"/>
  <tableColumns count="12">
    <tableColumn id="1" name="Opn No" dataDxfId="50"/>
    <tableColumn id="2" name="Operation Name" dataDxfId="49"/>
    <tableColumn id="3" name="M/c Selected" dataDxfId="48"/>
    <tableColumn id="4" name="Initial Volume in cm3" dataDxfId="47"/>
    <tableColumn id="5" name="Final Volume in cm3" dataDxfId="46"/>
    <tableColumn id="6" name="Material to be removed in cm3" dataDxfId="45"/>
    <tableColumn id="7" name="Standard MRR in cm3 per min" dataDxfId="44"/>
    <tableColumn id="8" name="Cycle Time in Mins" dataDxfId="43"/>
    <tableColumn id="9" name="Programming" dataDxfId="42"/>
    <tableColumn id="10" name="Tool Change Time" dataDxfId="41"/>
    <tableColumn id="11" name="Fixture Set-up time in mins" dataDxfId="40"/>
    <tableColumn id="12" name="M/c Time" dataDxfId="39"/>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totalsRowShown="0">
  <autoFilter ref="A119:L136"/>
  <tableColumns count="12">
    <tableColumn id="1" name="Opn No" dataDxfId="38"/>
    <tableColumn id="2" name="Operation Name" dataDxfId="37"/>
    <tableColumn id="3" name="M/c Selected" dataDxfId="36"/>
    <tableColumn id="4" name="Initial Volume in cm3" dataDxfId="35"/>
    <tableColumn id="5" name="Final Volume in cm3" dataDxfId="34"/>
    <tableColumn id="6" name="Material to be removed in cm3" dataDxfId="33"/>
    <tableColumn id="7" name="Standard MRR in icm per min" dataDxfId="32"/>
    <tableColumn id="8" name="Cycle Time in Mins" dataDxfId="31"/>
    <tableColumn id="9" name="Programming" dataDxfId="30"/>
    <tableColumn id="10" name="Tool Change Time" dataDxfId="29"/>
    <tableColumn id="11" name="Fixture Set-up time in mins" dataDxfId="28"/>
    <tableColumn id="12" name="M/c Time" dataDxfId="27"/>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totalsRowShown="0">
  <autoFilter ref="A139:L155"/>
  <tableColumns count="12">
    <tableColumn id="1" name="Opn No" dataDxfId="26"/>
    <tableColumn id="2" name="Operation Name" dataDxfId="25"/>
    <tableColumn id="3" name="M/c Selected" dataDxfId="24"/>
    <tableColumn id="4" name="Initial Volume in cm3" dataDxfId="23"/>
    <tableColumn id="5" name="Final Volume in cm3" dataDxfId="22"/>
    <tableColumn id="6" name="Material to be removed in cm3" dataDxfId="21"/>
    <tableColumn id="7" name="Standard MRR in cm3 per min" dataDxfId="20"/>
    <tableColumn id="8" name="Cycle Time in Mins" dataDxfId="19"/>
    <tableColumn id="9" name="Programming" dataDxfId="18"/>
    <tableColumn id="10" name="Tool Change Time" dataDxfId="17"/>
    <tableColumn id="11" name="Fixture Set-up time in mins" dataDxfId="16"/>
    <tableColumn id="12" name="M/c Time" dataDxfId="15"/>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totalsRowShown="0">
  <autoFilter ref="A158:L174"/>
  <tableColumns count="12">
    <tableColumn id="1" name="Opn No" dataDxfId="14"/>
    <tableColumn id="2" name="Operation Name" dataDxfId="13"/>
    <tableColumn id="3" name="M/c Selected" dataDxfId="12"/>
    <tableColumn id="4" name="Initial Volume in cm3" dataDxfId="11"/>
    <tableColumn id="5" name="Final Volume in cm3" dataDxfId="10"/>
    <tableColumn id="6" name="Material to be removed in cm3" dataDxfId="9"/>
    <tableColumn id="7" name="Standard MRR in cm3 per min" dataDxfId="8"/>
    <tableColumn id="8" name="Cycle Time in Mins" dataDxfId="7"/>
    <tableColumn id="9" name="Programming" dataDxfId="6"/>
    <tableColumn id="10" name="Tool Change Time" dataDxfId="5"/>
    <tableColumn id="11" name="Fixture Set-up time in mins" dataDxfId="4"/>
    <tableColumn id="12" name="M/c Time" dataDxfId="3"/>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totalsRowShown="0">
  <autoFilter ref="A26:C34"/>
  <tableColumns count="3">
    <tableColumn id="1" name="Part Material" dataDxfId="2">
      <calculatedColumnFormula>Database!A20</calculatedColumnFormula>
    </tableColumn>
    <tableColumn id="2" name="Price/kg" dataDxfId="1">
      <calculatedColumnFormula>Database!B20</calculatedColumnFormula>
    </tableColumn>
    <tableColumn id="3" name="Tonnage Constant(/mm2)" dataDxfId="0">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table" Target="../tables/table10.xm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 Id="rId9"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78"/>
  <sheetViews>
    <sheetView zoomScale="31" zoomScaleNormal="48" workbookViewId="0">
      <selection activeCell="H78" sqref="H78"/>
    </sheetView>
  </sheetViews>
  <sheetFormatPr defaultRowHeight="14.5"/>
  <cols>
    <col min="1" max="1" width="35.08984375" style="352" customWidth="1"/>
    <col min="2" max="2" width="67.26953125" style="352" customWidth="1"/>
    <col min="3" max="3" width="52.453125" style="352" customWidth="1"/>
    <col min="4" max="5" width="53.6328125" style="352" customWidth="1"/>
    <col min="6" max="6" width="45.08984375" style="352" customWidth="1"/>
    <col min="7" max="8" width="40.90625" style="352" customWidth="1"/>
    <col min="9" max="9" width="17.81640625" style="352" customWidth="1"/>
    <col min="10" max="10" width="71.90625" style="352" customWidth="1"/>
  </cols>
  <sheetData>
    <row r="1" spans="1:10" ht="52" customHeight="1">
      <c r="A1" s="428" t="s">
        <v>0</v>
      </c>
      <c r="B1" s="429"/>
      <c r="C1" s="429"/>
      <c r="D1" s="429"/>
      <c r="E1" s="429"/>
      <c r="F1" s="429"/>
      <c r="G1" s="429"/>
      <c r="H1" s="429"/>
      <c r="I1" s="429"/>
      <c r="J1" s="430"/>
    </row>
    <row r="2" spans="1:10" ht="52.5" customHeight="1" thickBot="1">
      <c r="A2" s="431"/>
      <c r="B2" s="432"/>
      <c r="C2" s="432"/>
      <c r="D2" s="432"/>
      <c r="E2" s="432"/>
      <c r="F2" s="432"/>
      <c r="G2" s="432"/>
      <c r="H2" s="432"/>
      <c r="I2" s="432"/>
      <c r="J2" s="433"/>
    </row>
    <row r="3" spans="1:10" ht="35.5" customHeight="1" thickBot="1">
      <c r="A3" s="245" t="s">
        <v>1</v>
      </c>
      <c r="B3" s="274">
        <f>VLOOKUP(D4,'[1]K06 DATA_V1.0'!$B$2:$J$9,9,FALSE)</f>
        <v>5</v>
      </c>
      <c r="C3" s="275" t="s">
        <v>2</v>
      </c>
      <c r="D3" s="366">
        <f ca="1">IF($D$4&lt;&gt;0,NOW(),NOW())</f>
        <v>45118.493419328704</v>
      </c>
      <c r="E3" s="276"/>
      <c r="F3" s="277"/>
      <c r="G3" s="254" t="s">
        <v>3</v>
      </c>
      <c r="H3" s="278">
        <f ca="1">TODAY()</f>
        <v>45118</v>
      </c>
      <c r="I3" s="299"/>
      <c r="J3" s="273" t="s">
        <v>4</v>
      </c>
    </row>
    <row r="4" spans="1:10" ht="35" customHeight="1">
      <c r="A4" s="279" t="s">
        <v>5</v>
      </c>
      <c r="B4" s="270" t="str">
        <f>VLOOKUP(D4,'[1]K06 DATA_V1.0'!$B$2:$J$9,2,FALSE)</f>
        <v xml:space="preserve">LICENSE PLATE BRKT -1 </v>
      </c>
      <c r="C4" s="272" t="s">
        <v>6</v>
      </c>
      <c r="D4" s="256" t="s">
        <v>7</v>
      </c>
      <c r="E4" s="272" t="s">
        <v>8</v>
      </c>
      <c r="F4" s="436" t="s">
        <v>9</v>
      </c>
      <c r="G4" s="435"/>
      <c r="H4" s="423"/>
      <c r="I4" s="300"/>
      <c r="J4" s="437"/>
    </row>
    <row r="5" spans="1:10" ht="35" customHeight="1">
      <c r="A5" s="181"/>
      <c r="B5" s="271" t="s">
        <v>10</v>
      </c>
      <c r="C5" s="271" t="s">
        <v>11</v>
      </c>
      <c r="D5" s="271" t="s">
        <v>12</v>
      </c>
      <c r="E5" s="272" t="s">
        <v>13</v>
      </c>
      <c r="F5" s="436"/>
      <c r="G5" s="435"/>
      <c r="H5" s="423"/>
      <c r="I5" s="300"/>
      <c r="J5" s="438"/>
    </row>
    <row r="6" spans="1:10" ht="35" customHeight="1">
      <c r="A6" s="280" t="s">
        <v>14</v>
      </c>
      <c r="B6" s="272">
        <f>'INJ. MOULDING ESTIMATION'!C6</f>
        <v>218</v>
      </c>
      <c r="C6" s="272">
        <f>'INJ. MOULDING ESTIMATION'!C7</f>
        <v>160</v>
      </c>
      <c r="D6" s="272">
        <f>'INJ. MOULDING ESTIMATION'!C8</f>
        <v>65</v>
      </c>
      <c r="E6" s="266"/>
      <c r="F6" s="336" t="s">
        <v>15</v>
      </c>
      <c r="G6" s="336" t="s">
        <v>16</v>
      </c>
      <c r="H6" s="249" t="s">
        <v>17</v>
      </c>
      <c r="I6" s="301"/>
      <c r="J6" s="438"/>
    </row>
    <row r="7" spans="1:10" ht="35" customHeight="1">
      <c r="A7" s="280" t="s">
        <v>18</v>
      </c>
      <c r="B7" s="272">
        <f>'INJ. MOULDING ESTIMATION'!C14</f>
        <v>1</v>
      </c>
      <c r="C7" s="272" t="s">
        <v>19</v>
      </c>
      <c r="D7" s="262">
        <f>'INJ. MOULDING ESTIMATION'!C16</f>
        <v>2</v>
      </c>
      <c r="E7" s="272" t="s">
        <v>20</v>
      </c>
      <c r="F7" s="272">
        <v>1</v>
      </c>
      <c r="G7" s="262">
        <f>VLOOKUP(B3,'[1]K06 DATA_V1.0'!$A$2:$H$9,8,FALSE)</f>
        <v>120000</v>
      </c>
      <c r="H7" s="281">
        <f>G7*F7</f>
        <v>120000</v>
      </c>
      <c r="I7" s="302"/>
      <c r="J7" s="438"/>
    </row>
    <row r="8" spans="1:10" ht="35.5" customHeight="1" thickBot="1">
      <c r="A8" s="328" t="s">
        <v>21</v>
      </c>
      <c r="B8" s="329">
        <f>'INJ. MOULDING ESTIMATION'!D22</f>
        <v>549.43502458835189</v>
      </c>
      <c r="C8" s="329">
        <f>'INJ. MOULDING ESTIMATION'!D23</f>
        <v>607.43502458835189</v>
      </c>
      <c r="D8" s="329">
        <f>'INJ. MOULDING ESTIMATION'!D24</f>
        <v>471.80411830750211</v>
      </c>
      <c r="E8" s="255" t="s">
        <v>22</v>
      </c>
      <c r="F8" s="330">
        <f>'Part Cost'!B3</f>
        <v>5.7482240000000004E-2</v>
      </c>
      <c r="G8" s="282" t="s">
        <v>23</v>
      </c>
      <c r="H8" s="367"/>
      <c r="I8" s="368"/>
      <c r="J8" s="433"/>
    </row>
    <row r="9" spans="1:10" ht="35.5" customHeight="1" thickBot="1">
      <c r="A9" s="494" t="s">
        <v>24</v>
      </c>
      <c r="B9" s="432"/>
      <c r="C9" s="463">
        <f>'Mould Costing'!K60</f>
        <v>258847.83579495471</v>
      </c>
      <c r="D9" s="432"/>
      <c r="E9" s="268" t="s">
        <v>25</v>
      </c>
      <c r="F9" s="269">
        <v>0</v>
      </c>
      <c r="G9" s="495" t="s">
        <v>26</v>
      </c>
      <c r="H9" s="433"/>
      <c r="I9" s="288"/>
      <c r="J9" s="311" t="s">
        <v>27</v>
      </c>
    </row>
    <row r="10" spans="1:10" ht="35.5" customHeight="1" thickBot="1">
      <c r="A10" s="227"/>
      <c r="B10" s="287"/>
      <c r="C10" s="287"/>
      <c r="D10" s="288"/>
      <c r="E10" s="251"/>
      <c r="F10" s="288"/>
      <c r="G10" s="288"/>
      <c r="H10" s="369"/>
      <c r="I10" s="369"/>
      <c r="J10" s="226"/>
    </row>
    <row r="11" spans="1:10" ht="35.5" customHeight="1" thickBot="1">
      <c r="A11" s="228" t="s">
        <v>28</v>
      </c>
      <c r="B11" s="229"/>
      <c r="C11" s="229"/>
      <c r="D11" s="252"/>
      <c r="E11" s="252"/>
      <c r="F11" s="252"/>
      <c r="G11" s="252"/>
      <c r="H11" s="370"/>
      <c r="I11" s="370"/>
      <c r="J11" s="316" t="s">
        <v>29</v>
      </c>
    </row>
    <row r="12" spans="1:10" ht="35.5" customHeight="1" thickBot="1">
      <c r="A12" s="451" t="s">
        <v>30</v>
      </c>
      <c r="B12" s="440" t="s">
        <v>31</v>
      </c>
      <c r="C12" s="458" t="s">
        <v>32</v>
      </c>
      <c r="D12" s="451" t="s">
        <v>33</v>
      </c>
      <c r="E12" s="444"/>
      <c r="F12" s="346" t="s">
        <v>34</v>
      </c>
      <c r="G12" s="342" t="s">
        <v>35</v>
      </c>
      <c r="H12" s="371" t="s">
        <v>36</v>
      </c>
      <c r="I12" s="372"/>
      <c r="J12" s="234"/>
    </row>
    <row r="13" spans="1:10" ht="35.5" customHeight="1" thickBot="1">
      <c r="A13" s="457"/>
      <c r="B13" s="441"/>
      <c r="C13" s="459"/>
      <c r="D13" s="452"/>
      <c r="E13" s="450"/>
      <c r="F13" s="283" t="s">
        <v>37</v>
      </c>
      <c r="G13" s="230" t="s">
        <v>38</v>
      </c>
      <c r="H13" s="373" t="s">
        <v>39</v>
      </c>
      <c r="I13" s="372"/>
      <c r="J13" s="234"/>
    </row>
    <row r="14" spans="1:10" ht="35" customHeight="1">
      <c r="A14" s="231">
        <v>1</v>
      </c>
      <c r="B14" s="232" t="s">
        <v>40</v>
      </c>
      <c r="C14" s="341" t="str">
        <f>'Mould Costing'!B16</f>
        <v>C-45</v>
      </c>
      <c r="D14" s="490"/>
      <c r="E14" s="450"/>
      <c r="F14" s="261">
        <f>'Mould Costing'!K16</f>
        <v>371.6549787285893</v>
      </c>
      <c r="G14" s="261">
        <f>'Mould Costing'!L16</f>
        <v>128</v>
      </c>
      <c r="H14" s="304">
        <f>'Mould Costing'!M16</f>
        <v>47571.83727725943</v>
      </c>
      <c r="I14" s="315">
        <f t="shared" ref="I14:I25" si="0">H14/$H$28</f>
        <v>0.113329537934588</v>
      </c>
      <c r="J14" s="317" t="s">
        <v>41</v>
      </c>
    </row>
    <row r="15" spans="1:10" ht="35" customHeight="1">
      <c r="A15" s="233">
        <v>2</v>
      </c>
      <c r="B15" s="234" t="s">
        <v>42</v>
      </c>
      <c r="C15" s="341" t="str">
        <f>Table4[[#This Row],[Material]]</f>
        <v>P20</v>
      </c>
      <c r="D15" s="442"/>
      <c r="E15" s="423"/>
      <c r="F15" s="235">
        <f>Table4[[#This Row],[Total weight]]</f>
        <v>270.7023035483906</v>
      </c>
      <c r="G15" s="235">
        <f>Table4[[#This Row],[Price/kg]]</f>
        <v>230</v>
      </c>
      <c r="H15" s="305">
        <f>Table4[[#This Row],[Total Price]]</f>
        <v>62261.529816129841</v>
      </c>
      <c r="I15" s="315">
        <f t="shared" si="0"/>
        <v>0.1483245299953036</v>
      </c>
      <c r="J15" s="317" t="s">
        <v>43</v>
      </c>
    </row>
    <row r="16" spans="1:10" ht="35" customHeight="1">
      <c r="A16" s="233">
        <v>3</v>
      </c>
      <c r="B16" s="234" t="s">
        <v>44</v>
      </c>
      <c r="C16" s="341" t="str">
        <f>'Mould Costing'!B14</f>
        <v>P20</v>
      </c>
      <c r="D16" s="442"/>
      <c r="E16" s="423"/>
      <c r="F16" s="235">
        <f>'Mould Costing'!K14</f>
        <v>263.52001138616976</v>
      </c>
      <c r="G16" s="235">
        <f>'Mould Costing'!L14</f>
        <v>230</v>
      </c>
      <c r="H16" s="305">
        <f>'Mould Costing'!M14</f>
        <v>60609.602618819044</v>
      </c>
      <c r="I16" s="315">
        <f t="shared" si="0"/>
        <v>0.14438917334969631</v>
      </c>
      <c r="J16" s="317" t="s">
        <v>45</v>
      </c>
    </row>
    <row r="17" spans="1:10" ht="35" customHeight="1">
      <c r="A17" s="233">
        <v>4</v>
      </c>
      <c r="B17" s="236" t="s">
        <v>46</v>
      </c>
      <c r="C17" s="336" t="str">
        <f>'Mould Costing'!B17</f>
        <v>Graphite</v>
      </c>
      <c r="D17" s="442"/>
      <c r="E17" s="423"/>
      <c r="F17" s="235">
        <f>'Mould Costing'!K17+'Mould Costing'!K18</f>
        <v>5.5453200000000002</v>
      </c>
      <c r="G17" s="235">
        <f>'Mould Costing'!L17</f>
        <v>1500</v>
      </c>
      <c r="H17" s="305">
        <f>'Mould Costing'!M17+'Mould Costing'!M18</f>
        <v>8317.98</v>
      </c>
      <c r="I17" s="315">
        <f t="shared" si="0"/>
        <v>1.9815775128781209E-2</v>
      </c>
      <c r="J17" s="317" t="s">
        <v>47</v>
      </c>
    </row>
    <row r="18" spans="1:10" ht="35" customHeight="1">
      <c r="A18" s="233">
        <v>5</v>
      </c>
      <c r="B18" s="234" t="s">
        <v>48</v>
      </c>
      <c r="C18" s="336" t="str">
        <f>'Mould Costing'!B11</f>
        <v>C-45</v>
      </c>
      <c r="D18" s="442"/>
      <c r="E18" s="423"/>
      <c r="F18" s="235">
        <f>'Mould Costing'!K11</f>
        <v>208.05601790577271</v>
      </c>
      <c r="G18" s="235">
        <f>'Mould Costing'!L11</f>
        <v>128</v>
      </c>
      <c r="H18" s="305">
        <f>'Mould Costing'!M11</f>
        <v>26631.170291938906</v>
      </c>
      <c r="I18" s="315">
        <f t="shared" si="0"/>
        <v>6.344296114216913E-2</v>
      </c>
      <c r="J18" s="317" t="s">
        <v>49</v>
      </c>
    </row>
    <row r="19" spans="1:10" ht="35" customHeight="1">
      <c r="A19" s="233">
        <v>6</v>
      </c>
      <c r="B19" s="234" t="s">
        <v>50</v>
      </c>
      <c r="C19" s="341" t="str">
        <f>'Mould Costing'!B12</f>
        <v>C-45</v>
      </c>
      <c r="D19" s="442"/>
      <c r="E19" s="423"/>
      <c r="F19" s="235">
        <f>'Mould Costing'!K12+'Mould Costing'!K13</f>
        <v>129.25731491997368</v>
      </c>
      <c r="G19" s="235">
        <f>'Mould Costing'!L12+'Mould Costing'!L13</f>
        <v>256</v>
      </c>
      <c r="H19" s="374">
        <f>F19*G19</f>
        <v>33089.872619513262</v>
      </c>
      <c r="I19" s="315">
        <f t="shared" si="0"/>
        <v>7.882941229340408E-2</v>
      </c>
      <c r="J19" s="317"/>
    </row>
    <row r="20" spans="1:10" ht="35" customHeight="1">
      <c r="A20" s="233">
        <v>7</v>
      </c>
      <c r="B20" s="234" t="s">
        <v>51</v>
      </c>
      <c r="C20" s="336" t="s">
        <v>52</v>
      </c>
      <c r="D20" s="422"/>
      <c r="E20" s="423"/>
      <c r="F20" s="336"/>
      <c r="G20" s="336"/>
      <c r="H20" s="374">
        <f>'Mould Costing'!M19:M21</f>
        <v>3591.1460811104048</v>
      </c>
      <c r="I20" s="315">
        <f t="shared" si="0"/>
        <v>8.5551231426244916E-3</v>
      </c>
      <c r="J20" s="317"/>
    </row>
    <row r="21" spans="1:10" ht="35" customHeight="1">
      <c r="A21" s="233">
        <v>8</v>
      </c>
      <c r="B21" s="234" t="s">
        <v>53</v>
      </c>
      <c r="C21" s="336" t="s">
        <v>52</v>
      </c>
      <c r="D21" s="442"/>
      <c r="E21" s="423"/>
      <c r="F21" s="336"/>
      <c r="G21" s="336"/>
      <c r="H21" s="374">
        <f>'Mould Costing'!K50</f>
        <v>15100</v>
      </c>
      <c r="I21" s="306">
        <f t="shared" si="0"/>
        <v>3.5972460194012998E-2</v>
      </c>
      <c r="J21" s="289"/>
    </row>
    <row r="22" spans="1:10" ht="35" customHeight="1">
      <c r="A22" s="233">
        <v>9</v>
      </c>
      <c r="B22" s="234" t="s">
        <v>47</v>
      </c>
      <c r="C22" s="336"/>
      <c r="D22" s="442"/>
      <c r="E22" s="423"/>
      <c r="F22" s="336"/>
      <c r="G22" s="336"/>
      <c r="H22" s="374">
        <f>'Mould Costing'!L98</f>
        <v>12000</v>
      </c>
      <c r="I22" s="306">
        <f t="shared" si="0"/>
        <v>2.8587385584646095E-2</v>
      </c>
      <c r="J22" s="226"/>
    </row>
    <row r="23" spans="1:10" ht="35" customHeight="1">
      <c r="A23" s="233">
        <v>10</v>
      </c>
      <c r="B23" s="236" t="s">
        <v>54</v>
      </c>
      <c r="C23" s="336" t="str">
        <f>'Mould Costing'!B9</f>
        <v>C-45</v>
      </c>
      <c r="D23" s="442"/>
      <c r="E23" s="423"/>
      <c r="F23" s="235">
        <f>'Mould Costing'!K9+'Mould Costing'!K10</f>
        <v>143.17706732065622</v>
      </c>
      <c r="G23" s="235">
        <f>'Mould Costing'!L9+'Mould Costing'!L10</f>
        <v>256</v>
      </c>
      <c r="H23" s="375">
        <f>'Mould Costing'!M9+'Mould Costing'!M10</f>
        <v>18326.664617043996</v>
      </c>
      <c r="I23" s="306">
        <f t="shared" si="0"/>
        <v>4.3659285657327261E-2</v>
      </c>
      <c r="J23" s="226"/>
    </row>
    <row r="24" spans="1:10" ht="35" customHeight="1">
      <c r="A24" s="233">
        <v>11</v>
      </c>
      <c r="B24" s="236" t="s">
        <v>55</v>
      </c>
      <c r="C24" s="336"/>
      <c r="D24" s="442"/>
      <c r="E24" s="423"/>
      <c r="F24" s="336"/>
      <c r="G24" s="336"/>
      <c r="H24" s="374">
        <f>IF('Mould Costing'!K97,H7,0)</f>
        <v>120000</v>
      </c>
      <c r="I24" s="306">
        <f t="shared" si="0"/>
        <v>0.28587385584646091</v>
      </c>
      <c r="J24" s="237"/>
    </row>
    <row r="25" spans="1:10" ht="35" customHeight="1">
      <c r="A25" s="233">
        <v>12</v>
      </c>
      <c r="B25" s="238" t="s">
        <v>56</v>
      </c>
      <c r="C25" s="349"/>
      <c r="D25" s="442"/>
      <c r="E25" s="423"/>
      <c r="F25" s="349"/>
      <c r="G25" s="349"/>
      <c r="H25" s="374">
        <f>'Mould Costing'!K89</f>
        <v>12265.759515978945</v>
      </c>
      <c r="I25" s="306">
        <f t="shared" si="0"/>
        <v>2.9220499730986012E-2</v>
      </c>
      <c r="J25" s="237"/>
    </row>
    <row r="26" spans="1:10" ht="35" customHeight="1">
      <c r="A26" s="233"/>
      <c r="B26" s="238"/>
      <c r="C26" s="349"/>
      <c r="D26" s="442"/>
      <c r="E26" s="423"/>
      <c r="F26" s="349"/>
      <c r="G26" s="349"/>
      <c r="H26" s="374"/>
      <c r="I26" s="376"/>
      <c r="J26" s="237"/>
    </row>
    <row r="27" spans="1:10" ht="35.5" customHeight="1" thickBot="1">
      <c r="A27" s="248"/>
      <c r="B27" s="238"/>
      <c r="C27" s="349"/>
      <c r="D27" s="460"/>
      <c r="E27" s="461"/>
      <c r="F27" s="240"/>
      <c r="G27" s="349"/>
      <c r="H27" s="377"/>
      <c r="I27" s="378"/>
      <c r="J27" s="226"/>
    </row>
    <row r="28" spans="1:10" ht="35.5" customHeight="1" thickBot="1">
      <c r="A28" s="470"/>
      <c r="B28" s="471"/>
      <c r="C28" s="471"/>
      <c r="D28" s="471"/>
      <c r="E28" s="471"/>
      <c r="F28" s="472"/>
      <c r="G28" s="241" t="s">
        <v>57</v>
      </c>
      <c r="H28" s="379">
        <f>SUM(H14:H27)</f>
        <v>419765.56283779378</v>
      </c>
      <c r="I28" s="307">
        <f>SUM(I14:I27)</f>
        <v>1</v>
      </c>
      <c r="J28" s="242" t="s">
        <v>58</v>
      </c>
    </row>
    <row r="29" spans="1:10" ht="35" customHeight="1">
      <c r="A29" s="243"/>
      <c r="B29" s="250"/>
      <c r="C29" s="250"/>
      <c r="D29" s="290"/>
      <c r="E29" s="290"/>
      <c r="F29" s="288"/>
      <c r="G29" s="291"/>
      <c r="H29" s="380"/>
      <c r="I29" s="380"/>
      <c r="J29" s="242"/>
    </row>
    <row r="30" spans="1:10" ht="35.5" customHeight="1" thickBot="1">
      <c r="A30" s="244" t="s">
        <v>59</v>
      </c>
      <c r="B30" s="292"/>
      <c r="C30" s="292"/>
      <c r="D30" s="292"/>
      <c r="E30" s="290"/>
      <c r="F30" s="290"/>
      <c r="G30" s="290"/>
      <c r="H30" s="380"/>
      <c r="I30" s="380"/>
      <c r="J30" s="226"/>
    </row>
    <row r="31" spans="1:10" ht="35" customHeight="1">
      <c r="A31" s="451" t="s">
        <v>30</v>
      </c>
      <c r="B31" s="443" t="s">
        <v>60</v>
      </c>
      <c r="C31" s="443"/>
      <c r="D31" s="429"/>
      <c r="E31" s="444"/>
      <c r="F31" s="425" t="s">
        <v>61</v>
      </c>
      <c r="G31" s="491" t="s">
        <v>44</v>
      </c>
      <c r="H31" s="492"/>
      <c r="I31" s="308"/>
      <c r="J31" s="226"/>
    </row>
    <row r="32" spans="1:10" ht="35" customHeight="1">
      <c r="A32" s="467"/>
      <c r="B32" s="426"/>
      <c r="C32" s="445"/>
      <c r="D32" s="446"/>
      <c r="E32" s="447"/>
      <c r="F32" s="426"/>
      <c r="G32" s="246" t="s">
        <v>62</v>
      </c>
      <c r="H32" s="381" t="s">
        <v>63</v>
      </c>
      <c r="I32" s="382"/>
      <c r="J32" s="226"/>
    </row>
    <row r="33" spans="1:10" ht="35.5" customHeight="1" thickBot="1">
      <c r="A33" s="457"/>
      <c r="B33" s="427"/>
      <c r="C33" s="448"/>
      <c r="D33" s="449"/>
      <c r="E33" s="450"/>
      <c r="F33" s="427"/>
      <c r="G33" s="247" t="s">
        <v>64</v>
      </c>
      <c r="H33" s="383" t="s">
        <v>65</v>
      </c>
      <c r="I33" s="384"/>
      <c r="J33" s="226"/>
    </row>
    <row r="34" spans="1:10" ht="35" customHeight="1">
      <c r="A34" s="233">
        <v>1</v>
      </c>
      <c r="B34" s="284" t="s">
        <v>66</v>
      </c>
      <c r="C34" s="434"/>
      <c r="D34" s="435"/>
      <c r="E34" s="423"/>
      <c r="F34" s="298">
        <f>'Mould Costing'!$B$81</f>
        <v>400</v>
      </c>
      <c r="G34" s="385">
        <f>'Mould Costing'!B$80</f>
        <v>230</v>
      </c>
      <c r="H34" s="386">
        <f>F34*G34*'Mould Costing'!$C$83</f>
        <v>132447.16848240176</v>
      </c>
      <c r="I34" s="309">
        <f t="shared" ref="I34:I49" si="1">H34/$H$50</f>
        <v>0.24836336640345549</v>
      </c>
      <c r="J34" s="226"/>
    </row>
    <row r="35" spans="1:10" ht="35" customHeight="1">
      <c r="A35" s="293">
        <v>2</v>
      </c>
      <c r="B35" s="285" t="s">
        <v>67</v>
      </c>
      <c r="C35" s="434"/>
      <c r="D35" s="435"/>
      <c r="E35" s="423"/>
      <c r="F35" s="298">
        <f>'Mould Costing'!$C$81</f>
        <v>400</v>
      </c>
      <c r="G35" s="385">
        <f>'Mould Costing'!C$80</f>
        <v>8</v>
      </c>
      <c r="H35" s="386">
        <f>F35*G35*'Mould Costing'!$C$83</f>
        <v>4606.8580341704956</v>
      </c>
      <c r="I35" s="387">
        <f t="shared" si="1"/>
        <v>8.6387257879462775E-3</v>
      </c>
      <c r="J35" s="226"/>
    </row>
    <row r="36" spans="1:10" ht="35" customHeight="1">
      <c r="A36" s="293">
        <v>3</v>
      </c>
      <c r="B36" s="285" t="s">
        <v>68</v>
      </c>
      <c r="C36" s="434"/>
      <c r="D36" s="435"/>
      <c r="E36" s="423"/>
      <c r="F36" s="298">
        <f>'Mould Costing'!$D$81</f>
        <v>400</v>
      </c>
      <c r="G36" s="385">
        <f>'Mould Costing'!D$80</f>
        <v>0</v>
      </c>
      <c r="H36" s="386">
        <f>F36*G36*'Mould Costing'!$C$83</f>
        <v>0</v>
      </c>
      <c r="I36" s="387">
        <f t="shared" si="1"/>
        <v>0</v>
      </c>
      <c r="J36" s="351"/>
    </row>
    <row r="37" spans="1:10" ht="35" customHeight="1">
      <c r="A37" s="293">
        <v>4</v>
      </c>
      <c r="B37" s="285" t="s">
        <v>69</v>
      </c>
      <c r="C37" s="434"/>
      <c r="D37" s="435"/>
      <c r="E37" s="423"/>
      <c r="F37" s="298">
        <f>'Mould Costing'!$E$81</f>
        <v>500</v>
      </c>
      <c r="G37" s="385">
        <f>'Mould Costing'!E$80</f>
        <v>212</v>
      </c>
      <c r="H37" s="386">
        <f>F37*G37*'Mould Costing'!$C$83</f>
        <v>152602.17238189766</v>
      </c>
      <c r="I37" s="309">
        <f t="shared" si="1"/>
        <v>0.28615779172572042</v>
      </c>
      <c r="J37" s="351"/>
    </row>
    <row r="38" spans="1:10" ht="35" customHeight="1">
      <c r="A38" s="293">
        <v>5</v>
      </c>
      <c r="B38" s="285" t="s">
        <v>70</v>
      </c>
      <c r="C38" s="434"/>
      <c r="D38" s="435"/>
      <c r="E38" s="423"/>
      <c r="F38" s="298">
        <f>'Mould Costing'!$F$81</f>
        <v>500</v>
      </c>
      <c r="G38" s="385">
        <f>'Mould Costing'!F$80</f>
        <v>0</v>
      </c>
      <c r="H38" s="386">
        <f>F38*G38*'Mould Costing'!$C$83</f>
        <v>0</v>
      </c>
      <c r="I38" s="310">
        <f t="shared" si="1"/>
        <v>0</v>
      </c>
      <c r="J38" s="351"/>
    </row>
    <row r="39" spans="1:10" ht="35" customHeight="1">
      <c r="A39" s="293">
        <v>6</v>
      </c>
      <c r="B39" s="285" t="s">
        <v>71</v>
      </c>
      <c r="C39" s="434"/>
      <c r="D39" s="435"/>
      <c r="E39" s="423"/>
      <c r="F39" s="298">
        <f>'Mould Costing'!$G$81</f>
        <v>500</v>
      </c>
      <c r="G39" s="385">
        <f>'Mould Costing'!G$80</f>
        <v>33</v>
      </c>
      <c r="H39" s="386">
        <f>F39*G39*'Mould Costing'!$C$83</f>
        <v>23754.111738691619</v>
      </c>
      <c r="I39" s="309">
        <f t="shared" si="1"/>
        <v>4.4543429844097995E-2</v>
      </c>
      <c r="J39" s="351"/>
    </row>
    <row r="40" spans="1:10" ht="70" customHeight="1">
      <c r="A40" s="293">
        <v>7</v>
      </c>
      <c r="B40" s="285" t="s">
        <v>72</v>
      </c>
      <c r="C40" s="434"/>
      <c r="D40" s="435"/>
      <c r="E40" s="423"/>
      <c r="F40" s="298">
        <f>'Mould Costing'!$H$81</f>
        <v>500</v>
      </c>
      <c r="G40" s="385">
        <f>'Mould Costing'!H$80</f>
        <v>12</v>
      </c>
      <c r="H40" s="386">
        <f>F40*G40*'Mould Costing'!$C$83</f>
        <v>8637.8588140696793</v>
      </c>
      <c r="I40" s="387">
        <f t="shared" si="1"/>
        <v>1.619761085239927E-2</v>
      </c>
      <c r="J40" s="351"/>
    </row>
    <row r="41" spans="1:10" ht="35" customHeight="1">
      <c r="A41" s="233">
        <v>8</v>
      </c>
      <c r="B41" s="284" t="s">
        <v>73</v>
      </c>
      <c r="C41" s="434"/>
      <c r="D41" s="435"/>
      <c r="E41" s="423"/>
      <c r="F41" s="298">
        <f>'Mould Costing'!$I$81</f>
        <v>500</v>
      </c>
      <c r="G41" s="385">
        <f>'Mould Costing'!I$80</f>
        <v>0</v>
      </c>
      <c r="H41" s="386">
        <f>F41*G41*'Mould Costing'!$C$83</f>
        <v>0</v>
      </c>
      <c r="I41" s="310">
        <f t="shared" si="1"/>
        <v>0</v>
      </c>
      <c r="J41" s="351"/>
    </row>
    <row r="42" spans="1:10" ht="35" customHeight="1">
      <c r="A42" s="233">
        <v>9</v>
      </c>
      <c r="B42" s="284" t="s">
        <v>74</v>
      </c>
      <c r="C42" s="434"/>
      <c r="D42" s="435"/>
      <c r="E42" s="423"/>
      <c r="F42" s="298">
        <f>'Mould Costing'!$J$81</f>
        <v>500</v>
      </c>
      <c r="G42" s="385">
        <f>'Mould Costing'!J$80</f>
        <v>4</v>
      </c>
      <c r="H42" s="386">
        <f>F42*G42*'Mould Costing'!$C$83</f>
        <v>2879.2862713565601</v>
      </c>
      <c r="I42" s="388">
        <f t="shared" si="1"/>
        <v>5.3992036174664243E-3</v>
      </c>
      <c r="J42" s="351"/>
    </row>
    <row r="43" spans="1:10" ht="35" customHeight="1">
      <c r="A43" s="233">
        <v>10</v>
      </c>
      <c r="B43" s="284" t="s">
        <v>75</v>
      </c>
      <c r="C43" s="434"/>
      <c r="D43" s="435"/>
      <c r="E43" s="423"/>
      <c r="F43" s="298">
        <f>'Mould Costing'!K$81</f>
        <v>800</v>
      </c>
      <c r="G43" s="385">
        <f>'Mould Costing'!K$80</f>
        <v>0</v>
      </c>
      <c r="H43" s="386">
        <f>F43*G43*'Mould Costing'!$C$83</f>
        <v>0</v>
      </c>
      <c r="I43" s="310">
        <f t="shared" si="1"/>
        <v>0</v>
      </c>
      <c r="J43" s="351"/>
    </row>
    <row r="44" spans="1:10" ht="35" customHeight="1">
      <c r="A44" s="233">
        <v>11</v>
      </c>
      <c r="B44" s="284" t="s">
        <v>76</v>
      </c>
      <c r="C44" s="434"/>
      <c r="D44" s="435"/>
      <c r="E44" s="423"/>
      <c r="F44" s="298">
        <f>'Mould Costing'!$L$81</f>
        <v>800</v>
      </c>
      <c r="G44" s="385">
        <f>'Mould Costing'!L$80</f>
        <v>0</v>
      </c>
      <c r="H44" s="386">
        <f>F44*G44*'Mould Costing'!$C$83</f>
        <v>0</v>
      </c>
      <c r="I44" s="310">
        <f t="shared" si="1"/>
        <v>0</v>
      </c>
      <c r="J44" s="351"/>
    </row>
    <row r="45" spans="1:10" ht="35" customHeight="1">
      <c r="A45" s="293">
        <v>12</v>
      </c>
      <c r="B45" s="285" t="s">
        <v>77</v>
      </c>
      <c r="C45" s="434"/>
      <c r="D45" s="435"/>
      <c r="E45" s="423"/>
      <c r="F45" s="298">
        <f>'Mould Costing'!$M$81</f>
        <v>500</v>
      </c>
      <c r="G45" s="385">
        <f>'Mould Costing'!M$80</f>
        <v>0</v>
      </c>
      <c r="H45" s="386">
        <f>F45*G45*'Mould Costing'!$C$83</f>
        <v>0</v>
      </c>
      <c r="I45" s="310">
        <f t="shared" si="1"/>
        <v>0</v>
      </c>
      <c r="J45" s="351"/>
    </row>
    <row r="46" spans="1:10" ht="35" customHeight="1">
      <c r="A46" s="293">
        <v>13</v>
      </c>
      <c r="B46" s="285" t="s">
        <v>78</v>
      </c>
      <c r="C46" s="434"/>
      <c r="D46" s="435"/>
      <c r="E46" s="423"/>
      <c r="F46" s="298">
        <f>'Mould Costing'!$N$81</f>
        <v>1200</v>
      </c>
      <c r="G46" s="385">
        <f>'Mould Costing'!N$80</f>
        <v>49</v>
      </c>
      <c r="H46" s="386">
        <f>F46*G46*'Mould Costing'!$C$83</f>
        <v>84651.016377882857</v>
      </c>
      <c r="I46" s="309">
        <f t="shared" si="1"/>
        <v>0.15873658635351284</v>
      </c>
      <c r="J46" s="351"/>
    </row>
    <row r="47" spans="1:10" ht="35" customHeight="1">
      <c r="A47" s="293">
        <v>14</v>
      </c>
      <c r="B47" s="285" t="s">
        <v>79</v>
      </c>
      <c r="C47" s="434"/>
      <c r="D47" s="435"/>
      <c r="E47" s="423"/>
      <c r="F47" s="298">
        <f>'Mould Costing'!$O$81</f>
        <v>1200</v>
      </c>
      <c r="G47" s="385">
        <f>'Mould Costing'!O$80</f>
        <v>62</v>
      </c>
      <c r="H47" s="386">
        <f>F47*G47*'Mould Costing'!$C$83</f>
        <v>107109.44929446402</v>
      </c>
      <c r="I47" s="309">
        <f t="shared" si="1"/>
        <v>0.20085037456975097</v>
      </c>
      <c r="J47" s="351"/>
    </row>
    <row r="48" spans="1:10" ht="35" customHeight="1">
      <c r="A48" s="293">
        <v>15</v>
      </c>
      <c r="B48" s="285" t="s">
        <v>80</v>
      </c>
      <c r="C48" s="434"/>
      <c r="D48" s="435"/>
      <c r="E48" s="423"/>
      <c r="F48" s="298">
        <f>'Mould Costing'!$P$81</f>
        <v>1200</v>
      </c>
      <c r="G48" s="385">
        <f>'Mould Costing'!P$80</f>
        <v>8</v>
      </c>
      <c r="H48" s="386">
        <f>F48*G48*'Mould Costing'!$C$83</f>
        <v>13820.574102511488</v>
      </c>
      <c r="I48" s="309">
        <f t="shared" si="1"/>
        <v>2.5916177363838833E-2</v>
      </c>
      <c r="J48" s="351"/>
    </row>
    <row r="49" spans="1:10" ht="35.5" customHeight="1" thickBot="1">
      <c r="A49" s="293">
        <v>16</v>
      </c>
      <c r="B49" s="285" t="s">
        <v>81</v>
      </c>
      <c r="C49" s="434"/>
      <c r="D49" s="435"/>
      <c r="E49" s="423"/>
      <c r="F49" s="298">
        <f>'Mould Costing'!$Q$81</f>
        <v>43.75</v>
      </c>
      <c r="G49" s="385">
        <f>'Mould Costing'!Q$80</f>
        <v>44</v>
      </c>
      <c r="H49" s="386">
        <f>F49*G49*'Mould Costing'!$C$83</f>
        <v>2771.3130361806889</v>
      </c>
      <c r="I49" s="310">
        <f t="shared" si="1"/>
        <v>5.196733481811433E-3</v>
      </c>
      <c r="J49" s="351"/>
    </row>
    <row r="50" spans="1:10" ht="35.5" customHeight="1" thickBot="1">
      <c r="A50" s="489" t="s">
        <v>57</v>
      </c>
      <c r="B50" s="432"/>
      <c r="C50" s="432"/>
      <c r="D50" s="432"/>
      <c r="E50" s="320"/>
      <c r="F50" s="389"/>
      <c r="G50" s="389">
        <f>SUM(G34:G49)</f>
        <v>662</v>
      </c>
      <c r="H50" s="390">
        <f>SUM(H34:H49)</f>
        <v>533279.80853362684</v>
      </c>
      <c r="I50" s="391"/>
      <c r="J50" s="226"/>
    </row>
    <row r="51" spans="1:10" ht="35" customHeight="1">
      <c r="A51" s="243"/>
      <c r="B51" s="250"/>
      <c r="C51" s="250"/>
      <c r="D51" s="290"/>
      <c r="E51" s="290"/>
      <c r="F51" s="290"/>
      <c r="G51" s="290"/>
      <c r="H51" s="380"/>
      <c r="I51" s="380"/>
      <c r="J51" s="226"/>
    </row>
    <row r="52" spans="1:10" ht="35" customHeight="1">
      <c r="A52" s="244" t="s">
        <v>82</v>
      </c>
      <c r="B52" s="294"/>
      <c r="C52" s="294"/>
      <c r="D52" s="251"/>
      <c r="E52" s="251"/>
      <c r="F52" s="291"/>
      <c r="G52" s="251"/>
      <c r="H52" s="392">
        <f>H50</f>
        <v>533279.80853362684</v>
      </c>
      <c r="I52" s="392"/>
      <c r="J52" s="242" t="s">
        <v>83</v>
      </c>
    </row>
    <row r="53" spans="1:10" ht="35" customHeight="1">
      <c r="A53" s="227"/>
      <c r="B53" s="294"/>
      <c r="C53" s="294"/>
      <c r="D53" s="291"/>
      <c r="E53" s="291"/>
      <c r="F53" s="291"/>
      <c r="G53" s="291"/>
      <c r="H53" s="392"/>
      <c r="I53" s="392"/>
      <c r="J53" s="226"/>
    </row>
    <row r="54" spans="1:10" ht="35" customHeight="1">
      <c r="A54" s="244" t="s">
        <v>84</v>
      </c>
      <c r="B54" s="292"/>
      <c r="C54" s="292"/>
      <c r="D54" s="290"/>
      <c r="E54" s="290"/>
      <c r="F54" s="290"/>
      <c r="G54" s="290"/>
      <c r="H54" s="380"/>
      <c r="I54" s="380"/>
      <c r="J54" s="226"/>
    </row>
    <row r="55" spans="1:10" ht="35.5" customHeight="1" thickBot="1">
      <c r="A55" s="227"/>
      <c r="B55" s="250"/>
      <c r="C55" s="250"/>
      <c r="D55" s="290"/>
      <c r="E55" s="290"/>
      <c r="F55" s="290"/>
      <c r="G55" s="290"/>
      <c r="H55" s="380"/>
      <c r="I55" s="380"/>
      <c r="J55" s="226"/>
    </row>
    <row r="56" spans="1:10" ht="35.5" customHeight="1" thickBot="1">
      <c r="A56" s="464"/>
      <c r="B56" s="465"/>
      <c r="C56" s="468" t="s">
        <v>33</v>
      </c>
      <c r="D56" s="454"/>
      <c r="E56" s="496" t="s">
        <v>85</v>
      </c>
      <c r="F56" s="471"/>
      <c r="G56" s="497" t="s">
        <v>86</v>
      </c>
      <c r="H56" s="454"/>
      <c r="I56" s="243"/>
      <c r="J56" s="226"/>
    </row>
    <row r="57" spans="1:10" ht="35" customHeight="1">
      <c r="A57" s="474" t="s">
        <v>87</v>
      </c>
      <c r="B57" s="450"/>
      <c r="C57" s="474"/>
      <c r="D57" s="450"/>
      <c r="E57" s="488"/>
      <c r="F57" s="450"/>
      <c r="G57" s="462">
        <f>'Mould Costing'!L96</f>
        <v>5000</v>
      </c>
      <c r="H57" s="450"/>
      <c r="I57" s="393"/>
      <c r="J57" s="226"/>
    </row>
    <row r="58" spans="1:10" ht="35" customHeight="1">
      <c r="A58" s="434" t="s">
        <v>45</v>
      </c>
      <c r="B58" s="423"/>
      <c r="C58" s="434"/>
      <c r="D58" s="423"/>
      <c r="E58" s="469"/>
      <c r="F58" s="423"/>
      <c r="G58" s="476">
        <f>'Mould Costing'!L99</f>
        <v>0</v>
      </c>
      <c r="H58" s="423"/>
      <c r="I58" s="393"/>
      <c r="J58" s="226"/>
    </row>
    <row r="59" spans="1:10" ht="35" customHeight="1">
      <c r="A59" s="434" t="s">
        <v>88</v>
      </c>
      <c r="B59" s="423"/>
      <c r="C59" s="434"/>
      <c r="D59" s="423"/>
      <c r="E59" s="469"/>
      <c r="F59" s="423"/>
      <c r="G59" s="424">
        <f>'Mould Costing'!L95</f>
        <v>180468.96057668407</v>
      </c>
      <c r="H59" s="423"/>
      <c r="I59" s="394"/>
      <c r="J59" s="226"/>
    </row>
    <row r="60" spans="1:10" ht="35.5" customHeight="1" thickBot="1">
      <c r="A60" s="347"/>
      <c r="B60" s="239"/>
      <c r="C60" s="239"/>
      <c r="D60" s="349"/>
      <c r="E60" s="466"/>
      <c r="F60" s="461"/>
      <c r="G60" s="493"/>
      <c r="H60" s="461"/>
      <c r="I60" s="303"/>
      <c r="J60" s="237"/>
    </row>
    <row r="61" spans="1:10" ht="35.5" customHeight="1" thickBot="1">
      <c r="A61" s="321"/>
      <c r="B61" s="297"/>
      <c r="C61" s="297"/>
      <c r="D61" s="335"/>
      <c r="E61" s="481" t="s">
        <v>57</v>
      </c>
      <c r="F61" s="454"/>
      <c r="G61" s="453">
        <f>+G57+G58+G59</f>
        <v>185468.96057668407</v>
      </c>
      <c r="H61" s="454"/>
      <c r="I61" s="395"/>
      <c r="J61" s="242" t="s">
        <v>89</v>
      </c>
    </row>
    <row r="62" spans="1:10" ht="35.5" customHeight="1" thickBot="1">
      <c r="A62" s="243"/>
      <c r="B62" s="250"/>
      <c r="C62" s="250"/>
      <c r="D62" s="288"/>
      <c r="E62" s="290"/>
      <c r="F62" s="290"/>
      <c r="G62" s="290"/>
      <c r="H62" s="380"/>
      <c r="I62" s="380"/>
      <c r="J62" s="226"/>
    </row>
    <row r="63" spans="1:10" ht="35.5" customHeight="1" thickBot="1">
      <c r="A63" s="244" t="s">
        <v>90</v>
      </c>
      <c r="B63" s="287"/>
      <c r="C63" s="287"/>
      <c r="D63" s="288"/>
      <c r="E63" s="295"/>
      <c r="F63" s="290"/>
      <c r="G63" s="290"/>
      <c r="H63" s="396">
        <v>0</v>
      </c>
      <c r="I63" s="392"/>
      <c r="J63" s="242" t="s">
        <v>91</v>
      </c>
    </row>
    <row r="64" spans="1:10" ht="35.5" customHeight="1" thickBot="1">
      <c r="A64" s="227"/>
      <c r="B64" s="250"/>
      <c r="C64" s="250"/>
      <c r="D64" s="290"/>
      <c r="E64" s="296"/>
      <c r="F64" s="290"/>
      <c r="G64" s="290"/>
      <c r="H64" s="380"/>
      <c r="I64" s="380"/>
      <c r="J64" s="226"/>
    </row>
    <row r="65" spans="1:10" ht="40.5" customHeight="1">
      <c r="A65" s="475" t="s">
        <v>92</v>
      </c>
      <c r="B65" s="429"/>
      <c r="C65" s="429"/>
      <c r="D65" s="439"/>
      <c r="E65" s="429"/>
      <c r="F65" s="429"/>
      <c r="G65" s="430"/>
      <c r="H65" s="473">
        <f>C9+H28+H52+G61+H63+F9</f>
        <v>1397362.1677430593</v>
      </c>
      <c r="I65" s="397"/>
      <c r="J65" s="455"/>
    </row>
    <row r="66" spans="1:10" ht="41" customHeight="1" thickBot="1">
      <c r="A66" s="431"/>
      <c r="B66" s="432"/>
      <c r="C66" s="432"/>
      <c r="D66" s="431"/>
      <c r="E66" s="432"/>
      <c r="F66" s="432"/>
      <c r="G66" s="433"/>
      <c r="H66" s="433"/>
      <c r="I66" s="397"/>
      <c r="J66" s="456"/>
    </row>
    <row r="67" spans="1:10" ht="35" customHeight="1">
      <c r="A67" s="243"/>
      <c r="B67" s="250"/>
      <c r="C67" s="250"/>
      <c r="D67" s="290"/>
      <c r="E67" s="290"/>
      <c r="F67" s="290"/>
      <c r="G67" s="290"/>
      <c r="H67" s="380"/>
      <c r="I67" s="380"/>
      <c r="J67" s="226"/>
    </row>
    <row r="68" spans="1:10" ht="35" customHeight="1">
      <c r="A68" s="482" t="s">
        <v>93</v>
      </c>
      <c r="B68" s="483"/>
      <c r="C68" s="483"/>
      <c r="D68" s="484"/>
      <c r="E68" s="291"/>
      <c r="F68" s="477" t="s">
        <v>94</v>
      </c>
      <c r="G68" s="478"/>
      <c r="H68" s="478"/>
      <c r="I68" s="478"/>
      <c r="J68" s="479"/>
    </row>
    <row r="69" spans="1:10" ht="35.5" customHeight="1" thickBot="1">
      <c r="A69" s="485"/>
      <c r="B69" s="486"/>
      <c r="C69" s="486"/>
      <c r="D69" s="487"/>
      <c r="E69" s="253"/>
      <c r="F69" s="480"/>
      <c r="G69" s="432"/>
      <c r="H69" s="432"/>
      <c r="I69" s="432"/>
      <c r="J69" s="433"/>
    </row>
    <row r="78" spans="1:10">
      <c r="H78">
        <f>VALUE(H65)</f>
        <v>1397362.1677430593</v>
      </c>
    </row>
  </sheetData>
  <mergeCells count="74">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H65:H66"/>
    <mergeCell ref="C37:E37"/>
    <mergeCell ref="A57:B57"/>
    <mergeCell ref="E58:F58"/>
    <mergeCell ref="A65:C66"/>
    <mergeCell ref="C49:E49"/>
    <mergeCell ref="G58:H58"/>
    <mergeCell ref="G60:H60"/>
    <mergeCell ref="E56:F56"/>
    <mergeCell ref="A58:B58"/>
    <mergeCell ref="G56:H56"/>
    <mergeCell ref="C47:E47"/>
    <mergeCell ref="J65:J66"/>
    <mergeCell ref="C36:E36"/>
    <mergeCell ref="A12:A13"/>
    <mergeCell ref="C12:C13"/>
    <mergeCell ref="D27:E27"/>
    <mergeCell ref="C39:E39"/>
    <mergeCell ref="G57:H57"/>
    <mergeCell ref="C48:E48"/>
    <mergeCell ref="D26:E26"/>
    <mergeCell ref="A56:B56"/>
    <mergeCell ref="E60:F60"/>
    <mergeCell ref="A31:A33"/>
    <mergeCell ref="C56:D56"/>
    <mergeCell ref="D17:E17"/>
    <mergeCell ref="C59:D59"/>
    <mergeCell ref="C38:E38"/>
    <mergeCell ref="D65:G66"/>
    <mergeCell ref="B12:B13"/>
    <mergeCell ref="D19:E19"/>
    <mergeCell ref="C58:D58"/>
    <mergeCell ref="C31:E33"/>
    <mergeCell ref="D12:E13"/>
    <mergeCell ref="C40:E40"/>
    <mergeCell ref="D22:E22"/>
    <mergeCell ref="G61:H61"/>
    <mergeCell ref="C43:E43"/>
    <mergeCell ref="C46:E46"/>
    <mergeCell ref="D21:E21"/>
    <mergeCell ref="E59:F59"/>
    <mergeCell ref="D16:E16"/>
    <mergeCell ref="B31:B33"/>
    <mergeCell ref="A28:F28"/>
    <mergeCell ref="D20:E20"/>
    <mergeCell ref="G59:H59"/>
    <mergeCell ref="F31:F33"/>
    <mergeCell ref="A1:J2"/>
    <mergeCell ref="C41:E41"/>
    <mergeCell ref="C44:E44"/>
    <mergeCell ref="F5:H5"/>
    <mergeCell ref="J4:J8"/>
    <mergeCell ref="A59:B59"/>
    <mergeCell ref="C9:D9"/>
    <mergeCell ref="G31:H31"/>
    <mergeCell ref="A9:B9"/>
    <mergeCell ref="G9:H9"/>
    <mergeCell ref="C35:E35"/>
  </mergeCells>
  <pageMargins left="0.25" right="0.25" top="0.75" bottom="0.75" header="0.3" footer="0.3"/>
  <pageSetup paperSize="9" scale="2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6"/>
  <sheetViews>
    <sheetView tabSelected="1" workbookViewId="0">
      <selection activeCell="G6" sqref="G6"/>
    </sheetView>
  </sheetViews>
  <sheetFormatPr defaultRowHeight="14.5"/>
  <sheetData>
    <row r="1" spans="6:6">
      <c r="F1" s="60">
        <f>INT(DASHBOARD!C9)</f>
        <v>258847</v>
      </c>
    </row>
    <row r="2" spans="6:6">
      <c r="F2">
        <f>INT(DASHBOARD!H28)</f>
        <v>419765</v>
      </c>
    </row>
    <row r="3" spans="6:6">
      <c r="F3">
        <f>INT(DASHBOARD!H52)</f>
        <v>533279</v>
      </c>
    </row>
    <row r="4" spans="6:6">
      <c r="F4">
        <f>INT(DASHBOARD!G61)</f>
        <v>185468</v>
      </c>
    </row>
    <row r="5" spans="6:6">
      <c r="F5">
        <f>INT(DASHBOARD!H65)</f>
        <v>1397362</v>
      </c>
    </row>
    <row r="6" spans="6:6">
      <c r="F6" t="str">
        <f>DASHBOARD!D4</f>
        <v>NB223320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24"/>
  <sheetViews>
    <sheetView workbookViewId="0">
      <selection activeCell="H7" sqref="H7"/>
    </sheetView>
  </sheetViews>
  <sheetFormatPr defaultColWidth="8.7265625" defaultRowHeight="14.5"/>
  <cols>
    <col min="1" max="4" width="8.7265625" style="206" customWidth="1"/>
    <col min="5" max="16384" width="8.7265625" style="206"/>
  </cols>
  <sheetData>
    <row r="1" spans="1:1" ht="21" customHeight="1">
      <c r="A1" s="207" t="s">
        <v>95</v>
      </c>
    </row>
    <row r="2" spans="1:1" ht="21" customHeight="1">
      <c r="A2" s="207"/>
    </row>
    <row r="3" spans="1:1">
      <c r="A3" s="208" t="s">
        <v>96</v>
      </c>
    </row>
    <row r="4" spans="1:1">
      <c r="A4" s="208"/>
    </row>
    <row r="5" spans="1:1">
      <c r="A5" s="209" t="s">
        <v>97</v>
      </c>
    </row>
    <row r="6" spans="1:1">
      <c r="A6" s="209" t="s">
        <v>98</v>
      </c>
    </row>
    <row r="7" spans="1:1">
      <c r="A7" s="209" t="s">
        <v>99</v>
      </c>
    </row>
    <row r="8" spans="1:1">
      <c r="A8" s="209" t="s">
        <v>100</v>
      </c>
    </row>
    <row r="9" spans="1:1">
      <c r="A9" s="209" t="s">
        <v>101</v>
      </c>
    </row>
    <row r="10" spans="1:1">
      <c r="A10" s="209"/>
    </row>
    <row r="11" spans="1:1">
      <c r="A11" s="210" t="s">
        <v>102</v>
      </c>
    </row>
    <row r="12" spans="1:1">
      <c r="A12" s="209"/>
    </row>
    <row r="13" spans="1:1">
      <c r="A13" s="209" t="s">
        <v>103</v>
      </c>
    </row>
    <row r="14" spans="1:1">
      <c r="A14" s="209" t="s">
        <v>104</v>
      </c>
    </row>
    <row r="15" spans="1:1">
      <c r="A15" s="209"/>
    </row>
    <row r="16" spans="1:1">
      <c r="A16" s="210" t="s">
        <v>105</v>
      </c>
    </row>
    <row r="17" spans="1:1">
      <c r="A17" s="209"/>
    </row>
    <row r="18" spans="1:1">
      <c r="A18" s="209" t="s">
        <v>106</v>
      </c>
    </row>
    <row r="19" spans="1:1">
      <c r="A19" s="209" t="s">
        <v>107</v>
      </c>
    </row>
    <row r="20" spans="1:1">
      <c r="A20" s="209" t="s">
        <v>108</v>
      </c>
    </row>
    <row r="21" spans="1:1">
      <c r="A21" s="209" t="s">
        <v>109</v>
      </c>
    </row>
    <row r="22" spans="1:1">
      <c r="A22" s="209" t="s">
        <v>110</v>
      </c>
    </row>
    <row r="23" spans="1:1">
      <c r="A23" s="209" t="s">
        <v>111</v>
      </c>
    </row>
    <row r="24" spans="1:1">
      <c r="A24" s="20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5"/>
    <pageSetUpPr fitToPage="1"/>
  </sheetPr>
  <dimension ref="A1:R100"/>
  <sheetViews>
    <sheetView topLeftCell="A40" zoomScale="85" zoomScaleNormal="85" workbookViewId="0">
      <selection activeCell="O53" sqref="O53"/>
    </sheetView>
  </sheetViews>
  <sheetFormatPr defaultColWidth="9" defaultRowHeight="14.5"/>
  <cols>
    <col min="1" max="1" width="19.26953125" style="352" customWidth="1"/>
    <col min="2" max="2" width="12.54296875" style="352" customWidth="1"/>
    <col min="3" max="3" width="14.90625" style="352" customWidth="1"/>
    <col min="4" max="4" width="13.26953125" style="352" customWidth="1"/>
    <col min="5" max="5" width="14.54296875" style="352" customWidth="1"/>
    <col min="6" max="6" width="15.08984375" style="352" customWidth="1"/>
    <col min="7" max="7" width="16.81640625" style="352" customWidth="1"/>
    <col min="8" max="8" width="12.453125" style="352" customWidth="1"/>
    <col min="9" max="9" width="16.08984375" style="352" customWidth="1"/>
    <col min="10" max="10" width="18.26953125" style="352" customWidth="1"/>
    <col min="11" max="11" width="12.81640625" style="352" customWidth="1"/>
    <col min="12" max="12" width="16.453125" style="352" customWidth="1"/>
    <col min="13" max="13" width="11.36328125" style="352" customWidth="1"/>
    <col min="14" max="14" width="13.6328125" style="352" customWidth="1"/>
    <col min="15" max="15" width="16" style="352" customWidth="1"/>
    <col min="16" max="16" width="12.36328125" style="352" customWidth="1"/>
    <col min="17" max="17" width="9.453125" style="352" customWidth="1"/>
    <col min="18" max="18" width="14.54296875" style="352" customWidth="1"/>
  </cols>
  <sheetData>
    <row r="1" spans="1:13" ht="23.5" customHeight="1">
      <c r="A1" s="508" t="s">
        <v>112</v>
      </c>
      <c r="B1" s="446"/>
      <c r="C1" s="446"/>
      <c r="D1" s="446"/>
      <c r="E1" s="446"/>
      <c r="F1" s="446"/>
      <c r="G1" s="446"/>
      <c r="H1" s="446"/>
      <c r="I1" s="446"/>
      <c r="J1" s="446"/>
      <c r="K1" s="446"/>
      <c r="L1" s="446"/>
      <c r="M1" s="446"/>
    </row>
    <row r="2" spans="1:13">
      <c r="A2" s="24" t="s">
        <v>113</v>
      </c>
      <c r="B2" s="364" t="s">
        <v>114</v>
      </c>
      <c r="C2" s="364"/>
    </row>
    <row r="3" spans="1:13">
      <c r="A3" t="s">
        <v>115</v>
      </c>
      <c r="B3">
        <f>'Input-Output'!F3</f>
        <v>449.43502458835189</v>
      </c>
    </row>
    <row r="4" spans="1:13">
      <c r="A4" t="s">
        <v>116</v>
      </c>
      <c r="B4">
        <f>'Input-Output'!F4</f>
        <v>507.43502458835189</v>
      </c>
    </row>
    <row r="5" spans="1:13">
      <c r="A5" t="s">
        <v>117</v>
      </c>
      <c r="B5">
        <f>'Input-Output'!F5</f>
        <v>471.80411830750211</v>
      </c>
    </row>
    <row r="7" spans="1:13" ht="18.5" customHeight="1">
      <c r="A7" s="510" t="s">
        <v>118</v>
      </c>
      <c r="B7" s="446"/>
      <c r="C7" s="446"/>
      <c r="D7" s="446"/>
      <c r="E7" s="446"/>
      <c r="F7" s="446"/>
      <c r="G7" s="446"/>
      <c r="H7" s="446"/>
      <c r="I7" s="446"/>
      <c r="J7" s="446"/>
      <c r="K7" s="446"/>
      <c r="L7" s="446"/>
      <c r="M7" s="446"/>
    </row>
    <row r="8" spans="1:13" ht="58" customHeight="1">
      <c r="A8" s="25" t="s">
        <v>119</v>
      </c>
      <c r="B8" s="26" t="s">
        <v>120</v>
      </c>
      <c r="C8" s="26" t="s">
        <v>121</v>
      </c>
      <c r="D8" s="27" t="s">
        <v>115</v>
      </c>
      <c r="E8" s="28" t="s">
        <v>122</v>
      </c>
      <c r="F8" s="27" t="s">
        <v>117</v>
      </c>
      <c r="G8" s="27" t="s">
        <v>123</v>
      </c>
      <c r="H8" s="28" t="s">
        <v>124</v>
      </c>
      <c r="I8" s="28" t="s">
        <v>125</v>
      </c>
      <c r="J8" s="28" t="s">
        <v>126</v>
      </c>
      <c r="K8" s="28" t="s">
        <v>127</v>
      </c>
      <c r="L8" s="49" t="s">
        <v>128</v>
      </c>
      <c r="M8" s="50" t="s">
        <v>129</v>
      </c>
    </row>
    <row r="9" spans="1:13">
      <c r="A9" s="29" t="s">
        <v>130</v>
      </c>
      <c r="B9" s="30" t="s">
        <v>131</v>
      </c>
      <c r="C9" s="31">
        <f>VLOOKUP(Table4[[#This Row],[Material]],Table1[[Various Tool Steel]:[Density(g/cc3)]],2,FALSE)</f>
        <v>7.8</v>
      </c>
      <c r="D9" s="32">
        <f>$D$14+60</f>
        <v>549.43502458835189</v>
      </c>
      <c r="E9" s="32">
        <f>$E$14+60</f>
        <v>607.43502458835189</v>
      </c>
      <c r="F9" s="356">
        <v>25</v>
      </c>
      <c r="G9" s="356">
        <f>Table4[[#This Row],[Length]]*Table4[[#This Row],[Width / Diameter]]*Table4[[#This Row],[Height]]/1000</f>
        <v>8343.6519417631825</v>
      </c>
      <c r="H9" s="33">
        <f>Table4[[#This Row],[Volume(in cm3)]]*Table4[[#This Row],[Density(g/cm3)]]/1000</f>
        <v>65.080485145752817</v>
      </c>
      <c r="I9" s="33">
        <f>Table4[[#This Row],[Weight in Kg]]*1.1</f>
        <v>71.58853366032811</v>
      </c>
      <c r="J9" s="33">
        <v>1</v>
      </c>
      <c r="K9" s="33">
        <f>Table4[[#This Row],[Total Weight in Kg (10% Machining Allowance)]]*Table4[[#This Row],[QTY]]</f>
        <v>71.58853366032811</v>
      </c>
      <c r="L9" s="266">
        <f>VLOOKUP(Table4[[#This Row],[Material]],Table1[[Various Tool Steel]:[Price/Kg]],4,FALSE)</f>
        <v>128</v>
      </c>
      <c r="M9" s="51">
        <f>Table4[[#This Row],[Total weight]]*Table4[[#This Row],[Price/kg]]</f>
        <v>9163.3323085219981</v>
      </c>
    </row>
    <row r="10" spans="1:13">
      <c r="A10" s="29" t="s">
        <v>132</v>
      </c>
      <c r="B10" s="30" t="s">
        <v>131</v>
      </c>
      <c r="C10" s="31">
        <f>VLOOKUP(Table4[[#This Row],[Material]],Table1[[Various Tool Steel]:[Density(g/cc3)]],2,FALSE)</f>
        <v>7.8</v>
      </c>
      <c r="D10" s="32">
        <f>D14+60</f>
        <v>549.43502458835189</v>
      </c>
      <c r="E10" s="32">
        <f>E14+60</f>
        <v>607.43502458835189</v>
      </c>
      <c r="F10" s="32">
        <f>F9</f>
        <v>25</v>
      </c>
      <c r="G10" s="32">
        <f>Table4[[#This Row],[Length]]*Table4[[#This Row],[Width / Diameter]]*Table4[[#This Row],[Height]]/1000</f>
        <v>8343.6519417631825</v>
      </c>
      <c r="H10" s="33">
        <f>Table4[[#This Row],[Volume(in cm3)]]*Table4[[#This Row],[Density(g/cm3)]]/1000</f>
        <v>65.080485145752817</v>
      </c>
      <c r="I10" s="33">
        <f>Table4[[#This Row],[Weight in Kg]]*1.1</f>
        <v>71.58853366032811</v>
      </c>
      <c r="J10" s="33">
        <v>1</v>
      </c>
      <c r="K10" s="33">
        <f>Table4[[#This Row],[Total Weight in Kg (10% Machining Allowance)]]*Table4[[#This Row],[QTY]]</f>
        <v>71.58853366032811</v>
      </c>
      <c r="L10" s="266">
        <f>VLOOKUP(Table4[[#This Row],[Material]],Table1[[Various Tool Steel]:[Price/Kg]],4,FALSE)</f>
        <v>128</v>
      </c>
      <c r="M10" s="51">
        <f>Table4[[#This Row],[Total weight]]*Table4[[#This Row],[Price/kg]]</f>
        <v>9163.3323085219981</v>
      </c>
    </row>
    <row r="11" spans="1:13">
      <c r="A11" s="29" t="s">
        <v>133</v>
      </c>
      <c r="B11" s="30" t="s">
        <v>131</v>
      </c>
      <c r="C11" s="31">
        <f>VLOOKUP(Table4[[#This Row],[Material]],Table1[[Various Tool Steel]:[Density(g/cc3)]],2,FALSE)</f>
        <v>7.8</v>
      </c>
      <c r="D11" s="32">
        <f>(D14-('Input-Output'!B2*2)+50)/2</f>
        <v>109.71751229417595</v>
      </c>
      <c r="E11" s="32">
        <f>E10</f>
        <v>607.43502458835189</v>
      </c>
      <c r="F11" s="32">
        <f>F12+F13+('Input-Output'!B4)+15</f>
        <v>181.92283570433779</v>
      </c>
      <c r="G11" s="32">
        <f>Table4[[#This Row],[Length]]*Table4[[#This Row],[Width / Diameter]]*Table4[[#This Row],[Height]]/1000</f>
        <v>12124.476567935471</v>
      </c>
      <c r="H11" s="32">
        <f>Table4[[#This Row],[Volume(in cm3)]]*Table4[[#This Row],[Density(g/cm3)]]/1000</f>
        <v>94.570917229896679</v>
      </c>
      <c r="I11" s="32">
        <f>Table4[[#This Row],[Weight in Kg]]*1.1</f>
        <v>104.02800895288635</v>
      </c>
      <c r="J11" s="33">
        <v>2</v>
      </c>
      <c r="K11" s="33">
        <f>Table4[[#This Row],[Total Weight in Kg (10% Machining Allowance)]]*Table4[[#This Row],[QTY]]</f>
        <v>208.05601790577271</v>
      </c>
      <c r="L11" s="266">
        <f>VLOOKUP(Table4[[#This Row],[Material]],Table1[[Various Tool Steel]:[Price/Kg]],4,FALSE)</f>
        <v>128</v>
      </c>
      <c r="M11" s="51">
        <f>Table4[[#This Row],[Total weight]]*Table4[[#This Row],[Price/kg]]</f>
        <v>26631.170291938906</v>
      </c>
    </row>
    <row r="12" spans="1:13">
      <c r="A12" s="29" t="s">
        <v>134</v>
      </c>
      <c r="B12" s="30" t="s">
        <v>131</v>
      </c>
      <c r="C12" s="31">
        <f>VLOOKUP(Table4[[#This Row],[Material]],Table1[[Various Tool Steel]:[Density(g/cc3)]],2,FALSE)</f>
        <v>7.8</v>
      </c>
      <c r="D12" s="356">
        <f>MAX(D15-(D11*2),0)</f>
        <v>270</v>
      </c>
      <c r="E12" s="32">
        <f>E14</f>
        <v>547.43502458835189</v>
      </c>
      <c r="F12" s="32">
        <f>F13+12</f>
        <v>56.961417852168886</v>
      </c>
      <c r="G12" s="32">
        <f>Table4[[#This Row],[Length]]*Table4[[#This Row],[Width / Diameter]]*Table4[[#This Row],[Height]]/1000</f>
        <v>8419.3222992721549</v>
      </c>
      <c r="H12" s="33">
        <f>Table4[[#This Row],[Volume(in cm3)]]*Table4[[#This Row],[Density(g/cm3)]]/1000</f>
        <v>65.670713934322805</v>
      </c>
      <c r="I12" s="33">
        <f>Table4[[#This Row],[Weight in Kg]]*1.1</f>
        <v>72.237785327755091</v>
      </c>
      <c r="J12" s="33">
        <v>1</v>
      </c>
      <c r="K12" s="33">
        <f>Table4[[#This Row],[Total Weight in Kg (10% Machining Allowance)]]*Table4[[#This Row],[QTY]]</f>
        <v>72.237785327755091</v>
      </c>
      <c r="L12" s="266">
        <f>VLOOKUP(Table4[[#This Row],[Material]],Table1[[Various Tool Steel]:[Price/Kg]],4,FALSE)</f>
        <v>128</v>
      </c>
      <c r="M12" s="51">
        <f>Table4[[#This Row],[Total weight]]*Table4[[#This Row],[Price/kg]]</f>
        <v>9246.4365219526517</v>
      </c>
    </row>
    <row r="13" spans="1:13">
      <c r="A13" s="29" t="s">
        <v>135</v>
      </c>
      <c r="B13" s="30" t="s">
        <v>131</v>
      </c>
      <c r="C13" s="31">
        <f>VLOOKUP(Table4[[#This Row],[Material]],Table1[[Various Tool Steel]:[Density(g/cc3)]],2,FALSE)</f>
        <v>7.8</v>
      </c>
      <c r="D13" s="356">
        <f>MAX(D15-(D11*2),0)</f>
        <v>270</v>
      </c>
      <c r="E13" s="32">
        <f>E14</f>
        <v>547.43502458835189</v>
      </c>
      <c r="F13" s="32">
        <f>'Core &amp; Ejector Plate'!C17*10</f>
        <v>44.961417852168886</v>
      </c>
      <c r="G13" s="32">
        <f>Table4[[#This Row],[Length]]*Table4[[#This Row],[Width / Diameter]]*Table4[[#This Row],[Height]]/1000</f>
        <v>6645.6328196058948</v>
      </c>
      <c r="H13" s="33">
        <f>Table4[[#This Row],[Volume(in cm3)]]*Table4[[#This Row],[Density(g/cm3)]]/1000</f>
        <v>51.835935992925982</v>
      </c>
      <c r="I13" s="33">
        <f>Table4[[#This Row],[Weight in Kg]]*1.1</f>
        <v>57.019529592218582</v>
      </c>
      <c r="J13" s="33">
        <v>1</v>
      </c>
      <c r="K13" s="33">
        <f>Table4[[#This Row],[Total Weight in Kg (10% Machining Allowance)]]*Table4[[#This Row],[QTY]]</f>
        <v>57.019529592218582</v>
      </c>
      <c r="L13" s="266">
        <f>VLOOKUP(Table4[[#This Row],[Material]],Table1[[Various Tool Steel]:[Price/Kg]],4,FALSE)</f>
        <v>128</v>
      </c>
      <c r="M13" s="51">
        <f>Table4[[#This Row],[Total weight]]*Table4[[#This Row],[Price/kg]]</f>
        <v>7298.4997878039785</v>
      </c>
    </row>
    <row r="14" spans="1:13">
      <c r="A14" s="29" t="s">
        <v>136</v>
      </c>
      <c r="B14" s="30" t="s">
        <v>137</v>
      </c>
      <c r="C14" s="31">
        <f>VLOOKUP(Table4[[#This Row],[Material]],Table1[[Various Tool Steel]:[Density(g/cc3)]],2,FALSE)</f>
        <v>7.8609999999999998</v>
      </c>
      <c r="D14" s="32">
        <f>B3+40</f>
        <v>489.43502458835189</v>
      </c>
      <c r="E14" s="32">
        <f>B4+40</f>
        <v>547.43502458835189</v>
      </c>
      <c r="F14" s="32">
        <f>'Core &amp; Ejector Plate'!D5*10+'Input-Output'!B4</f>
        <v>119.94064130158216</v>
      </c>
      <c r="G14" s="32">
        <f>Table4[[#This Row],[Length]]*Table4[[#This Row],[Width / Diameter]]*Table4[[#This Row],[Height]]/1000</f>
        <v>32136.160760325583</v>
      </c>
      <c r="H14" s="33">
        <f>Table4[[#This Row],[Volume(in cm3)]]*Table4[[#This Row],[Density(g/cm3)]]/1000</f>
        <v>252.62235973691941</v>
      </c>
      <c r="I14" s="33">
        <f>Table4[[#This Row],[Weight in Kg]]*1.1-I19</f>
        <v>263.52001138616976</v>
      </c>
      <c r="J14" s="33">
        <v>1</v>
      </c>
      <c r="K14" s="33">
        <f>Table4[[#This Row],[Total Weight in Kg (10% Machining Allowance)]]*Table4[[#This Row],[QTY]]</f>
        <v>263.52001138616976</v>
      </c>
      <c r="L14" s="266">
        <f>VLOOKUP(Table4[[#This Row],[Material]],Table1[[Various Tool Steel]:[Price/Kg]],4,FALSE)</f>
        <v>230</v>
      </c>
      <c r="M14" s="51">
        <f>Table4[[#This Row],[Total weight]]*Table4[[#This Row],[Price/kg]]</f>
        <v>60609.602618819044</v>
      </c>
    </row>
    <row r="15" spans="1:13">
      <c r="A15" s="29" t="s">
        <v>138</v>
      </c>
      <c r="B15" s="30" t="s">
        <v>137</v>
      </c>
      <c r="C15" s="31">
        <f>VLOOKUP(Table4[[#This Row],[Material]],Table1[[Various Tool Steel]:[Density(g/cc3)]],2,FALSE)</f>
        <v>7.8609999999999998</v>
      </c>
      <c r="D15" s="32">
        <f>B3+40</f>
        <v>489.43502458835189</v>
      </c>
      <c r="E15" s="32">
        <f>B4+40</f>
        <v>547.43502458835189</v>
      </c>
      <c r="F15" s="32">
        <f>'Core &amp; Ejector Plate'!D5*10+'Input-Output'!B4</f>
        <v>119.94064130158216</v>
      </c>
      <c r="G15" s="32">
        <f>Table4[[#This Row],[Length]]*Table4[[#This Row],[Width / Diameter]]*Table4[[#This Row],[Height]]/1000</f>
        <v>32136.160760325583</v>
      </c>
      <c r="H15" s="33">
        <f>Table4[[#This Row],[Volume(in cm3)]]*Table4[[#This Row],[Density(g/cm3)]]/1000</f>
        <v>252.62235973691941</v>
      </c>
      <c r="I15" s="33">
        <f>Table4[[#This Row],[Weight in Kg]]*1.1-I20</f>
        <v>270.7023035483906</v>
      </c>
      <c r="J15" s="33">
        <v>1</v>
      </c>
      <c r="K15" s="33">
        <f>Table4[[#This Row],[Total Weight in Kg (10% Machining Allowance)]]*Table4[[#This Row],[QTY]]</f>
        <v>270.7023035483906</v>
      </c>
      <c r="L15" s="266">
        <f>VLOOKUP(Table4[[#This Row],[Material]],Table1[[Various Tool Steel]:[Price/Kg]],4,FALSE)</f>
        <v>230</v>
      </c>
      <c r="M15" s="51">
        <f>Table4[[#This Row],[Total weight]]*Table4[[#This Row],[Price/kg]]</f>
        <v>62261.529816129841</v>
      </c>
    </row>
    <row r="16" spans="1:13">
      <c r="A16" s="29" t="s">
        <v>139</v>
      </c>
      <c r="B16" s="30" t="s">
        <v>131</v>
      </c>
      <c r="C16" s="31">
        <f>VLOOKUP(Table4[[#This Row],[Material]],Table1[[Various Tool Steel]:[Density(g/cc3)]],2,FALSE)</f>
        <v>7.8</v>
      </c>
      <c r="D16" s="32">
        <f>D14</f>
        <v>489.43502458835189</v>
      </c>
      <c r="E16" s="32">
        <f>E14</f>
        <v>547.43502458835189</v>
      </c>
      <c r="F16" s="32">
        <f>(F14+F15)*70%</f>
        <v>167.91689782221502</v>
      </c>
      <c r="G16" s="32">
        <f>Table4[[#This Row],[Length]]*Table4[[#This Row],[Width / Diameter]]*Table4[[#This Row],[Height]]/1000</f>
        <v>44990.625064455817</v>
      </c>
      <c r="H16" s="33">
        <f>Table4[[#This Row],[Volume(in cm3)]]*Table4[[#This Row],[Density(g/cm3)]]/1000</f>
        <v>350.92687550275537</v>
      </c>
      <c r="I16" s="33">
        <f>Table4[[#This Row],[Weight in Kg]]*1.1-I19</f>
        <v>371.6549787285893</v>
      </c>
      <c r="J16" s="33">
        <v>1</v>
      </c>
      <c r="K16" s="33">
        <f>Table4[[#This Row],[Total Weight in Kg (10% Machining Allowance)]]*Table4[[#This Row],[QTY]]</f>
        <v>371.6549787285893</v>
      </c>
      <c r="L16" s="266">
        <f>VLOOKUP(Table4[[#This Row],[Material]],Table1[[Various Tool Steel]:[Price/Kg]],4,FALSE)</f>
        <v>128</v>
      </c>
      <c r="M16" s="51">
        <f>Table4[[#This Row],[Total weight]]*Table4[[#This Row],[Price/kg]]</f>
        <v>47571.83727725943</v>
      </c>
    </row>
    <row r="17" spans="1:13">
      <c r="A17" s="34" t="s">
        <v>140</v>
      </c>
      <c r="B17" s="35" t="s">
        <v>141</v>
      </c>
      <c r="C17" s="36">
        <f>VLOOKUP(Table4[[#This Row],[Material]],Table1[[Various Tool Steel]:[Density(g/cc3)]],2,FALSE)</f>
        <v>1.5</v>
      </c>
      <c r="D17" s="398"/>
      <c r="E17" s="398"/>
      <c r="F17" s="398"/>
      <c r="G17" s="37">
        <f>IF('INJ. MOULDING ESTIMATION'!$C$16&lt;4,'Input-Output'!$B$8/1000*30,'Mould Costing'!$D$9*'Mould Costing'!$E$9*'Mould Costing'!$F$9/1000)</f>
        <v>2520.6</v>
      </c>
      <c r="H17" s="38">
        <f>Table4[[#This Row],[Volume(in cm3)]]*Table4[[#This Row],[Density(g/cm3)]]/1000</f>
        <v>3.7808999999999995</v>
      </c>
      <c r="I17" s="38">
        <f>Table4[[#This Row],[Weight in Kg]]*1.1</f>
        <v>4.1589900000000002</v>
      </c>
      <c r="J17" s="38">
        <v>1</v>
      </c>
      <c r="K17" s="38">
        <f>Table4[[#This Row],[Total Weight in Kg (10% Machining Allowance)]]*Table4[[#This Row],[QTY]]</f>
        <v>4.1589900000000002</v>
      </c>
      <c r="L17" s="52">
        <f>VLOOKUP(Table4[[#This Row],[Material]],Table1[[Various Tool Steel]:[Price/Kg]],4,FALSE)</f>
        <v>1500</v>
      </c>
      <c r="M17" s="53">
        <f>Table4[[#This Row],[Total weight]]*Table4[[#This Row],[Price/kg]]</f>
        <v>6238.4850000000006</v>
      </c>
    </row>
    <row r="18" spans="1:13">
      <c r="A18" s="34" t="s">
        <v>142</v>
      </c>
      <c r="B18" s="35" t="s">
        <v>141</v>
      </c>
      <c r="C18" s="36">
        <f>VLOOKUP(Table4[[#This Row],[Material]],Table1[[Various Tool Steel]:[Density(g/cc3)]],2,FALSE)</f>
        <v>1.5</v>
      </c>
      <c r="D18" s="398"/>
      <c r="E18" s="398"/>
      <c r="F18" s="398"/>
      <c r="G18" s="37">
        <f>IF('INJ. MOULDING ESTIMATION'!$C$16&lt;4,'Input-Output'!$B$8/1000*10,'Mould Costing'!$D$9*'Mould Costing'!$E$9*'Mould Costing'!$F$9/1000)</f>
        <v>840.19999999999993</v>
      </c>
      <c r="H18" s="38">
        <f>Table4[[#This Row],[Volume(in cm3)]]*Table4[[#This Row],[Density(g/cm3)]]/1000</f>
        <v>1.2603</v>
      </c>
      <c r="I18" s="38">
        <f>Table4[[#This Row],[Weight in Kg]]*1.1</f>
        <v>1.3863300000000001</v>
      </c>
      <c r="J18" s="38">
        <v>1</v>
      </c>
      <c r="K18" s="38">
        <f>Table4[[#This Row],[Total Weight in Kg (10% Machining Allowance)]]*Table4[[#This Row],[QTY]]</f>
        <v>1.3863300000000001</v>
      </c>
      <c r="L18" s="52">
        <f>VLOOKUP(Table4[[#This Row],[Material]],Table1[[Various Tool Steel]:[Price/Kg]],4,FALSE)</f>
        <v>1500</v>
      </c>
      <c r="M18" s="53">
        <f>Table4[[#This Row],[Total weight]]*Table4[[#This Row],[Price/kg]]</f>
        <v>2079.4949999999999</v>
      </c>
    </row>
    <row r="19" spans="1:13">
      <c r="A19" s="29" t="s">
        <v>143</v>
      </c>
      <c r="B19" s="30" t="s">
        <v>144</v>
      </c>
      <c r="C19" s="31">
        <f>VLOOKUP(Table4[[#This Row],[Material]],Table1[[Various Tool Steel]:[Density(g/cc3)]],2,FALSE)</f>
        <v>8.67</v>
      </c>
      <c r="D19" s="356"/>
      <c r="E19" s="32">
        <f>'Guide Pillar'!F10</f>
        <v>44.717512294175933</v>
      </c>
      <c r="F19" s="32">
        <f>F14+F15</f>
        <v>239.88128260316432</v>
      </c>
      <c r="G19" s="32">
        <f>3.14*Table4[[#This Row],[Width / Diameter]]^2*Table4[[#This Row],[Height]]/1000</f>
        <v>1506.1952736124167</v>
      </c>
      <c r="H19" s="33">
        <f>Table4[[#This Row],[Volume(in cm3)]]*Table4[[#This Row],[Density(g/cm3)]]/1000</f>
        <v>13.058713022219653</v>
      </c>
      <c r="I19" s="33">
        <f>Table4[[#This Row],[Weight in Kg]]*1.1</f>
        <v>14.364584324441619</v>
      </c>
      <c r="J19" s="33">
        <v>4</v>
      </c>
      <c r="K19" s="33">
        <f>Table4[[#This Row],[Total Weight in Kg (10% Machining Allowance)]]*Table4[[#This Row],[QTY]]</f>
        <v>57.458337297766477</v>
      </c>
      <c r="L19" s="266">
        <f>VLOOKUP(Table4[[#This Row],[Material]],Table1[[Various Tool Steel]:[Price/Kg]],4,FALSE)</f>
        <v>125</v>
      </c>
      <c r="M19" s="51">
        <f>Table4[[#This Row],[Total weight]]*Table4[[#This Row],[Price/kg]]</f>
        <v>7182.2921622208096</v>
      </c>
    </row>
    <row r="20" spans="1:13">
      <c r="A20" s="29" t="s">
        <v>145</v>
      </c>
      <c r="B20" s="30" t="s">
        <v>144</v>
      </c>
      <c r="C20" s="31">
        <f>VLOOKUP(Table4[[#This Row],[Material]],Table1[[Various Tool Steel]:[Density(g/cc3)]],2,FALSE)</f>
        <v>8.67</v>
      </c>
      <c r="D20" s="356"/>
      <c r="E20" s="32">
        <f>'Guide Pillar'!F10</f>
        <v>44.717512294175933</v>
      </c>
      <c r="F20" s="32">
        <f>F15</f>
        <v>119.94064130158216</v>
      </c>
      <c r="G20" s="32">
        <f>3.14*Table4[[#This Row],[Width / Diameter]]^2*Table4[[#This Row],[Height]]/1000</f>
        <v>753.09763680620836</v>
      </c>
      <c r="H20" s="33">
        <f>Table4[[#This Row],[Volume(in cm3)]]*Table4[[#This Row],[Density(g/cm3)]]/1000</f>
        <v>6.5293565111098264</v>
      </c>
      <c r="I20" s="33">
        <f>Table4[[#This Row],[Weight in Kg]]*1.1</f>
        <v>7.1822921622208096</v>
      </c>
      <c r="J20" s="33">
        <v>4</v>
      </c>
      <c r="K20" s="33">
        <f>Table4[[#This Row],[Total Weight in Kg (10% Machining Allowance)]]*Table4[[#This Row],[QTY]]</f>
        <v>28.729168648883238</v>
      </c>
      <c r="L20" s="266">
        <f>VLOOKUP(Table4[[#This Row],[Material]],Table1[[Various Tool Steel]:[Price/Kg]],4,FALSE)</f>
        <v>125</v>
      </c>
      <c r="M20" s="51">
        <f>Table4[[#This Row],[Total weight]]*Table4[[#This Row],[Price/kg]]</f>
        <v>3591.1460811104048</v>
      </c>
    </row>
    <row r="21" spans="1:13" ht="29" customHeight="1">
      <c r="A21" s="29" t="s">
        <v>146</v>
      </c>
      <c r="B21" s="30" t="s">
        <v>131</v>
      </c>
      <c r="C21" s="31">
        <f>VLOOKUP(Table4[[#This Row],[Material]],Table1[[Various Tool Steel]:[Density(g/cc3)]],2,FALSE)</f>
        <v>7.8</v>
      </c>
      <c r="D21" s="356"/>
      <c r="E21" s="356">
        <v>120</v>
      </c>
      <c r="F21" s="356">
        <v>12</v>
      </c>
      <c r="G21" s="32">
        <f>3.14*Table4[[#This Row],[Width / Diameter]]^2*Table4[[#This Row],[Height]]/1000</f>
        <v>542.59199999999998</v>
      </c>
      <c r="H21" s="33">
        <f>Table4[[#This Row],[Volume(in cm3)]]*Table4[[#This Row],[Density(g/cm3)]]/1000</f>
        <v>4.2322176000000002</v>
      </c>
      <c r="I21" s="33">
        <f>Table4[[#This Row],[Weight in Kg]]*1.1</f>
        <v>4.6554393600000008</v>
      </c>
      <c r="J21" s="33">
        <v>1</v>
      </c>
      <c r="K21" s="33">
        <f>Table4[[#This Row],[Total Weight in Kg (10% Machining Allowance)]]*Table4[[#This Row],[QTY]]</f>
        <v>4.6554393600000008</v>
      </c>
      <c r="L21" s="266">
        <f>VLOOKUP(Table4[[#This Row],[Material]],Table1[[Various Tool Steel]:[Price/Kg]],4,FALSE)</f>
        <v>128</v>
      </c>
      <c r="M21" s="51">
        <f>Table4[[#This Row],[Total weight]]*Table4[[#This Row],[Price/kg]]</f>
        <v>595.8962380800001</v>
      </c>
    </row>
    <row r="22" spans="1:13" ht="29" customHeight="1">
      <c r="D22">
        <f>2*'Input-Output'!B2+10%*2*'Input-Output'!B2</f>
        <v>352</v>
      </c>
      <c r="E22">
        <f>'Input-Output'!B3+10%*'Input-Output'!B3</f>
        <v>239.8</v>
      </c>
      <c r="F22">
        <f>'Input-Output'!B4+10%*'Input-Output'!B4</f>
        <v>71.5</v>
      </c>
      <c r="G22" s="39" t="s">
        <v>147</v>
      </c>
      <c r="H22" s="40">
        <f>SUM(H9:H20)</f>
        <v>1223.0394019585747</v>
      </c>
      <c r="I22" s="54">
        <f>SUM(Table4[Total Weight in Kg (10% Machining Allowance)])</f>
        <v>1314.0873207033283</v>
      </c>
      <c r="J22" s="266"/>
      <c r="K22" s="55">
        <f>SUM(Table4[Total weight])</f>
        <v>1482.7559591162019</v>
      </c>
      <c r="L22" s="56" t="s">
        <v>148</v>
      </c>
      <c r="M22" s="57">
        <f>INT(SUM(Table4[Total Price]))</f>
        <v>251633</v>
      </c>
    </row>
    <row r="23" spans="1:13">
      <c r="A23" s="340" t="s">
        <v>120</v>
      </c>
      <c r="B23" s="353" t="s">
        <v>149</v>
      </c>
      <c r="C23" s="343" t="s">
        <v>128</v>
      </c>
      <c r="D23" s="343" t="s">
        <v>129</v>
      </c>
    </row>
    <row r="24" spans="1:13">
      <c r="A24" s="29" t="s">
        <v>131</v>
      </c>
      <c r="B24" s="23">
        <f>(SUMIF($B$9:$B$21,VLOOKUP(Table3[[#This Row],[Material]],$B$9:$K$21,1,0),Table4[Total weight]))</f>
        <v>856.80081823499177</v>
      </c>
      <c r="C24">
        <f>VLOOKUP(Table3[[#This Row],[Material]],Table1[],4,FALSE)</f>
        <v>128</v>
      </c>
      <c r="D24">
        <f>Table3[[#This Row],[Total(in KG)]]*Table3[[#This Row],[Price/kg]]</f>
        <v>109670.50473407895</v>
      </c>
    </row>
    <row r="25" spans="1:13">
      <c r="A25" s="41" t="s">
        <v>150</v>
      </c>
      <c r="B25" s="23">
        <f>(SUMIF($B$9:$B$21,VLOOKUP(Table3[[#This Row],[Material]],$B$9:$K$21,1,0),Table4[Total weight]))</f>
        <v>0</v>
      </c>
      <c r="C25">
        <f>VLOOKUP(Table3[[#This Row],[Material]],Table1[],4,FALSE)</f>
        <v>255</v>
      </c>
      <c r="D25">
        <f>Table3[[#This Row],[Total(in KG)]]*Table3[[#This Row],[Price/kg]]</f>
        <v>0</v>
      </c>
    </row>
    <row r="26" spans="1:13">
      <c r="A26" s="41" t="s">
        <v>151</v>
      </c>
      <c r="B26" s="23">
        <f>(SUMIF($B$9:$B$21,VLOOKUP(Table3[[#This Row],[Material]],$B$9:$K$21,1,0),Table4[Total weight]))</f>
        <v>0</v>
      </c>
      <c r="C26">
        <f>VLOOKUP(Table3[[#This Row],[Material]],Table1[],4,FALSE)</f>
        <v>150</v>
      </c>
      <c r="D26">
        <f>Table3[[#This Row],[Total(in KG)]]*Table3[[#This Row],[Price/kg]]</f>
        <v>0</v>
      </c>
    </row>
    <row r="27" spans="1:13">
      <c r="A27" s="41" t="s">
        <v>144</v>
      </c>
      <c r="B27" s="23">
        <f>(SUMIF($B$9:$B$21,VLOOKUP(Table3[[#This Row],[Material]],$B$9:$K$21,1,0),Table4[Total weight]))</f>
        <v>86.187505946649708</v>
      </c>
      <c r="C27">
        <f>VLOOKUP(Table3[[#This Row],[Material]],Table1[],4,FALSE)</f>
        <v>125</v>
      </c>
      <c r="D27">
        <f>Table3[[#This Row],[Total(in KG)]]*Table3[[#This Row],[Price/kg]]</f>
        <v>10773.438243331213</v>
      </c>
    </row>
    <row r="28" spans="1:13">
      <c r="A28" s="41" t="s">
        <v>152</v>
      </c>
      <c r="B28" s="23">
        <f>(SUMIF($B$9:$B$21,VLOOKUP(Table3[[#This Row],[Material]],$B$9:$K$21,1,0),Table4[Total weight]))</f>
        <v>0</v>
      </c>
      <c r="C28">
        <f>VLOOKUP(Table3[[#This Row],[Material]],Table1[],4,FALSE)</f>
        <v>200</v>
      </c>
      <c r="D28">
        <f>Table3[[#This Row],[Total(in KG)]]*Table3[[#This Row],[Price/kg]]</f>
        <v>0</v>
      </c>
    </row>
    <row r="29" spans="1:13">
      <c r="A29" s="41" t="s">
        <v>153</v>
      </c>
      <c r="B29" s="23">
        <f>(SUMIF($B$9:$B$21,VLOOKUP(Table3[[#This Row],[Material]],$B$9:$K$21,1,0),Table4[Total weight]))</f>
        <v>0</v>
      </c>
      <c r="C29">
        <f>VLOOKUP(Table3[[#This Row],[Material]],Table1[],4,FALSE)</f>
        <v>590</v>
      </c>
      <c r="D29">
        <f>Table3[[#This Row],[Total(in KG)]]*Table3[[#This Row],[Price/kg]]</f>
        <v>0</v>
      </c>
    </row>
    <row r="30" spans="1:13">
      <c r="A30" s="41" t="s">
        <v>154</v>
      </c>
      <c r="B30" s="23">
        <f>(SUMIF($B$9:$B$21,VLOOKUP(Table3[[#This Row],[Material]],$B$9:$K$21,1,0),Table4[Total weight]))</f>
        <v>0</v>
      </c>
      <c r="C30">
        <f>VLOOKUP(Table3[[#This Row],[Material]],Table1[],4,FALSE)</f>
        <v>950</v>
      </c>
      <c r="D30">
        <f>Table3[[#This Row],[Total(in KG)]]*Table3[[#This Row],[Price/kg]]</f>
        <v>0</v>
      </c>
    </row>
    <row r="31" spans="1:13">
      <c r="A31" s="41" t="s">
        <v>155</v>
      </c>
      <c r="B31" s="23">
        <f>(SUMIF($B$9:$B$21,VLOOKUP(Table3[[#This Row],[Material]],$B$9:$K$21,1,0),Table4[Total weight]))</f>
        <v>0</v>
      </c>
      <c r="C31">
        <f>VLOOKUP(Table3[[#This Row],[Material]],Table1[],4,FALSE)</f>
        <v>100</v>
      </c>
      <c r="D31">
        <f>Table3[[#This Row],[Total(in KG)]]*Table3[[#This Row],[Price/kg]]</f>
        <v>0</v>
      </c>
    </row>
    <row r="32" spans="1:13">
      <c r="A32" s="42" t="str">
        <f>B18</f>
        <v>Graphite</v>
      </c>
      <c r="B32" s="43">
        <f>(SUMIF($B$9:$B$21,VLOOKUP(Table3[[#This Row],[Material]],$B$9:$K$21,1,0),Table4[Total weight]))</f>
        <v>5.5453200000000002</v>
      </c>
      <c r="C32">
        <f>VLOOKUP(Table3[[#This Row],[Material]],Table1[],4,FALSE)</f>
        <v>1500</v>
      </c>
      <c r="D32">
        <f>Table3[[#This Row],[Total(in KG)]]*Table3[[#This Row],[Price/kg]]</f>
        <v>8317.98</v>
      </c>
    </row>
    <row r="33" spans="1:11">
      <c r="A33" s="44" t="s">
        <v>137</v>
      </c>
      <c r="B33" s="23">
        <f>(SUMIF($B$9:$B$21,VLOOKUP(Table3[[#This Row],[Material]],$B$9:$K$21,1,0),Table4[Total weight]))</f>
        <v>534.22231493456036</v>
      </c>
      <c r="C33">
        <f>VLOOKUP(Table3[[#This Row],[Material]],Table1[],4,FALSE)</f>
        <v>230</v>
      </c>
      <c r="D33">
        <f>Table3[[#This Row],[Total(in KG)]]*Table3[[#This Row],[Price/kg]]</f>
        <v>122871.13243494889</v>
      </c>
    </row>
    <row r="34" spans="1:11">
      <c r="A34" s="44"/>
      <c r="B34" s="45">
        <f>SUM(B24:B33)</f>
        <v>1482.7559591162017</v>
      </c>
      <c r="C34" s="338"/>
      <c r="D34" s="212">
        <f>INT(SUM(Table3[Total Price]))</f>
        <v>251633</v>
      </c>
      <c r="E34" s="46" t="s">
        <v>156</v>
      </c>
    </row>
    <row r="41" spans="1:11">
      <c r="A41" s="505" t="s">
        <v>157</v>
      </c>
      <c r="B41" s="435"/>
      <c r="C41" s="435"/>
      <c r="D41" s="435"/>
      <c r="E41" s="423"/>
      <c r="F41" s="505" t="s">
        <v>158</v>
      </c>
      <c r="G41" s="423"/>
      <c r="H41" s="360" t="s">
        <v>126</v>
      </c>
      <c r="I41" s="506" t="s">
        <v>159</v>
      </c>
      <c r="J41" s="423"/>
      <c r="K41" s="58" t="s">
        <v>160</v>
      </c>
    </row>
    <row r="42" spans="1:11">
      <c r="A42" s="47" t="s">
        <v>161</v>
      </c>
      <c r="B42" s="42"/>
      <c r="C42" s="499"/>
      <c r="D42" s="435"/>
      <c r="E42" s="423"/>
      <c r="F42" s="501"/>
      <c r="G42" s="423"/>
      <c r="H42" s="356">
        <v>1</v>
      </c>
      <c r="I42" s="502">
        <v>6000</v>
      </c>
      <c r="J42" s="423"/>
      <c r="K42" s="356">
        <f t="shared" ref="K42:K49" si="0">I42*H42</f>
        <v>6000</v>
      </c>
    </row>
    <row r="43" spans="1:11">
      <c r="A43" s="47" t="s">
        <v>162</v>
      </c>
      <c r="B43" s="42"/>
      <c r="C43" s="499" t="s">
        <v>163</v>
      </c>
      <c r="D43" s="435"/>
      <c r="E43" s="423"/>
      <c r="F43" s="501"/>
      <c r="G43" s="423"/>
      <c r="H43" s="356">
        <v>8</v>
      </c>
      <c r="I43" s="502">
        <v>50</v>
      </c>
      <c r="J43" s="423"/>
      <c r="K43" s="356">
        <f t="shared" si="0"/>
        <v>400</v>
      </c>
    </row>
    <row r="44" spans="1:11">
      <c r="A44" s="47" t="s">
        <v>164</v>
      </c>
      <c r="B44" s="42"/>
      <c r="C44" s="499" t="s">
        <v>163</v>
      </c>
      <c r="D44" s="435"/>
      <c r="E44" s="423"/>
      <c r="F44" s="501"/>
      <c r="G44" s="423"/>
      <c r="H44" s="356">
        <v>6</v>
      </c>
      <c r="I44" s="502">
        <v>50</v>
      </c>
      <c r="J44" s="423"/>
      <c r="K44" s="356">
        <f t="shared" si="0"/>
        <v>300</v>
      </c>
    </row>
    <row r="45" spans="1:11">
      <c r="A45" s="355" t="s">
        <v>165</v>
      </c>
      <c r="B45" s="323"/>
      <c r="C45" s="501"/>
      <c r="D45" s="435"/>
      <c r="E45" s="423"/>
      <c r="F45" s="501"/>
      <c r="G45" s="423"/>
      <c r="H45" s="356">
        <v>6</v>
      </c>
      <c r="I45" s="502">
        <v>500</v>
      </c>
      <c r="J45" s="423"/>
      <c r="K45" s="356">
        <f t="shared" si="0"/>
        <v>3000</v>
      </c>
    </row>
    <row r="46" spans="1:11">
      <c r="A46" s="355" t="s">
        <v>166</v>
      </c>
      <c r="B46" s="323"/>
      <c r="C46" s="501"/>
      <c r="D46" s="435"/>
      <c r="E46" s="423"/>
      <c r="F46" s="501"/>
      <c r="G46" s="423"/>
      <c r="H46" s="356">
        <v>6</v>
      </c>
      <c r="I46" s="502">
        <v>600</v>
      </c>
      <c r="J46" s="423"/>
      <c r="K46" s="356">
        <f t="shared" si="0"/>
        <v>3600</v>
      </c>
    </row>
    <row r="47" spans="1:11">
      <c r="A47" s="47" t="s">
        <v>167</v>
      </c>
      <c r="B47" s="42"/>
      <c r="C47" s="501"/>
      <c r="D47" s="435"/>
      <c r="E47" s="423"/>
      <c r="F47" s="501"/>
      <c r="G47" s="423"/>
      <c r="H47" s="356">
        <v>4</v>
      </c>
      <c r="I47" s="502">
        <v>150</v>
      </c>
      <c r="J47" s="423"/>
      <c r="K47" s="356">
        <f t="shared" si="0"/>
        <v>600</v>
      </c>
    </row>
    <row r="48" spans="1:11">
      <c r="A48" s="47" t="s">
        <v>168</v>
      </c>
      <c r="B48" s="42"/>
      <c r="C48" s="499"/>
      <c r="D48" s="435"/>
      <c r="E48" s="423"/>
      <c r="F48" s="501"/>
      <c r="G48" s="423"/>
      <c r="H48" s="356">
        <v>6</v>
      </c>
      <c r="I48" s="502">
        <v>200</v>
      </c>
      <c r="J48" s="423"/>
      <c r="K48" s="356">
        <f t="shared" si="0"/>
        <v>1200</v>
      </c>
    </row>
    <row r="49" spans="1:14">
      <c r="A49" s="47" t="s">
        <v>169</v>
      </c>
      <c r="B49" s="42"/>
      <c r="C49" s="499"/>
      <c r="D49" s="435"/>
      <c r="E49" s="423"/>
      <c r="F49" s="501"/>
      <c r="G49" s="423"/>
      <c r="H49" s="356"/>
      <c r="I49" s="502"/>
      <c r="J49" s="423"/>
      <c r="K49" s="356">
        <f t="shared" si="0"/>
        <v>0</v>
      </c>
    </row>
    <row r="50" spans="1:14">
      <c r="A50" s="509"/>
      <c r="B50" s="478"/>
      <c r="C50" s="478"/>
      <c r="D50" s="478"/>
      <c r="E50" s="478"/>
      <c r="F50" s="478"/>
      <c r="G50" s="478"/>
      <c r="H50" s="478"/>
      <c r="I50" s="478"/>
      <c r="J50" t="s">
        <v>170</v>
      </c>
      <c r="K50" s="59">
        <f>IF('INJ. MOULDING ESTIMATION'!C16&lt;1,SUM(K42:K49)*COMPLEXITY!B2,SUM(K42:K49))</f>
        <v>15100</v>
      </c>
    </row>
    <row r="51" spans="1:14">
      <c r="A51" s="449"/>
      <c r="B51" s="449"/>
      <c r="C51" s="449"/>
      <c r="D51" s="449"/>
      <c r="E51" s="449"/>
      <c r="F51" s="449"/>
      <c r="G51" s="449"/>
      <c r="H51" s="449"/>
      <c r="I51" s="449"/>
      <c r="J51" s="56" t="s">
        <v>171</v>
      </c>
      <c r="K51" s="60">
        <f>K50+M22</f>
        <v>266733</v>
      </c>
    </row>
    <row r="52" spans="1:14" ht="18.5" customHeight="1">
      <c r="A52" s="511" t="s">
        <v>172</v>
      </c>
      <c r="B52" s="435"/>
      <c r="C52" s="435"/>
      <c r="D52" s="435"/>
      <c r="E52" s="435"/>
      <c r="F52" s="435"/>
      <c r="G52" s="435"/>
      <c r="H52" s="435"/>
      <c r="I52" s="435"/>
      <c r="J52" s="435"/>
      <c r="K52" s="423"/>
      <c r="N52">
        <f>IF('Input-Output'!B5&lt;20000,20000,IF('Input-Output'!B5&lt;40000,40000,IF('Input-Output'!B5&lt;60000,60000,80000)))</f>
        <v>80000</v>
      </c>
    </row>
    <row r="53" spans="1:14" ht="29" customHeight="1">
      <c r="A53" s="512" t="s">
        <v>119</v>
      </c>
      <c r="B53" s="435"/>
      <c r="C53" s="435"/>
      <c r="D53" s="435"/>
      <c r="E53" s="423"/>
      <c r="F53" s="515" t="s">
        <v>173</v>
      </c>
      <c r="G53" s="423"/>
      <c r="H53" s="325"/>
      <c r="I53" s="359" t="s">
        <v>174</v>
      </c>
      <c r="J53" s="359" t="s">
        <v>175</v>
      </c>
      <c r="K53" s="359" t="s">
        <v>176</v>
      </c>
      <c r="M53" s="211" t="s">
        <v>177</v>
      </c>
      <c r="N53">
        <f>VLOOKUP(N52,M54:N57,2,FALSE)</f>
        <v>1.2</v>
      </c>
    </row>
    <row r="54" spans="1:14">
      <c r="A54" s="499" t="s">
        <v>178</v>
      </c>
      <c r="B54" s="435"/>
      <c r="C54" s="435"/>
      <c r="D54" s="435"/>
      <c r="E54" s="423"/>
      <c r="F54" s="501" t="s">
        <v>179</v>
      </c>
      <c r="G54" s="423"/>
      <c r="H54" s="324"/>
      <c r="I54" s="356">
        <f>50*VLOOKUP('INJ. MOULDING ESTIMATION'!C16,COMPLEXITY!A1:B7,2,TRUE)</f>
        <v>71.982156783913993</v>
      </c>
      <c r="J54" s="356">
        <v>800</v>
      </c>
      <c r="K54" s="356">
        <f>J54*I54*N53</f>
        <v>69102.870512557434</v>
      </c>
      <c r="M54">
        <v>20000</v>
      </c>
      <c r="N54">
        <v>0.6</v>
      </c>
    </row>
    <row r="55" spans="1:14">
      <c r="A55" s="499" t="s">
        <v>180</v>
      </c>
      <c r="B55" s="435"/>
      <c r="C55" s="435"/>
      <c r="D55" s="435"/>
      <c r="E55" s="423"/>
      <c r="F55" s="501" t="s">
        <v>179</v>
      </c>
      <c r="G55" s="423"/>
      <c r="H55" s="324"/>
      <c r="I55" s="356">
        <f>30*VLOOKUP('INJ. MOULDING ESTIMATION'!C16,COMPLEXITY!A1:B7,2,TRUE)</f>
        <v>43.189294070348396</v>
      </c>
      <c r="J55" s="356">
        <v>350</v>
      </c>
      <c r="K55" s="356">
        <f>J55*I55*N53</f>
        <v>18139.503509546324</v>
      </c>
      <c r="M55">
        <v>40000</v>
      </c>
      <c r="N55">
        <v>0.8</v>
      </c>
    </row>
    <row r="56" spans="1:14">
      <c r="A56" s="499" t="s">
        <v>181</v>
      </c>
      <c r="B56" s="435"/>
      <c r="C56" s="435"/>
      <c r="D56" s="435"/>
      <c r="E56" s="423"/>
      <c r="F56" s="501" t="s">
        <v>179</v>
      </c>
      <c r="G56" s="423"/>
      <c r="H56" s="324" t="b">
        <v>1</v>
      </c>
      <c r="I56" s="356">
        <f>1*VLOOKUP('INJ. MOULDING ESTIMATION'!C16,COMPLEXITY!A1:B7,2,TRUE)</f>
        <v>1.43964313567828</v>
      </c>
      <c r="J56" s="356">
        <v>40000</v>
      </c>
      <c r="K56" s="356">
        <f>IF(H56,J56*I56,0)</f>
        <v>57585.725427131198</v>
      </c>
      <c r="M56">
        <v>60000</v>
      </c>
      <c r="N56">
        <v>1</v>
      </c>
    </row>
    <row r="57" spans="1:14">
      <c r="A57" s="499" t="s">
        <v>182</v>
      </c>
      <c r="B57" s="435"/>
      <c r="C57" s="435"/>
      <c r="D57" s="435"/>
      <c r="E57" s="423"/>
      <c r="F57" s="501" t="s">
        <v>179</v>
      </c>
      <c r="G57" s="423"/>
      <c r="H57" s="324"/>
      <c r="I57" s="356">
        <f>1*VLOOKUP('INJ. MOULDING ESTIMATION'!C16,COMPLEXITY!A2:B7,2,TRUE)</f>
        <v>1.43964313567828</v>
      </c>
      <c r="J57" s="356">
        <v>10000</v>
      </c>
      <c r="K57" s="356">
        <f>I57*J57</f>
        <v>14396.431356782799</v>
      </c>
      <c r="M57">
        <v>80000</v>
      </c>
      <c r="N57">
        <v>1.2</v>
      </c>
    </row>
    <row r="58" spans="1:14">
      <c r="A58" s="499" t="s">
        <v>183</v>
      </c>
      <c r="B58" s="435"/>
      <c r="C58" s="435"/>
      <c r="D58" s="435"/>
      <c r="E58" s="423"/>
      <c r="F58" s="501" t="s">
        <v>179</v>
      </c>
      <c r="G58" s="423"/>
      <c r="H58" s="324"/>
      <c r="I58" s="356">
        <f>20*VLOOKUP('INJ. MOULDING ESTIMATION'!C16,COMPLEXITY!A1:B7,2,TRUE)</f>
        <v>28.792862713565597</v>
      </c>
      <c r="J58" s="356">
        <v>800</v>
      </c>
      <c r="K58" s="356">
        <f>J58*I58*N53</f>
        <v>27641.148205022972</v>
      </c>
    </row>
    <row r="59" spans="1:14">
      <c r="A59" s="499" t="s">
        <v>184</v>
      </c>
      <c r="B59" s="435"/>
      <c r="C59" s="435"/>
      <c r="D59" s="435"/>
      <c r="E59" s="423"/>
      <c r="F59" s="501" t="s">
        <v>179</v>
      </c>
      <c r="G59" s="423"/>
      <c r="H59" s="324"/>
      <c r="I59" s="319">
        <f>50*VLOOKUP('INJ. MOULDING ESTIMATION'!C16,COMPLEXITY!A2:B7,2,TRUE)</f>
        <v>71.982156783913993</v>
      </c>
      <c r="J59" s="356">
        <v>1000</v>
      </c>
      <c r="K59" s="356">
        <f>I59*J59</f>
        <v>71982.15678391399</v>
      </c>
    </row>
    <row r="60" spans="1:14">
      <c r="J60" s="56" t="s">
        <v>185</v>
      </c>
      <c r="K60" s="61">
        <f>SUM(K54:K59)</f>
        <v>258847.83579495471</v>
      </c>
    </row>
    <row r="63" spans="1:14">
      <c r="C63" s="514" t="s">
        <v>186</v>
      </c>
      <c r="D63" s="435"/>
      <c r="E63" s="423"/>
      <c r="F63" s="48">
        <f>SUM(M22+K50+K60)</f>
        <v>525580.83579495468</v>
      </c>
    </row>
    <row r="65" spans="1:18" ht="18.5" customHeight="1">
      <c r="A65" s="511" t="s">
        <v>187</v>
      </c>
      <c r="B65" s="435"/>
      <c r="C65" s="435"/>
      <c r="D65" s="435"/>
      <c r="E65" s="435"/>
      <c r="F65" s="435"/>
      <c r="G65" s="435"/>
      <c r="H65" s="435"/>
      <c r="I65" s="435"/>
      <c r="J65" s="435"/>
      <c r="K65" s="435"/>
      <c r="L65" s="435"/>
      <c r="M65" s="435"/>
      <c r="N65" s="435"/>
      <c r="O65" s="435"/>
      <c r="P65" s="423"/>
    </row>
    <row r="66" spans="1:18" ht="43.5" customHeight="1">
      <c r="B66" s="359" t="s">
        <v>66</v>
      </c>
      <c r="C66" s="359" t="s">
        <v>67</v>
      </c>
      <c r="D66" s="359" t="s">
        <v>68</v>
      </c>
      <c r="E66" s="359" t="s">
        <v>69</v>
      </c>
      <c r="F66" s="359" t="s">
        <v>70</v>
      </c>
      <c r="G66" s="359" t="s">
        <v>71</v>
      </c>
      <c r="H66" s="359" t="s">
        <v>72</v>
      </c>
      <c r="I66" s="359" t="s">
        <v>73</v>
      </c>
      <c r="J66" s="359" t="s">
        <v>74</v>
      </c>
      <c r="K66" s="359" t="s">
        <v>75</v>
      </c>
      <c r="L66" s="359" t="s">
        <v>76</v>
      </c>
      <c r="M66" s="359" t="s">
        <v>77</v>
      </c>
      <c r="N66" s="359" t="s">
        <v>78</v>
      </c>
      <c r="O66" s="359" t="s">
        <v>79</v>
      </c>
      <c r="P66" s="359" t="s">
        <v>80</v>
      </c>
      <c r="Q66" s="359" t="s">
        <v>81</v>
      </c>
    </row>
    <row r="67" spans="1:18">
      <c r="A67" t="s">
        <v>130</v>
      </c>
      <c r="B67" s="399">
        <f>SUMIF('Machining Time'!$C$4:$C$18,'Mould Costing'!B66,'Machining Time'!$L$4:$L$18)</f>
        <v>23</v>
      </c>
      <c r="C67" s="399">
        <f>SUMIF('Machining Time'!$C$4:$C$18,'Mould Costing'!C66,'Machining Time'!$L$4:$L$18)</f>
        <v>0</v>
      </c>
      <c r="D67" s="399">
        <f>SUMIF('Machining Time'!$C$4:$C$18,'Mould Costing'!D66,'Machining Time'!$L$4:$L$18)</f>
        <v>0</v>
      </c>
      <c r="E67" s="399">
        <f>SUMIF('Machining Time'!$C$4:$C$18,'Mould Costing'!E66,'Machining Time'!$L$4:$L$18)</f>
        <v>36</v>
      </c>
      <c r="F67" s="399">
        <f>SUMIF('Machining Time'!$C$4:$C$18,'Mould Costing'!F66,'Machining Time'!$L$4:$L$18)</f>
        <v>0</v>
      </c>
      <c r="G67" s="399">
        <f>SUMIF('Machining Time'!$C$4:$C$18,'Mould Costing'!G66,'Machining Time'!$L$4:$L$18)</f>
        <v>9</v>
      </c>
      <c r="H67" s="399">
        <f>SUMIF('Machining Time'!$C$4:$C$18,'Mould Costing'!H66,'Machining Time'!$L$4:$L$18)</f>
        <v>2</v>
      </c>
      <c r="I67" s="399">
        <f>SUMIF('Machining Time'!$C$4:$C$18,'Mould Costing'!I66,'Machining Time'!$L$4:$L$18)</f>
        <v>0</v>
      </c>
      <c r="J67" s="399">
        <f>SUMIF('Machining Time'!$C$4:$C$18,'Mould Costing'!J66,'Machining Time'!$L$4:$L$18)</f>
        <v>0</v>
      </c>
      <c r="K67" s="399">
        <f>SUMIF('Machining Time'!$C$4:$C$18,'Mould Costing'!K66,'Machining Time'!$L$4:$L$18)</f>
        <v>0</v>
      </c>
      <c r="L67" s="399">
        <f>SUMIF('Machining Time'!$C$4:$C$18,'Mould Costing'!L66,'Machining Time'!$L$4:$L$18)</f>
        <v>0</v>
      </c>
      <c r="M67" s="399">
        <f>SUMIF('Machining Time'!$C$4:$C$18,'Mould Costing'!M66,'Machining Time'!$L$4:$L$18)</f>
        <v>0</v>
      </c>
      <c r="N67" s="399">
        <f>SUMIF('Machining Time'!$C$4:$C$18,'Mould Costing'!N66,'Machining Time'!$L$4:$L$18)</f>
        <v>0</v>
      </c>
      <c r="O67" s="399">
        <f>SUMIF('Machining Time'!$C$4:$C$18,'Mould Costing'!O66,'Machining Time'!$L$4:$L$18)</f>
        <v>0</v>
      </c>
      <c r="P67" s="399">
        <f>SUMIF('Machining Time'!$C$4:$C$18,'Mould Costing'!P66,'Machining Time'!$L$4:$L$18)</f>
        <v>0</v>
      </c>
      <c r="Q67" s="400">
        <v>4</v>
      </c>
    </row>
    <row r="68" spans="1:18">
      <c r="A68" t="s">
        <v>132</v>
      </c>
      <c r="B68" s="399">
        <f>SUMIF('Machining Time'!$C$23:$C$37,'Mould Costing'!B$66,'Machining Time'!$L$23:$L$37)</f>
        <v>23</v>
      </c>
      <c r="C68" s="399">
        <f>SUMIF('Machining Time'!$C$23:$C$37,'Mould Costing'!C66,'Machining Time'!$L$23:$L$37)</f>
        <v>0</v>
      </c>
      <c r="D68" s="399">
        <f>SUMIF('Machining Time'!$C$23:$C$37,'Mould Costing'!D66,'Machining Time'!$L$23:$L$37)</f>
        <v>0</v>
      </c>
      <c r="E68" s="399">
        <f>SUMIF('Machining Time'!$C$23:$C$37,'Mould Costing'!E66,'Machining Time'!$L$23:$L$37)</f>
        <v>36</v>
      </c>
      <c r="F68" s="399">
        <f>SUMIF('Machining Time'!$C$23:$C$37,'Mould Costing'!F66,'Machining Time'!$L$23:$L$37)</f>
        <v>0</v>
      </c>
      <c r="G68" s="399">
        <f>SUMIF('Machining Time'!$C$23:$C$37,'Mould Costing'!G66,'Machining Time'!$L$23:$L$37)</f>
        <v>2</v>
      </c>
      <c r="H68" s="399">
        <f>SUMIF('Machining Time'!$C$23:$C$37,'Mould Costing'!H66,'Machining Time'!$L$23:$L$37)</f>
        <v>2</v>
      </c>
      <c r="I68" s="399">
        <f>SUMIF('Machining Time'!$C$23:$C$37,'Mould Costing'!I66,'Machining Time'!$L$23:$L$37)</f>
        <v>0</v>
      </c>
      <c r="J68" s="399">
        <f>SUMIF('Machining Time'!$C$23:$C$37,'Mould Costing'!J66,'Machining Time'!$L$23:$L$37)</f>
        <v>0</v>
      </c>
      <c r="K68" s="399">
        <f>SUMIF('Machining Time'!$C$23:$C$37,'Mould Costing'!K66,'Machining Time'!$L$23:$L$37)</f>
        <v>0</v>
      </c>
      <c r="L68" s="399">
        <f>SUMIF('Machining Time'!$C$23:$C$37,'Mould Costing'!L66,'Machining Time'!$L$23:$L$37)</f>
        <v>0</v>
      </c>
      <c r="M68" s="399">
        <f>SUMIF('Machining Time'!$C$23:$C$37,'Mould Costing'!M66,'Machining Time'!$L$23:$L$37)</f>
        <v>0</v>
      </c>
      <c r="N68" s="399">
        <f>SUMIF('Machining Time'!$C$23:$C$37,'Mould Costing'!N66,'Machining Time'!$L$23:$L$37)</f>
        <v>0</v>
      </c>
      <c r="O68" s="399">
        <f>SUMIF('Machining Time'!$C$23:$C$37,'Mould Costing'!O66,'Machining Time'!$L$23:$L$37)</f>
        <v>0</v>
      </c>
      <c r="P68" s="399">
        <f>SUMIF('Machining Time'!$C$23:$C$37,'Mould Costing'!P66,'Machining Time'!$L$23:$L$37)</f>
        <v>0</v>
      </c>
      <c r="Q68" s="400">
        <v>4</v>
      </c>
    </row>
    <row r="69" spans="1:18">
      <c r="A69" t="s">
        <v>133</v>
      </c>
      <c r="B69" s="399">
        <f>SUMIF('Machining Time'!$C$42:$C$57,'Mould Costing'!B$66,'Machining Time'!$L$42:$L$57)</f>
        <v>29</v>
      </c>
      <c r="C69" s="399">
        <f>SUMIF('Machining Time'!$C$42:$C$57,'Mould Costing'!C$66,'Machining Time'!$L$42:$L$57)</f>
        <v>0</v>
      </c>
      <c r="D69" s="399">
        <f>SUMIF('Machining Time'!$C$42:$C$57,'Mould Costing'!D$66,'Machining Time'!$L$42:$L$57)</f>
        <v>0</v>
      </c>
      <c r="E69" s="399">
        <f>SUMIF('Machining Time'!$C$42:$C$57,'Mould Costing'!E$66,'Machining Time'!$L$42:$L$57)</f>
        <v>21</v>
      </c>
      <c r="F69" s="399">
        <f>SUMIF('Machining Time'!$C$42:$C$57,'Mould Costing'!F$66,'Machining Time'!$L$42:$L$57)</f>
        <v>0</v>
      </c>
      <c r="G69" s="399">
        <f>SUMIF('Machining Time'!$C$42:$C$57,'Mould Costing'!G$66,'Machining Time'!$L$42:$L$57)</f>
        <v>8</v>
      </c>
      <c r="H69" s="399">
        <f>SUMIF('Machining Time'!$C$42:$C$57,'Mould Costing'!H$66,'Machining Time'!$L$42:$L$57)</f>
        <v>0</v>
      </c>
      <c r="I69" s="399">
        <f>SUMIF('Machining Time'!$C$42:$C$57,'Mould Costing'!I$66,'Machining Time'!$L$42:$L$57)</f>
        <v>0</v>
      </c>
      <c r="J69" s="399">
        <f>SUMIF('Machining Time'!$C$42:$C$57,'Mould Costing'!J$66,'Machining Time'!$L$42:$L$57)</f>
        <v>0</v>
      </c>
      <c r="K69" s="399">
        <f>SUMIF('Machining Time'!$C$42:$C$57,'Mould Costing'!K$66,'Machining Time'!$L$42:$L$57)</f>
        <v>0</v>
      </c>
      <c r="L69" s="399">
        <f>SUMIF('Machining Time'!$C$42:$C$57,'Mould Costing'!L$66,'Machining Time'!$L$42:$L$57)</f>
        <v>0</v>
      </c>
      <c r="M69" s="399">
        <f>SUMIF('Machining Time'!$C$42:$C$57,'Mould Costing'!M$66,'Machining Time'!$L$42:$L$57)</f>
        <v>0</v>
      </c>
      <c r="N69" s="399">
        <f>SUMIF('Machining Time'!$C$42:$C$57,'Mould Costing'!N$66,'Machining Time'!$L$42:$L$57)</f>
        <v>0</v>
      </c>
      <c r="O69" s="399">
        <f>SUMIF('Machining Time'!$C$42:$C$57,'Mould Costing'!O$66,'Machining Time'!$L$42:$L$57)</f>
        <v>0</v>
      </c>
      <c r="P69" s="399">
        <f>SUMIF('Machining Time'!$C$42:$C$57,'Mould Costing'!P$66,'Machining Time'!$L$42:$L$57)</f>
        <v>0</v>
      </c>
      <c r="Q69" s="400">
        <v>4</v>
      </c>
    </row>
    <row r="70" spans="1:18">
      <c r="A70" t="s">
        <v>134</v>
      </c>
      <c r="B70" s="399">
        <f>SUMIF('Machining Time'!$C$61:$C$76,'Mould Costing'!B$66,'Machining Time'!$L$61:$L$76)</f>
        <v>13</v>
      </c>
      <c r="C70" s="399">
        <f>SUMIF('Machining Time'!$C$61:$C$76,'Mould Costing'!C$66,'Machining Time'!$L$61:$L$76)</f>
        <v>2</v>
      </c>
      <c r="D70" s="399">
        <f>SUMIF('Machining Time'!$C$61:$C$76,'Mould Costing'!D$66,'Machining Time'!$L$61:$L$76)</f>
        <v>0</v>
      </c>
      <c r="E70" s="399">
        <f>SUMIF('Machining Time'!$C$61:$C$76,'Mould Costing'!E$66,'Machining Time'!$L$61:$L$76)</f>
        <v>20</v>
      </c>
      <c r="F70" s="399">
        <f>SUMIF('Machining Time'!$C$61:$C$76,'Mould Costing'!F$66,'Machining Time'!$L$61:$L$76)</f>
        <v>0</v>
      </c>
      <c r="G70" s="399">
        <f>SUMIF('Machining Time'!$C$61:$C$76,'Mould Costing'!G$66,'Machining Time'!$L$61:$L$76)</f>
        <v>4</v>
      </c>
      <c r="H70" s="399">
        <f>SUMIF('Machining Time'!$C$61:$C$76,'Mould Costing'!H$66,'Machining Time'!$L$61:$L$76)</f>
        <v>2</v>
      </c>
      <c r="I70" s="399">
        <f>SUMIF('Machining Time'!$C$61:$C$76,'Mould Costing'!I$66,'Machining Time'!$L$61:$L$76)</f>
        <v>0</v>
      </c>
      <c r="J70" s="399">
        <f>SUMIF('Machining Time'!$C$61:$C$76,'Mould Costing'!J$66,'Machining Time'!$L$61:$L$76)</f>
        <v>0</v>
      </c>
      <c r="K70" s="399">
        <f>SUMIF('Machining Time'!$C$61:$C$76,'Mould Costing'!K$66,'Machining Time'!$L$61:$L$76)</f>
        <v>0</v>
      </c>
      <c r="L70" s="399">
        <f>SUMIF('Machining Time'!$C$61:$C$76,'Mould Costing'!L$66,'Machining Time'!$L$61:$L$76)</f>
        <v>0</v>
      </c>
      <c r="M70" s="399">
        <f>SUMIF('Machining Time'!$C$61:$C$76,'Mould Costing'!M$66,'Machining Time'!$L$61:$L$76)</f>
        <v>0</v>
      </c>
      <c r="N70" s="399">
        <f>SUMIF('Machining Time'!$C$61:$C$76,'Mould Costing'!N$66,'Machining Time'!$L$61:$L$76)</f>
        <v>0</v>
      </c>
      <c r="O70" s="399">
        <f>SUMIF('Machining Time'!$C$61:$C$76,'Mould Costing'!O$66,'Machining Time'!$L$61:$L$76)</f>
        <v>0</v>
      </c>
      <c r="P70" s="399">
        <f>SUMIF('Machining Time'!$C$61:$C$76,'Mould Costing'!P$66,'Machining Time'!$L$61:$L$76)</f>
        <v>2</v>
      </c>
      <c r="Q70" s="400">
        <v>2</v>
      </c>
    </row>
    <row r="71" spans="1:18">
      <c r="A71" t="s">
        <v>135</v>
      </c>
      <c r="B71" s="399">
        <f>SUMIF('Machining Time'!$C$80:$C$95,'Mould Costing'!B$66,'Machining Time'!$L$80:$L$95)</f>
        <v>12</v>
      </c>
      <c r="C71" s="399">
        <f>SUMIF('Machining Time'!$C$80:$C$95,'Mould Costing'!C$66,'Machining Time'!$L$80:$L$95)</f>
        <v>2</v>
      </c>
      <c r="D71" s="399">
        <f>SUMIF('Machining Time'!$C$80:$C$95,'Mould Costing'!D$66,'Machining Time'!$L$80:$L$95)</f>
        <v>0</v>
      </c>
      <c r="E71" s="399">
        <f>SUMIF('Machining Time'!$C$80:$C$95,'Mould Costing'!E$66,'Machining Time'!$L$80:$L$95)</f>
        <v>19</v>
      </c>
      <c r="F71" s="399">
        <f>SUMIF('Machining Time'!$C$80:$C$95,'Mould Costing'!F$66,'Machining Time'!$L$80:$L$95)</f>
        <v>0</v>
      </c>
      <c r="G71" s="399">
        <f>SUMIF('Machining Time'!$C$80:$C$95,'Mould Costing'!G$66,'Machining Time'!$L$80:$L$95)</f>
        <v>4</v>
      </c>
      <c r="H71" s="399">
        <f>SUMIF('Machining Time'!$C$80:$C$95,'Mould Costing'!H$66,'Machining Time'!$L$80:$L$95)</f>
        <v>0</v>
      </c>
      <c r="I71" s="399">
        <f>SUMIF('Machining Time'!$C$80:$C$95,'Mould Costing'!I$66,'Machining Time'!$L$80:$L$95)</f>
        <v>0</v>
      </c>
      <c r="J71" s="399">
        <f>SUMIF('Machining Time'!$C$80:$C$95,'Mould Costing'!J$66,'Machining Time'!$L$80:$L$95)</f>
        <v>0</v>
      </c>
      <c r="K71" s="399">
        <f>SUMIF('Machining Time'!$C$80:$C$95,'Mould Costing'!K$66,'Machining Time'!$L$80:$L$95)</f>
        <v>0</v>
      </c>
      <c r="L71" s="399">
        <f>SUMIF('Machining Time'!$C$80:$C$95,'Mould Costing'!L$66,'Machining Time'!$L$80:$L$95)</f>
        <v>0</v>
      </c>
      <c r="M71" s="399">
        <f>SUMIF('Machining Time'!$C$80:$C$95,'Mould Costing'!M$66,'Machining Time'!$L$80:$L$95)</f>
        <v>0</v>
      </c>
      <c r="N71" s="399">
        <f>SUMIF('Machining Time'!$C$80:$C$95,'Mould Costing'!N$66,'Machining Time'!$L$80:$L$95)</f>
        <v>0</v>
      </c>
      <c r="O71" s="399">
        <f>SUMIF('Machining Time'!$C$80:$C$95,'Mould Costing'!O$66,'Machining Time'!$L$80:$L$95)</f>
        <v>0</v>
      </c>
      <c r="P71" s="399">
        <f>SUMIF('Machining Time'!$C$80:$C$95,'Mould Costing'!P$66,'Machining Time'!$L$80:$L$95)</f>
        <v>0</v>
      </c>
      <c r="Q71" s="400">
        <v>2</v>
      </c>
    </row>
    <row r="72" spans="1:18">
      <c r="A72" t="s">
        <v>136</v>
      </c>
      <c r="B72" s="399">
        <f>SUMIF('Machining Time'!$C$99:$C$115,'Mould Costing'!B$66,'Machining Time'!$L$99:$L$115)</f>
        <v>65</v>
      </c>
      <c r="C72" s="399">
        <f>SUMIF('Machining Time'!$C$99:$C$115,'Mould Costing'!C$66,'Machining Time'!$L$99:$L$115)</f>
        <v>2</v>
      </c>
      <c r="D72" s="399">
        <f>SUMIF('Machining Time'!$C$99:$C$115,'Mould Costing'!D$66,'Machining Time'!$L$99:$L$115)</f>
        <v>0</v>
      </c>
      <c r="E72" s="399">
        <f>SUMIF('Machining Time'!$C$99:$C$115,'Mould Costing'!E$66,'Machining Time'!$L$99:$L$115)</f>
        <v>40</v>
      </c>
      <c r="F72" s="399">
        <f>SUMIF('Machining Time'!$C$99:$C$115,'Mould Costing'!F$66,'Machining Time'!$L$99:$L$115)</f>
        <v>0</v>
      </c>
      <c r="G72" s="399">
        <f>SUMIF('Machining Time'!$C$99:$C$115,'Mould Costing'!G$66,'Machining Time'!$L$99:$L$115)</f>
        <v>3</v>
      </c>
      <c r="H72" s="399">
        <f>SUMIF('Machining Time'!$C$99:$C$115,'Mould Costing'!H$66,'Machining Time'!$L$99:$L$115)</f>
        <v>3</v>
      </c>
      <c r="I72" s="399">
        <f>SUMIF('Machining Time'!$C$99:$C$115,'Mould Costing'!I$66,'Machining Time'!$L$99:$L$115)</f>
        <v>0</v>
      </c>
      <c r="J72" s="399">
        <f>SUMIF('Machining Time'!$C$99:$C$115,'Mould Costing'!J$66,'Machining Time'!$L$99:$L$115)</f>
        <v>2</v>
      </c>
      <c r="K72" s="399">
        <f>SUMIF('Machining Time'!$C$99:$C$115,'Mould Costing'!K$66,'Machining Time'!$L$99:$L$115)</f>
        <v>0</v>
      </c>
      <c r="L72" s="399">
        <f>SUMIF('Machining Time'!$C$99:$C$115,'Mould Costing'!L$66,'Machining Time'!$L$99:$L$115)</f>
        <v>0</v>
      </c>
      <c r="M72" s="399">
        <f>SUMIF('Machining Time'!$C$99:$C$115,'Mould Costing'!M$66,'Machining Time'!$L$99:$L$115)</f>
        <v>0</v>
      </c>
      <c r="N72" s="399">
        <f>SUMIF('Machining Time'!$C$99:$C$115,'Mould Costing'!N$66,'Machining Time'!$L$99:$L$115)</f>
        <v>0</v>
      </c>
      <c r="O72" s="399">
        <f>SUMIF('Machining Time'!$C$99:$C$115,'Mould Costing'!O$66,'Machining Time'!$L$99:$L$115)</f>
        <v>31</v>
      </c>
      <c r="P72" s="399">
        <f>SUMIF('Machining Time'!$C$99:$C$115,'Mould Costing'!P$66,'Machining Time'!$L$99:$L$115)</f>
        <v>3</v>
      </c>
      <c r="Q72" s="400">
        <v>8</v>
      </c>
    </row>
    <row r="73" spans="1:18">
      <c r="A73" t="s">
        <v>138</v>
      </c>
      <c r="B73" s="399">
        <f>SUMIF('Machining Time'!$C$120:$C$136,'Mould Costing'!B$66,'Machining Time'!$L$120:$L$136)</f>
        <v>65</v>
      </c>
      <c r="C73" s="399">
        <f>SUMIF('Machining Time'!$C$120:$C$136,'Mould Costing'!C$66,'Machining Time'!$L$120:$L$136)</f>
        <v>2</v>
      </c>
      <c r="D73" s="399">
        <f>SUMIF('Machining Time'!$C$120:$C$136,'Mould Costing'!D$66,'Machining Time'!$L$120:$L$136)</f>
        <v>0</v>
      </c>
      <c r="E73" s="399">
        <f>SUMIF('Machining Time'!$C$120:$C$136,'Mould Costing'!E$66,'Machining Time'!$L$120:$L$136)</f>
        <v>40</v>
      </c>
      <c r="F73" s="399">
        <f>SUMIF('Machining Time'!$C$120:$C$136,'Mould Costing'!F$66,'Machining Time'!$L$120:$L$136)</f>
        <v>0</v>
      </c>
      <c r="G73" s="399">
        <f>SUMIF('Machining Time'!$C$120:$C$136,'Mould Costing'!G$66,'Machining Time'!$L$120:$L$136)</f>
        <v>3</v>
      </c>
      <c r="H73" s="399">
        <f>SUMIF('Machining Time'!$C$120:$C$136,'Mould Costing'!H$66,'Machining Time'!$L$120:$L$136)</f>
        <v>3</v>
      </c>
      <c r="I73" s="399">
        <f>SUMIF('Machining Time'!$C$120:$C$136,'Mould Costing'!I$66,'Machining Time'!$L$120:$L$136)</f>
        <v>0</v>
      </c>
      <c r="J73" s="399">
        <f>SUMIF('Machining Time'!$C$120:$C$136,'Mould Costing'!J$66,'Machining Time'!$L$120:$L$136)</f>
        <v>2</v>
      </c>
      <c r="K73" s="399">
        <f>SUMIF('Machining Time'!$C$120:$C$136,'Mould Costing'!K$66,'Machining Time'!$L$120:$L$136)</f>
        <v>0</v>
      </c>
      <c r="L73" s="399">
        <f>SUMIF('Machining Time'!$C$120:$C$136,'Mould Costing'!L$66,'Machining Time'!$L$120:$L$136)</f>
        <v>0</v>
      </c>
      <c r="M73" s="399">
        <f>SUMIF('Machining Time'!$C$120:$C$136,'Mould Costing'!M$66,'Machining Time'!$L$120:$L$136)</f>
        <v>0</v>
      </c>
      <c r="N73" s="399">
        <f>SUMIF('Machining Time'!$C$120:$C$136,'Mould Costing'!N$66,'Machining Time'!$L$120:$L$136)</f>
        <v>0</v>
      </c>
      <c r="O73" s="399">
        <f>SUMIF('Machining Time'!$C$120:$C$136,'Mould Costing'!O$66,'Machining Time'!$L$120:$L$136)</f>
        <v>31</v>
      </c>
      <c r="P73" s="399">
        <f>SUMIF('Machining Time'!$C$120:$C$136,'Mould Costing'!P$66,'Machining Time'!$L$120:$L$136)</f>
        <v>3</v>
      </c>
      <c r="Q73" s="400">
        <v>8</v>
      </c>
    </row>
    <row r="74" spans="1:18">
      <c r="A74" t="s">
        <v>143</v>
      </c>
      <c r="B74" s="399">
        <f>SUMIF('Machining Time'!$C$140:$C$156,'Mould Costing'!B$66,'Machining Time'!$L$140:$L$156)</f>
        <v>0</v>
      </c>
      <c r="C74" s="399">
        <f>SUMIF('Machining Time'!$C$140:$C$156,'Mould Costing'!C$66,'Machining Time'!$L$140:$L$156)</f>
        <v>0</v>
      </c>
      <c r="D74" s="399">
        <f>SUMIF('Machining Time'!$C$140:$C$156,'Mould Costing'!D$66,'Machining Time'!$L$140:$L$156)</f>
        <v>0</v>
      </c>
      <c r="E74" s="399">
        <f>SUMIF('Machining Time'!$C$140:$C$156,'Mould Costing'!E$66,'Machining Time'!$L$140:$L$156)</f>
        <v>0</v>
      </c>
      <c r="F74" s="399">
        <f>SUMIF('Machining Time'!$C$140:$C$156,'Mould Costing'!F$66,'Machining Time'!$L$140:$L$156)</f>
        <v>0</v>
      </c>
      <c r="G74" s="399">
        <f>SUMIF('Machining Time'!$C$140:$C$156,'Mould Costing'!G$66,'Machining Time'!$L$140:$L$156)</f>
        <v>0</v>
      </c>
      <c r="H74" s="399">
        <f>SUMIF('Machining Time'!$C$140:$C$156,'Mould Costing'!H$66,'Machining Time'!$L$140:$L$156)</f>
        <v>0</v>
      </c>
      <c r="I74" s="399">
        <f>SUMIF('Machining Time'!$C$140:$C$156,'Mould Costing'!I$66,'Machining Time'!$L$140:$L$156)</f>
        <v>0</v>
      </c>
      <c r="J74" s="399">
        <f>SUMIF('Machining Time'!$C$140:$C$156,'Mould Costing'!J$66,'Machining Time'!$L$140:$L$156)</f>
        <v>0</v>
      </c>
      <c r="K74" s="399">
        <f>SUMIF('Machining Time'!$C$140:$C$156,'Mould Costing'!K$66,'Machining Time'!$L$140:$L$156)</f>
        <v>0</v>
      </c>
      <c r="L74" s="399">
        <f>SUMIF('Machining Time'!$C$140:$C$156,'Mould Costing'!L$66,'Machining Time'!$L$140:$L$156)</f>
        <v>0</v>
      </c>
      <c r="M74" s="399">
        <f>SUMIF('Machining Time'!$C$140:$C$156,'Mould Costing'!M$66,'Machining Time'!$L$140:$L$156)</f>
        <v>0</v>
      </c>
      <c r="N74" s="399">
        <f>SUMIF('Machining Time'!$C$140:$C$156,'Mould Costing'!N$66,'Machining Time'!$L$140:$L$156)</f>
        <v>33</v>
      </c>
      <c r="O74" s="399">
        <f>SUMIF('Machining Time'!$C$140:$C$156,'Mould Costing'!O$66,'Machining Time'!$L$140:$L$156)</f>
        <v>0</v>
      </c>
      <c r="P74" s="399">
        <f>SUMIF('Machining Time'!$C$140:$C$156,'Mould Costing'!P$66,'Machining Time'!$L$140:$L$156)</f>
        <v>0</v>
      </c>
      <c r="Q74" s="399"/>
    </row>
    <row r="75" spans="1:18">
      <c r="A75" t="s">
        <v>145</v>
      </c>
      <c r="B75" s="399">
        <f>SUMIF('Machining Time'!$C$159:$C$174,'Mould Costing'!B$66,'Machining Time'!$L$159:$L$174)</f>
        <v>0</v>
      </c>
      <c r="C75" s="399">
        <f>SUMIF('Machining Time'!$C$159:$C$174,'Mould Costing'!C$66,'Machining Time'!$L$159:$L$174)</f>
        <v>0</v>
      </c>
      <c r="D75" s="399">
        <f>SUMIF('Machining Time'!$C$159:$C$174,'Mould Costing'!D$66,'Machining Time'!$L$159:$L$174)</f>
        <v>0</v>
      </c>
      <c r="E75" s="399">
        <f>SUMIF('Machining Time'!$C$159:$C$174,'Mould Costing'!E$66,'Machining Time'!$L$159:$L$174)</f>
        <v>0</v>
      </c>
      <c r="F75" s="399">
        <f>SUMIF('Machining Time'!$C$159:$C$174,'Mould Costing'!F$66,'Machining Time'!$L$159:$L$174)</f>
        <v>0</v>
      </c>
      <c r="G75" s="399">
        <f>SUMIF('Machining Time'!$C$159:$C$174,'Mould Costing'!G$66,'Machining Time'!$L$159:$L$174)</f>
        <v>0</v>
      </c>
      <c r="H75" s="399">
        <f>SUMIF('Machining Time'!$C$159:$C$174,'Mould Costing'!H$66,'Machining Time'!$L$159:$L$174)</f>
        <v>0</v>
      </c>
      <c r="I75" s="399">
        <f>SUMIF('Machining Time'!$C$159:$C$174,'Mould Costing'!I$66,'Machining Time'!$L$159:$L$174)</f>
        <v>0</v>
      </c>
      <c r="J75" s="399">
        <f>SUMIF('Machining Time'!$C$159:$C$174,'Mould Costing'!J$66,'Machining Time'!$L$159:$L$174)</f>
        <v>0</v>
      </c>
      <c r="K75" s="399">
        <f>SUMIF('Machining Time'!$C$159:$C$174,'Mould Costing'!K$66,'Machining Time'!$L$159:$L$174)</f>
        <v>0</v>
      </c>
      <c r="L75" s="399">
        <f>SUMIF('Machining Time'!$C$159:$C$174,'Mould Costing'!L$66,'Machining Time'!$L$159:$L$174)</f>
        <v>0</v>
      </c>
      <c r="M75" s="399">
        <f>SUMIF('Machining Time'!$C$159:$C$174,'Mould Costing'!M$66,'Machining Time'!$L$159:$L$174)</f>
        <v>0</v>
      </c>
      <c r="N75" s="399">
        <f>SUMIF('Machining Time'!$C$159:$C$174,'Mould Costing'!N$66,'Machining Time'!$L$159:$L$174)</f>
        <v>16</v>
      </c>
      <c r="O75" s="399">
        <f>SUMIF('Machining Time'!$C$159:$C$174,'Mould Costing'!O$66,'Machining Time'!$L$159:$L$174)</f>
        <v>0</v>
      </c>
      <c r="P75" s="399">
        <f>SUMIF('Machining Time'!$C$159:$C$174,'Mould Costing'!P$66,'Machining Time'!$L$159:$L$174)</f>
        <v>0</v>
      </c>
      <c r="Q75" s="400">
        <v>2</v>
      </c>
    </row>
    <row r="76" spans="1:18">
      <c r="B76" s="399"/>
      <c r="C76" s="399"/>
      <c r="D76" s="399"/>
      <c r="E76" s="399"/>
      <c r="F76" s="399"/>
      <c r="G76" s="399"/>
      <c r="H76" s="399"/>
      <c r="I76" s="399"/>
      <c r="J76" s="399"/>
      <c r="K76" s="399"/>
      <c r="L76" s="399"/>
      <c r="M76" s="399"/>
      <c r="N76" s="399"/>
      <c r="O76" s="399"/>
      <c r="P76" s="399"/>
      <c r="Q76" s="400">
        <v>2</v>
      </c>
    </row>
    <row r="77" spans="1:18">
      <c r="B77" s="399"/>
      <c r="C77" s="399"/>
      <c r="D77" s="399"/>
      <c r="E77" s="399"/>
      <c r="F77" s="399"/>
      <c r="G77" s="399"/>
      <c r="H77" s="399"/>
      <c r="I77" s="399"/>
      <c r="J77" s="399"/>
      <c r="K77" s="399"/>
      <c r="L77" s="399"/>
      <c r="M77" s="399"/>
      <c r="N77" s="399"/>
      <c r="O77" s="399"/>
      <c r="P77" s="399"/>
      <c r="Q77" s="400">
        <v>4</v>
      </c>
    </row>
    <row r="78" spans="1:18">
      <c r="B78" s="399"/>
      <c r="C78" s="399"/>
      <c r="D78" s="399"/>
      <c r="E78" s="399"/>
      <c r="F78" s="399"/>
      <c r="G78" s="399"/>
      <c r="H78" s="399"/>
      <c r="I78" s="399"/>
      <c r="J78" s="399"/>
      <c r="K78" s="399"/>
      <c r="L78" s="399"/>
      <c r="M78" s="399"/>
      <c r="N78" s="399"/>
      <c r="O78" s="399"/>
      <c r="P78" s="399"/>
      <c r="Q78" s="400">
        <v>4</v>
      </c>
    </row>
    <row r="79" spans="1:18">
      <c r="B79" s="399"/>
      <c r="C79" s="399"/>
      <c r="D79" s="399"/>
      <c r="E79" s="399"/>
      <c r="F79" s="399"/>
      <c r="G79" s="399"/>
      <c r="H79" s="399"/>
      <c r="I79" s="399"/>
      <c r="J79" s="399"/>
      <c r="K79" s="399"/>
      <c r="L79" s="399"/>
      <c r="M79" s="399"/>
      <c r="N79" s="399"/>
      <c r="O79" s="399"/>
      <c r="P79" s="399"/>
      <c r="Q79" s="399"/>
      <c r="R79" s="113" t="s">
        <v>188</v>
      </c>
    </row>
    <row r="80" spans="1:18">
      <c r="B80" s="401">
        <f t="shared" ref="B80:Q80" si="1">SUM(B67:B79)</f>
        <v>230</v>
      </c>
      <c r="C80" s="401">
        <f t="shared" si="1"/>
        <v>8</v>
      </c>
      <c r="D80" s="401">
        <f t="shared" si="1"/>
        <v>0</v>
      </c>
      <c r="E80" s="401">
        <f t="shared" si="1"/>
        <v>212</v>
      </c>
      <c r="F80" s="401">
        <f t="shared" si="1"/>
        <v>0</v>
      </c>
      <c r="G80" s="401">
        <f t="shared" si="1"/>
        <v>33</v>
      </c>
      <c r="H80" s="401">
        <f t="shared" si="1"/>
        <v>12</v>
      </c>
      <c r="I80" s="401">
        <f t="shared" si="1"/>
        <v>0</v>
      </c>
      <c r="J80" s="401">
        <f t="shared" si="1"/>
        <v>4</v>
      </c>
      <c r="K80" s="401">
        <f t="shared" si="1"/>
        <v>0</v>
      </c>
      <c r="L80" s="401">
        <f t="shared" si="1"/>
        <v>0</v>
      </c>
      <c r="M80" s="401">
        <f t="shared" si="1"/>
        <v>0</v>
      </c>
      <c r="N80" s="401">
        <f t="shared" si="1"/>
        <v>49</v>
      </c>
      <c r="O80" s="401">
        <f t="shared" si="1"/>
        <v>62</v>
      </c>
      <c r="P80" s="401">
        <f t="shared" si="1"/>
        <v>8</v>
      </c>
      <c r="Q80" s="401">
        <f t="shared" si="1"/>
        <v>44</v>
      </c>
      <c r="R80" s="402">
        <f>SUM(B80:Q80)</f>
        <v>662</v>
      </c>
    </row>
    <row r="81" spans="1:17">
      <c r="B81" s="266">
        <f>VLOOKUP(B$66,Database!$I$3:$K$17,3,FALSE)</f>
        <v>400</v>
      </c>
      <c r="C81" s="266">
        <f>VLOOKUP(C$66,Database!$I$3:$K$17,3,FALSE)</f>
        <v>400</v>
      </c>
      <c r="D81" s="266">
        <f>VLOOKUP(D$66,Database!$I$3:$K$17,3,FALSE)</f>
        <v>400</v>
      </c>
      <c r="E81" s="266">
        <f>VLOOKUP(E$66,Database!$I$3:$K$17,3,FALSE)</f>
        <v>500</v>
      </c>
      <c r="F81" s="266">
        <f>VLOOKUP(F$66,Database!$I$3:$K$17,3,FALSE)</f>
        <v>500</v>
      </c>
      <c r="G81" s="266">
        <f>VLOOKUP(G$66,Database!$I$3:$K$17,3,FALSE)</f>
        <v>500</v>
      </c>
      <c r="H81" s="266">
        <f>VLOOKUP(H$66,Database!$I$3:$K$17,3,FALSE)</f>
        <v>500</v>
      </c>
      <c r="I81" s="266">
        <f>VLOOKUP(I$66,Database!$I$3:$K$17,3,FALSE)</f>
        <v>500</v>
      </c>
      <c r="J81" s="266">
        <f>VLOOKUP(J$66,Database!$I$3:$K$17,3,FALSE)</f>
        <v>500</v>
      </c>
      <c r="K81" s="266">
        <f>VLOOKUP(K$66,Database!$I$3:$K$17,3,FALSE)</f>
        <v>800</v>
      </c>
      <c r="L81" s="266">
        <f>VLOOKUP(L$66,Database!$I$3:$K$17,3,FALSE)</f>
        <v>800</v>
      </c>
      <c r="M81" s="266">
        <f>VLOOKUP(M$66,Database!$I$3:$K$17,3,FALSE)</f>
        <v>500</v>
      </c>
      <c r="N81" s="266">
        <f>VLOOKUP(N$66,Database!$I$3:$K$17,3,FALSE)</f>
        <v>1200</v>
      </c>
      <c r="O81" s="266">
        <f>VLOOKUP(O$66,Database!$I$3:$K$17,3,FALSE)</f>
        <v>1200</v>
      </c>
      <c r="P81" s="266">
        <f>VLOOKUP(P$66,Database!$I$3:$K$17,3,FALSE)</f>
        <v>1200</v>
      </c>
      <c r="Q81" s="266">
        <v>43.75</v>
      </c>
    </row>
    <row r="82" spans="1:17">
      <c r="B82" s="403">
        <f t="shared" ref="B82:Q82" si="2">B80*B81*$C$83</f>
        <v>132447.16848240176</v>
      </c>
      <c r="C82" s="403">
        <f t="shared" si="2"/>
        <v>4606.8580341704956</v>
      </c>
      <c r="D82" s="403">
        <f t="shared" si="2"/>
        <v>0</v>
      </c>
      <c r="E82" s="403">
        <f t="shared" si="2"/>
        <v>152602.17238189766</v>
      </c>
      <c r="F82" s="403">
        <f t="shared" si="2"/>
        <v>0</v>
      </c>
      <c r="G82" s="403">
        <f t="shared" si="2"/>
        <v>23754.111738691619</v>
      </c>
      <c r="H82" s="403">
        <f t="shared" si="2"/>
        <v>8637.8588140696793</v>
      </c>
      <c r="I82" s="403">
        <f t="shared" si="2"/>
        <v>0</v>
      </c>
      <c r="J82" s="403">
        <f t="shared" si="2"/>
        <v>2879.2862713565601</v>
      </c>
      <c r="K82" s="403">
        <f t="shared" si="2"/>
        <v>0</v>
      </c>
      <c r="L82" s="403">
        <f t="shared" si="2"/>
        <v>0</v>
      </c>
      <c r="M82" s="403">
        <f t="shared" si="2"/>
        <v>0</v>
      </c>
      <c r="N82" s="403">
        <f t="shared" si="2"/>
        <v>84651.016377882857</v>
      </c>
      <c r="O82" s="403">
        <f t="shared" si="2"/>
        <v>107109.44929446402</v>
      </c>
      <c r="P82" s="403">
        <f t="shared" si="2"/>
        <v>13820.574102511488</v>
      </c>
      <c r="Q82" s="403">
        <f t="shared" si="2"/>
        <v>2771.3130361806889</v>
      </c>
    </row>
    <row r="83" spans="1:17">
      <c r="B83" t="s">
        <v>189</v>
      </c>
      <c r="C83">
        <f>VLOOKUP('INJ. MOULDING ESTIMATION'!C16,Table6[],2,FALSE)</f>
        <v>1.43964313567828</v>
      </c>
    </row>
    <row r="84" spans="1:17">
      <c r="B84" s="62" t="s">
        <v>190</v>
      </c>
      <c r="C84" s="401">
        <f>SUM(B82:Q82)</f>
        <v>533279.80853362684</v>
      </c>
    </row>
    <row r="86" spans="1:17" ht="30" customHeight="1">
      <c r="A86" s="503" t="s">
        <v>119</v>
      </c>
      <c r="B86" s="435"/>
      <c r="C86" s="435"/>
      <c r="D86" s="435"/>
      <c r="E86" s="435"/>
      <c r="F86" s="423"/>
      <c r="G86" s="500" t="s">
        <v>191</v>
      </c>
      <c r="H86" s="423"/>
      <c r="I86" s="64" t="s">
        <v>192</v>
      </c>
      <c r="J86" s="65" t="s">
        <v>175</v>
      </c>
      <c r="K86" s="223" t="s">
        <v>193</v>
      </c>
    </row>
    <row r="87" spans="1:17">
      <c r="A87" s="513" t="s">
        <v>194</v>
      </c>
      <c r="B87" s="435"/>
      <c r="C87" s="435"/>
      <c r="D87" s="435"/>
      <c r="E87" s="435"/>
      <c r="F87" s="423"/>
      <c r="G87" s="507"/>
      <c r="H87" s="423"/>
      <c r="I87" s="265">
        <f>72*VLOOKUP('INJ. MOULDING ESTIMATION'!C16,COMPLEXITY!A1:B7,2,TRUE)</f>
        <v>103.65430576883615</v>
      </c>
      <c r="J87" s="357">
        <v>60</v>
      </c>
      <c r="K87" s="263">
        <f>J87*I87</f>
        <v>6219.2583461301692</v>
      </c>
    </row>
    <row r="88" spans="1:17">
      <c r="A88" s="513" t="s">
        <v>195</v>
      </c>
      <c r="B88" s="435"/>
      <c r="C88" s="435"/>
      <c r="D88" s="435"/>
      <c r="E88" s="435"/>
      <c r="F88" s="423"/>
      <c r="G88" s="507"/>
      <c r="H88" s="423"/>
      <c r="I88" s="265">
        <f>60*VLOOKUP('INJ. MOULDING ESTIMATION'!C16,COMPLEXITY!A1:B7,2,TRUE)</f>
        <v>86.378588140696792</v>
      </c>
      <c r="J88" s="357">
        <v>70</v>
      </c>
      <c r="K88" s="263">
        <f>J88*I88</f>
        <v>6046.5011698487751</v>
      </c>
    </row>
    <row r="89" spans="1:17">
      <c r="J89" s="66" t="s">
        <v>196</v>
      </c>
      <c r="K89" s="264">
        <f>SUM(K87:M88)</f>
        <v>12265.759515978945</v>
      </c>
    </row>
    <row r="92" spans="1:17">
      <c r="A92" s="63" t="s">
        <v>197</v>
      </c>
      <c r="B92" s="21"/>
      <c r="C92" s="21"/>
      <c r="D92" s="21"/>
      <c r="E92" s="21"/>
      <c r="F92" s="21"/>
      <c r="G92" s="21"/>
      <c r="H92" s="21"/>
      <c r="I92" s="21"/>
      <c r="J92" s="21"/>
      <c r="K92" s="21"/>
      <c r="L92" s="21"/>
      <c r="M92" s="21"/>
      <c r="O92" s="21"/>
      <c r="P92" s="63"/>
    </row>
    <row r="93" spans="1:17" ht="18.5" customHeight="1">
      <c r="A93" s="356" t="s">
        <v>198</v>
      </c>
      <c r="B93" s="498" t="s">
        <v>199</v>
      </c>
      <c r="C93" s="435"/>
      <c r="D93" s="435"/>
      <c r="E93" s="435"/>
      <c r="F93" s="435"/>
      <c r="G93" s="435"/>
      <c r="H93" s="435"/>
      <c r="I93" s="435"/>
      <c r="J93" s="41"/>
      <c r="K93" s="70" t="b">
        <v>0</v>
      </c>
      <c r="L93" s="67"/>
      <c r="M93" s="21"/>
    </row>
    <row r="94" spans="1:17">
      <c r="A94" s="356" t="s">
        <v>200</v>
      </c>
      <c r="B94" s="498" t="s">
        <v>201</v>
      </c>
      <c r="C94" s="435"/>
      <c r="D94" s="435"/>
      <c r="E94" s="435"/>
      <c r="F94" s="435"/>
      <c r="G94" s="435"/>
      <c r="H94" s="435"/>
      <c r="I94" s="435"/>
      <c r="J94" s="41"/>
      <c r="K94" s="322"/>
      <c r="L94" s="68">
        <f>F63+C84+K89-L93</f>
        <v>1071126.4038445605</v>
      </c>
      <c r="M94" s="21"/>
    </row>
    <row r="95" spans="1:17">
      <c r="A95" s="356" t="s">
        <v>202</v>
      </c>
      <c r="B95" s="498" t="s">
        <v>203</v>
      </c>
      <c r="C95" s="435"/>
      <c r="D95" s="435"/>
      <c r="E95" s="435"/>
      <c r="F95" s="435"/>
      <c r="G95" s="435"/>
      <c r="H95" s="435"/>
      <c r="I95" s="435"/>
      <c r="J95" s="41"/>
      <c r="K95" s="69">
        <f>'INJ. MOULDING ESTIMATION'!A35</f>
        <v>0.15</v>
      </c>
      <c r="L95" s="68">
        <f>(L94+L97+L98)*K95</f>
        <v>180468.96057668407</v>
      </c>
      <c r="M95" s="21"/>
    </row>
    <row r="96" spans="1:17">
      <c r="A96" s="356" t="s">
        <v>204</v>
      </c>
      <c r="B96" s="504" t="s">
        <v>87</v>
      </c>
      <c r="C96" s="435"/>
      <c r="D96" s="435"/>
      <c r="E96" s="435"/>
      <c r="F96" s="435"/>
      <c r="G96" s="435"/>
      <c r="H96" s="435"/>
      <c r="I96" s="435"/>
      <c r="J96" s="41">
        <v>5000</v>
      </c>
      <c r="K96" s="70" t="b">
        <v>1</v>
      </c>
      <c r="L96" s="71">
        <f>IF(K96=TRUE,J96,0)</f>
        <v>5000</v>
      </c>
      <c r="M96" s="21"/>
    </row>
    <row r="97" spans="1:15">
      <c r="A97" s="356" t="s">
        <v>205</v>
      </c>
      <c r="B97" s="498" t="s">
        <v>206</v>
      </c>
      <c r="C97" s="435"/>
      <c r="D97" s="435"/>
      <c r="E97" s="435"/>
      <c r="F97" s="435"/>
      <c r="G97" s="435"/>
      <c r="H97" s="435"/>
      <c r="I97" s="435"/>
      <c r="J97" s="41"/>
      <c r="K97" s="72" t="b">
        <v>1</v>
      </c>
      <c r="L97" s="71">
        <f>DASHBOARD!H24</f>
        <v>120000</v>
      </c>
      <c r="M97" s="21"/>
    </row>
    <row r="98" spans="1:15">
      <c r="A98" s="356" t="s">
        <v>207</v>
      </c>
      <c r="B98" s="498" t="s">
        <v>208</v>
      </c>
      <c r="C98" s="435"/>
      <c r="D98" s="435"/>
      <c r="E98" s="435"/>
      <c r="F98" s="435"/>
      <c r="G98" s="435"/>
      <c r="H98" s="435"/>
      <c r="I98" s="435"/>
      <c r="J98" s="41"/>
      <c r="K98" s="72" t="b">
        <v>1</v>
      </c>
      <c r="L98" s="73">
        <f>IF(K98,12000,0)</f>
        <v>12000</v>
      </c>
      <c r="M98" s="21"/>
      <c r="O98" t="s">
        <v>209</v>
      </c>
    </row>
    <row r="99" spans="1:15">
      <c r="A99" s="356" t="s">
        <v>210</v>
      </c>
      <c r="B99" s="498" t="s">
        <v>211</v>
      </c>
      <c r="C99" s="435"/>
      <c r="D99" s="435"/>
      <c r="E99" s="435"/>
      <c r="F99" s="435"/>
      <c r="G99" s="435"/>
      <c r="H99" s="435"/>
      <c r="I99" s="435"/>
      <c r="J99" s="41" t="b">
        <v>0</v>
      </c>
      <c r="K99" s="69">
        <v>0.04</v>
      </c>
      <c r="L99" s="68">
        <f>IF(J99,SUM(L94:N96,L97,L98)*K99,0)</f>
        <v>0</v>
      </c>
      <c r="M99" s="21"/>
    </row>
    <row r="100" spans="1:15">
      <c r="A100" s="21"/>
      <c r="B100" s="365" t="s">
        <v>212</v>
      </c>
      <c r="C100" s="21"/>
      <c r="D100" s="21"/>
      <c r="E100" s="21"/>
      <c r="F100" s="21"/>
      <c r="G100" s="21"/>
      <c r="H100" s="21"/>
      <c r="I100" s="21"/>
      <c r="J100" s="21"/>
      <c r="K100" s="21"/>
      <c r="L100" s="74">
        <f>SUM(L94:L99)-L93</f>
        <v>1388595.3644212445</v>
      </c>
      <c r="M100" s="21"/>
    </row>
  </sheetData>
  <mergeCells count="60">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1:M1"/>
    <mergeCell ref="A57:E57"/>
    <mergeCell ref="A50:I51"/>
    <mergeCell ref="I42:J42"/>
    <mergeCell ref="C49:E49"/>
    <mergeCell ref="F46:G46"/>
    <mergeCell ref="F44:G44"/>
    <mergeCell ref="F57:G57"/>
    <mergeCell ref="F53:G53"/>
    <mergeCell ref="C47:E47"/>
    <mergeCell ref="A41:E41"/>
    <mergeCell ref="I41:J41"/>
    <mergeCell ref="F45:G45"/>
    <mergeCell ref="C48:E48"/>
    <mergeCell ref="B98:I98"/>
    <mergeCell ref="F42:G42"/>
    <mergeCell ref="F41:G41"/>
    <mergeCell ref="A56:E56"/>
    <mergeCell ref="G87:H87"/>
    <mergeCell ref="A55:E55"/>
    <mergeCell ref="I43:J43"/>
    <mergeCell ref="F47:G47"/>
    <mergeCell ref="A88:F88"/>
    <mergeCell ref="B94:I94"/>
    <mergeCell ref="A58:E58"/>
    <mergeCell ref="A87:F87"/>
    <mergeCell ref="C43:E43"/>
    <mergeCell ref="A86:F86"/>
    <mergeCell ref="B93:I93"/>
    <mergeCell ref="C46:E46"/>
    <mergeCell ref="B96:I96"/>
    <mergeCell ref="F59:G59"/>
    <mergeCell ref="F55:G55"/>
    <mergeCell ref="I47:J47"/>
    <mergeCell ref="A54:E54"/>
    <mergeCell ref="C63:E63"/>
    <mergeCell ref="B97:I97"/>
    <mergeCell ref="A59:E59"/>
    <mergeCell ref="C44:E44"/>
    <mergeCell ref="G86:H86"/>
    <mergeCell ref="F54:G54"/>
    <mergeCell ref="I46:J46"/>
    <mergeCell ref="I49:J49"/>
    <mergeCell ref="I45:J45"/>
  </mergeCells>
  <conditionalFormatting sqref="B34">
    <cfRule type="expression" dxfId="158" priority="3">
      <formula>$B$34=$K$22</formula>
    </cfRule>
  </conditionalFormatting>
  <conditionalFormatting sqref="D34">
    <cfRule type="expression" dxfId="157" priority="2">
      <formula>$D$34=$M$22</formula>
    </cfRule>
  </conditionalFormatting>
  <conditionalFormatting sqref="E34">
    <cfRule type="expression" dxfId="156" priority="1">
      <formula>$D$34&lt;&gt;$M$22</formula>
    </cfRule>
  </conditionalFormatting>
  <pageMargins left="0.7" right="0.7" top="0.75" bottom="0.75" header="0.3" footer="0.3"/>
  <pageSetup paperSize="9" scale="73" fitToHeight="0" orientation="landscape"/>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30"/>
  <sheetViews>
    <sheetView zoomScale="56" zoomScaleNormal="70" workbookViewId="0">
      <selection activeCell="R21" sqref="R21"/>
    </sheetView>
  </sheetViews>
  <sheetFormatPr defaultColWidth="8.7265625" defaultRowHeight="14.5"/>
  <cols>
    <col min="1" max="1" width="29.81640625" style="352" customWidth="1"/>
    <col min="10" max="10" width="13.36328125" style="352" customWidth="1"/>
    <col min="11" max="11" width="31.54296875" style="352" customWidth="1"/>
    <col min="12" max="12" width="13.26953125" style="352" customWidth="1"/>
    <col min="13" max="13" width="29.7265625" style="352" customWidth="1"/>
    <col min="14" max="14" width="9.08984375" style="352" bestFit="1" customWidth="1"/>
  </cols>
  <sheetData>
    <row r="1" spans="11:17" ht="17" customHeight="1">
      <c r="M1" s="313"/>
      <c r="N1" s="313"/>
      <c r="O1" s="313"/>
      <c r="P1" s="313"/>
      <c r="Q1" s="313"/>
    </row>
    <row r="2" spans="11:17" ht="14.5" customHeight="1">
      <c r="K2" s="314" t="s">
        <v>24</v>
      </c>
      <c r="L2" s="60">
        <f>DASHBOARD!C9+DASHBOARD!F9</f>
        <v>258847.83579495471</v>
      </c>
      <c r="M2" s="313"/>
      <c r="N2" s="313"/>
      <c r="O2" s="313"/>
      <c r="P2" s="313"/>
      <c r="Q2" s="313"/>
    </row>
    <row r="3" spans="11:17">
      <c r="K3" t="s">
        <v>28</v>
      </c>
      <c r="L3">
        <f>DASHBOARD!H28</f>
        <v>419765.56283779378</v>
      </c>
    </row>
    <row r="4" spans="11:17">
      <c r="K4" s="24" t="s">
        <v>59</v>
      </c>
      <c r="L4">
        <f>DASHBOARD!H52</f>
        <v>533279.80853362684</v>
      </c>
    </row>
    <row r="5" spans="11:17">
      <c r="K5" s="24" t="s">
        <v>84</v>
      </c>
      <c r="L5">
        <f>DASHBOARD!G61</f>
        <v>185468.96057668407</v>
      </c>
    </row>
    <row r="6" spans="11:17">
      <c r="K6" s="312" t="s">
        <v>213</v>
      </c>
      <c r="L6">
        <f>DASHBOARD!H63</f>
        <v>0</v>
      </c>
    </row>
    <row r="11" spans="11:17">
      <c r="K11" s="24"/>
    </row>
    <row r="12" spans="11:17">
      <c r="K12" s="24"/>
    </row>
    <row r="13" spans="11:17">
      <c r="K13" s="24"/>
    </row>
    <row r="14" spans="11:17">
      <c r="K14" s="24"/>
    </row>
    <row r="15" spans="11:17">
      <c r="K15" s="24"/>
    </row>
    <row r="28" spans="13:13">
      <c r="M28" s="24"/>
    </row>
    <row r="29" spans="13:13">
      <c r="M29" s="24"/>
    </row>
    <row r="30" spans="13:13">
      <c r="M30" s="24"/>
    </row>
  </sheetData>
  <pageMargins left="0.75" right="0.75" top="1" bottom="1" header="0.5" footer="0.5"/>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P35"/>
  <sheetViews>
    <sheetView zoomScale="85" zoomScaleNormal="85" workbookViewId="0">
      <selection activeCell="H18" sqref="H18"/>
    </sheetView>
  </sheetViews>
  <sheetFormatPr defaultColWidth="9" defaultRowHeight="14.5"/>
  <cols>
    <col min="2" max="2" width="24.453125" style="352" customWidth="1"/>
    <col min="3" max="3" width="10.36328125" style="352" customWidth="1"/>
    <col min="4" max="4" width="16.453125" style="352" customWidth="1"/>
    <col min="5" max="5" width="31.90625" style="352" customWidth="1"/>
    <col min="6" max="6" width="4" style="352" customWidth="1"/>
    <col min="7" max="7" width="12.08984375" style="352" customWidth="1"/>
    <col min="8" max="8" width="18.1796875" style="352" customWidth="1"/>
    <col min="9" max="9" width="52.1796875" style="352" customWidth="1"/>
    <col min="10" max="11" width="16.36328125" style="352" customWidth="1"/>
    <col min="12" max="15" width="22.54296875" style="352" customWidth="1"/>
    <col min="16" max="16" width="2.54296875" style="352" customWidth="1"/>
  </cols>
  <sheetData>
    <row r="1" spans="2:15">
      <c r="G1" t="s">
        <v>214</v>
      </c>
      <c r="I1" t="s">
        <v>215</v>
      </c>
      <c r="J1" s="404">
        <f>D25</f>
        <v>1388595.3644212445</v>
      </c>
      <c r="L1" s="405"/>
      <c r="O1" s="404"/>
    </row>
    <row r="2" spans="2:15" ht="14.5" customHeight="1" thickBot="1">
      <c r="B2" s="173" t="s">
        <v>216</v>
      </c>
      <c r="C2" s="516" t="str">
        <f>DASHBOARD!D4</f>
        <v>NB223320</v>
      </c>
      <c r="D2" s="517"/>
      <c r="E2" s="174" t="s">
        <v>217</v>
      </c>
      <c r="G2" s="267">
        <f>DASHBOARD!B3</f>
        <v>5</v>
      </c>
      <c r="I2">
        <v>1</v>
      </c>
      <c r="J2">
        <f t="dataTable" ref="J2:J14" dt2D="0" dtr="0" r1="G2" ca="1"/>
        <v>1448438.6</v>
      </c>
    </row>
    <row r="3" spans="2:15" ht="14.5" customHeight="1" thickBot="1">
      <c r="B3" s="175" t="s">
        <v>218</v>
      </c>
      <c r="C3" s="516" t="str">
        <f>DASHBOARD!B4</f>
        <v xml:space="preserve">LICENSE PLATE BRKT -1 </v>
      </c>
      <c r="D3" s="517"/>
      <c r="E3" s="176"/>
      <c r="I3">
        <v>2</v>
      </c>
      <c r="J3">
        <v>7591265.9321517628</v>
      </c>
    </row>
    <row r="4" spans="2:15" ht="15" customHeight="1" thickBot="1">
      <c r="I4">
        <v>3</v>
      </c>
      <c r="J4">
        <v>728474.77500000002</v>
      </c>
    </row>
    <row r="5" spans="2:15">
      <c r="B5" s="177"/>
      <c r="C5" s="178" t="s">
        <v>219</v>
      </c>
      <c r="D5" s="178" t="s">
        <v>220</v>
      </c>
      <c r="E5" s="179" t="s">
        <v>221</v>
      </c>
      <c r="G5" s="180" t="s">
        <v>222</v>
      </c>
      <c r="H5" s="180"/>
      <c r="I5">
        <v>4</v>
      </c>
      <c r="J5">
        <v>729597.75</v>
      </c>
    </row>
    <row r="6" spans="2:15">
      <c r="B6" s="181" t="s">
        <v>115</v>
      </c>
      <c r="C6" s="187">
        <f>VLOOKUP($G$2,'[1]K06 DATA_V1.0'!$A$1:$M$9,4,FALSE)</f>
        <v>218</v>
      </c>
      <c r="D6" s="266" t="s">
        <v>223</v>
      </c>
      <c r="E6" s="182" t="s">
        <v>224</v>
      </c>
      <c r="G6" s="1" t="s">
        <v>225</v>
      </c>
      <c r="H6" s="79">
        <f>'Part Cost'!B13</f>
        <v>18.383832366222222</v>
      </c>
      <c r="I6">
        <v>5</v>
      </c>
      <c r="J6">
        <v>1388595.3644212445</v>
      </c>
    </row>
    <row r="7" spans="2:15">
      <c r="B7" s="181" t="s">
        <v>226</v>
      </c>
      <c r="C7" s="187">
        <f>VLOOKUP($G$2,'[1]K06 DATA_V1.0'!$A$1:$M$9,5,FALSE)</f>
        <v>160</v>
      </c>
      <c r="D7" s="266" t="s">
        <v>223</v>
      </c>
      <c r="E7" s="182" t="s">
        <v>227</v>
      </c>
      <c r="G7" s="1" t="s">
        <v>228</v>
      </c>
      <c r="H7" s="79">
        <f>'Part Cost'!B14</f>
        <v>20000</v>
      </c>
      <c r="I7">
        <v>6</v>
      </c>
      <c r="J7">
        <v>1421554.6594612761</v>
      </c>
    </row>
    <row r="8" spans="2:15">
      <c r="B8" s="181" t="s">
        <v>117</v>
      </c>
      <c r="C8" s="187">
        <f>VLOOKUP($G$2,'[1]K06 DATA_V1.0'!$A$1:$M$9,6,FALSE)</f>
        <v>65</v>
      </c>
      <c r="D8" s="266" t="s">
        <v>223</v>
      </c>
      <c r="E8" s="182" t="s">
        <v>229</v>
      </c>
      <c r="G8" s="183" t="s">
        <v>230</v>
      </c>
      <c r="H8" s="184">
        <f>'Part Cost'!B15</f>
        <v>367676.64732444444</v>
      </c>
      <c r="I8">
        <v>7</v>
      </c>
      <c r="J8">
        <v>1867580.5255854425</v>
      </c>
    </row>
    <row r="9" spans="2:15">
      <c r="B9" s="181" t="s">
        <v>231</v>
      </c>
      <c r="C9" s="185" t="b">
        <v>0</v>
      </c>
      <c r="D9" s="266"/>
      <c r="E9" s="182" t="s">
        <v>232</v>
      </c>
      <c r="I9">
        <v>8</v>
      </c>
      <c r="J9">
        <v>3365870.9763271068</v>
      </c>
    </row>
    <row r="10" spans="2:15">
      <c r="B10" s="181" t="s">
        <v>233</v>
      </c>
      <c r="C10" s="187">
        <v>2</v>
      </c>
      <c r="D10" s="266" t="s">
        <v>223</v>
      </c>
      <c r="E10" s="182" t="s">
        <v>234</v>
      </c>
      <c r="I10">
        <v>9</v>
      </c>
      <c r="J10" t="e">
        <v>#N/A</v>
      </c>
    </row>
    <row r="11" spans="2:15">
      <c r="B11" s="181" t="s">
        <v>235</v>
      </c>
      <c r="C11" s="187">
        <v>3</v>
      </c>
      <c r="D11" s="266" t="s">
        <v>223</v>
      </c>
      <c r="E11" s="182" t="s">
        <v>234</v>
      </c>
      <c r="I11">
        <v>10</v>
      </c>
      <c r="J11" t="e">
        <v>#N/A</v>
      </c>
    </row>
    <row r="12" spans="2:15" ht="29" customHeight="1">
      <c r="B12" s="181" t="s">
        <v>236</v>
      </c>
      <c r="C12" s="331" t="s">
        <v>237</v>
      </c>
      <c r="D12" s="266"/>
      <c r="E12" s="182" t="s">
        <v>238</v>
      </c>
      <c r="G12" s="186" t="s">
        <v>239</v>
      </c>
      <c r="H12">
        <f>'Input-Output'!D19</f>
        <v>87.813600587284455</v>
      </c>
      <c r="I12">
        <v>11</v>
      </c>
      <c r="J12" t="e">
        <v>#N/A</v>
      </c>
    </row>
    <row r="13" spans="2:15" ht="16.5" customHeight="1">
      <c r="B13" s="181" t="s">
        <v>240</v>
      </c>
      <c r="C13" s="187">
        <f>VLOOKUP(C12,Table11[],3,FALSE)*1000</f>
        <v>400</v>
      </c>
      <c r="D13" s="266" t="s">
        <v>241</v>
      </c>
      <c r="E13" s="182" t="s">
        <v>242</v>
      </c>
      <c r="G13" s="221" t="s">
        <v>243</v>
      </c>
      <c r="H13" s="406">
        <f>'Input-Output'!D20</f>
        <v>87813.600587284454</v>
      </c>
      <c r="I13">
        <v>12</v>
      </c>
      <c r="J13" t="e">
        <v>#N/A</v>
      </c>
    </row>
    <row r="14" spans="2:15">
      <c r="B14" s="181" t="s">
        <v>244</v>
      </c>
      <c r="C14" s="187">
        <f>IF(E14,C15,'No of Cavity'!B19)</f>
        <v>1</v>
      </c>
      <c r="D14" s="266" t="s">
        <v>245</v>
      </c>
      <c r="E14" s="188" t="b">
        <v>1</v>
      </c>
      <c r="J14" t="e">
        <v>#N/A</v>
      </c>
    </row>
    <row r="15" spans="2:15">
      <c r="B15" s="189" t="s">
        <v>246</v>
      </c>
      <c r="C15" s="185">
        <f>VLOOKUP($G$2,'[1]K06 DATA_V1.0'!$A$1:$M$9,7,FALSE)</f>
        <v>1</v>
      </c>
      <c r="D15" s="185" t="s">
        <v>247</v>
      </c>
      <c r="E15" s="188" t="s">
        <v>248</v>
      </c>
      <c r="G15" s="332" t="s">
        <v>249</v>
      </c>
      <c r="H15" s="332" t="s">
        <v>250</v>
      </c>
    </row>
    <row r="16" spans="2:15">
      <c r="B16" s="190" t="s">
        <v>251</v>
      </c>
      <c r="C16" s="191">
        <f>VLOOKUP($G$2,'[1]K06 DATA_V1.0'!$A$1:$M$9,9,FALSE)</f>
        <v>2</v>
      </c>
      <c r="D16" s="191"/>
      <c r="E16" s="192" t="s">
        <v>252</v>
      </c>
      <c r="G16" s="257"/>
      <c r="H16" s="257">
        <f>H12</f>
        <v>87.813600587284455</v>
      </c>
      <c r="I16" s="407"/>
    </row>
    <row r="17" spans="2:13">
      <c r="B17" s="181" t="s">
        <v>253</v>
      </c>
      <c r="C17" s="266">
        <v>80</v>
      </c>
      <c r="D17" s="266" t="s">
        <v>254</v>
      </c>
      <c r="E17" s="182"/>
      <c r="G17" s="257">
        <v>1</v>
      </c>
      <c r="H17" s="257">
        <f t="dataTable" ref="H17:H21" dt2D="0" dtr="0" r1="C14"/>
        <v>87.813600587284455</v>
      </c>
    </row>
    <row r="18" spans="2:13">
      <c r="B18" s="181" t="s">
        <v>255</v>
      </c>
      <c r="C18" s="266">
        <v>1</v>
      </c>
      <c r="D18" s="266"/>
      <c r="E18" s="182"/>
      <c r="G18" s="257">
        <v>2</v>
      </c>
      <c r="H18" s="258">
        <v>120.79377945236965</v>
      </c>
      <c r="I18" s="408"/>
    </row>
    <row r="19" spans="2:13">
      <c r="B19" s="181" t="s">
        <v>256</v>
      </c>
      <c r="C19" s="82">
        <v>1000</v>
      </c>
      <c r="D19" s="266" t="s">
        <v>257</v>
      </c>
      <c r="E19" s="182"/>
      <c r="G19" s="257">
        <v>4</v>
      </c>
      <c r="H19" s="257">
        <v>176.2493125583527</v>
      </c>
    </row>
    <row r="20" spans="2:13" ht="15" customHeight="1" thickBot="1">
      <c r="B20" s="175" t="s">
        <v>258</v>
      </c>
      <c r="C20" s="193">
        <v>20000</v>
      </c>
      <c r="D20" s="193" t="s">
        <v>257</v>
      </c>
      <c r="E20" s="194" t="s">
        <v>259</v>
      </c>
      <c r="G20" s="257">
        <v>6</v>
      </c>
      <c r="H20" s="257">
        <v>245.8404815915431</v>
      </c>
      <c r="M20">
        <f>K22</f>
        <v>2.1192761225023222</v>
      </c>
    </row>
    <row r="21" spans="2:13" ht="15" customHeight="1" thickBot="1">
      <c r="G21" s="257">
        <v>8</v>
      </c>
      <c r="H21" s="259">
        <v>397.98183044412474</v>
      </c>
      <c r="J21" s="213" t="s">
        <v>260</v>
      </c>
      <c r="K21">
        <v>0.5</v>
      </c>
      <c r="L21">
        <v>0.5</v>
      </c>
      <c r="M21">
        <f t="dataTable" ref="M21:M26" dt2D="0" dtr="0" r1="K21"/>
        <v>2.1192761225023222</v>
      </c>
    </row>
    <row r="22" spans="2:13" ht="15" customHeight="1" thickBot="1">
      <c r="B22" s="518" t="s">
        <v>261</v>
      </c>
      <c r="C22" s="173" t="s">
        <v>115</v>
      </c>
      <c r="D22" s="195">
        <f>'Mould Costing'!D9</f>
        <v>549.43502458835189</v>
      </c>
      <c r="E22" s="521" t="b">
        <v>1</v>
      </c>
      <c r="J22" s="213" t="s">
        <v>262</v>
      </c>
      <c r="K22">
        <f>D27/D26</f>
        <v>2.1192761225023222</v>
      </c>
      <c r="L22">
        <v>1</v>
      </c>
      <c r="M22">
        <v>2.1192761225023222</v>
      </c>
    </row>
    <row r="23" spans="2:13">
      <c r="B23" s="519"/>
      <c r="C23" s="181" t="s">
        <v>226</v>
      </c>
      <c r="D23" s="195">
        <f>'Mould Costing'!E10</f>
        <v>607.43502458835189</v>
      </c>
      <c r="E23" s="438"/>
      <c r="L23">
        <v>2</v>
      </c>
      <c r="M23">
        <v>2.1192761225023222</v>
      </c>
    </row>
    <row r="24" spans="2:13">
      <c r="B24" s="520"/>
      <c r="C24" s="196" t="s">
        <v>117</v>
      </c>
      <c r="D24" s="197">
        <f>'Input-Output'!F5</f>
        <v>471.80411830750211</v>
      </c>
      <c r="E24" s="220" t="s">
        <v>263</v>
      </c>
      <c r="L24">
        <v>3</v>
      </c>
      <c r="M24">
        <v>2.1192761225023222</v>
      </c>
    </row>
    <row r="25" spans="2:13" ht="24" customHeight="1">
      <c r="B25" s="198" t="s">
        <v>264</v>
      </c>
      <c r="C25" s="199">
        <f>SUM(C26:C35)</f>
        <v>1.0000000000000002</v>
      </c>
      <c r="D25" s="409">
        <f>SUM(D26:D35)</f>
        <v>1388595.3644212445</v>
      </c>
      <c r="E25" s="410">
        <f>SUM(E26:E35)</f>
        <v>1384056.8680133773</v>
      </c>
      <c r="K25" s="405"/>
      <c r="L25">
        <v>4</v>
      </c>
      <c r="M25">
        <v>2.1192761225023222</v>
      </c>
    </row>
    <row r="26" spans="2:13">
      <c r="B26" s="200" t="s">
        <v>265</v>
      </c>
      <c r="C26" s="201">
        <f t="shared" ref="C26:C35" si="0">D26/$D$25</f>
        <v>0.18121405734699297</v>
      </c>
      <c r="D26" s="411">
        <f>'Mould Costing'!M22</f>
        <v>251633</v>
      </c>
      <c r="E26" s="412">
        <f>D26</f>
        <v>251633</v>
      </c>
      <c r="K26" s="405"/>
      <c r="L26">
        <v>5</v>
      </c>
      <c r="M26">
        <v>2.1192761225023222</v>
      </c>
    </row>
    <row r="27" spans="2:13">
      <c r="B27" s="202" t="s">
        <v>266</v>
      </c>
      <c r="C27" s="201">
        <f t="shared" si="0"/>
        <v>0.38404262479724871</v>
      </c>
      <c r="D27" s="413">
        <f>'Mould Costing'!C84</f>
        <v>533279.80853362684</v>
      </c>
      <c r="E27" s="412">
        <f>VLOOKUP($C$16,COMPLEXITY!$A$2:$B$7,2,TRUE)*D27</f>
        <v>767732.61575126334</v>
      </c>
      <c r="K27" s="405"/>
    </row>
    <row r="28" spans="2:13">
      <c r="B28" s="202" t="s">
        <v>157</v>
      </c>
      <c r="C28" s="201">
        <f t="shared" si="0"/>
        <v>1.0874298148253981E-2</v>
      </c>
      <c r="D28" s="413">
        <f>'Mould Costing'!K50</f>
        <v>15100</v>
      </c>
      <c r="E28" s="412">
        <f>D28</f>
        <v>15100</v>
      </c>
      <c r="K28" s="405"/>
    </row>
    <row r="29" spans="2:13">
      <c r="B29" s="202" t="s">
        <v>206</v>
      </c>
      <c r="C29" s="201">
        <f t="shared" si="0"/>
        <v>8.6418263429832956E-2</v>
      </c>
      <c r="D29" s="413">
        <f>'Mould Costing'!L97</f>
        <v>120000</v>
      </c>
      <c r="E29" s="414">
        <f>'Mould Costing'!L97</f>
        <v>120000</v>
      </c>
      <c r="K29" s="405"/>
    </row>
    <row r="30" spans="2:13">
      <c r="B30" s="202" t="s">
        <v>267</v>
      </c>
      <c r="C30" s="201">
        <f t="shared" si="0"/>
        <v>8.6418263429832963E-3</v>
      </c>
      <c r="D30" s="413">
        <f>'Mould Costing'!$L$98</f>
        <v>12000</v>
      </c>
      <c r="E30" s="414">
        <f>'Mould Costing'!$L$98</f>
        <v>12000</v>
      </c>
      <c r="K30" s="405"/>
    </row>
    <row r="31" spans="2:13">
      <c r="B31" s="202" t="s">
        <v>268</v>
      </c>
      <c r="C31" s="201">
        <f t="shared" si="0"/>
        <v>0.18640983718308785</v>
      </c>
      <c r="D31" s="413">
        <f>'Mould Costing'!K60</f>
        <v>258847.83579495471</v>
      </c>
      <c r="E31" s="412">
        <f>D32</f>
        <v>12265.759515978945</v>
      </c>
      <c r="K31" s="405"/>
    </row>
    <row r="32" spans="2:13">
      <c r="B32" s="202" t="s">
        <v>269</v>
      </c>
      <c r="C32" s="201">
        <f t="shared" si="0"/>
        <v>8.8332136418237412E-3</v>
      </c>
      <c r="D32" s="413">
        <f>'Mould Costing'!K89</f>
        <v>12265.759515978945</v>
      </c>
      <c r="E32" s="412">
        <f>VLOOKUP($C$16,COMPLEXITY!$A$2:$B$7,2,TRUE)*D32</f>
        <v>17658.316491059632</v>
      </c>
      <c r="K32" s="405"/>
    </row>
    <row r="33" spans="1:11">
      <c r="B33" s="202" t="s">
        <v>270</v>
      </c>
      <c r="C33" s="201">
        <f t="shared" si="0"/>
        <v>3.6007609762430397E-3</v>
      </c>
      <c r="D33" s="413">
        <f>'Mould Costing'!L96</f>
        <v>5000</v>
      </c>
      <c r="E33" s="412">
        <f>VLOOKUP($C$16,COMPLEXITY!$A$2:$B$7,2,TRUE)*D33</f>
        <v>7198.2156783913997</v>
      </c>
      <c r="K33" s="405"/>
    </row>
    <row r="34" spans="1:11">
      <c r="B34" s="202" t="s">
        <v>211</v>
      </c>
      <c r="C34" s="201">
        <f t="shared" si="0"/>
        <v>0</v>
      </c>
      <c r="D34" s="413">
        <f>'Mould Costing'!$L$99</f>
        <v>0</v>
      </c>
      <c r="E34" s="414">
        <f>'Mould Costing'!$L$99</f>
        <v>0</v>
      </c>
      <c r="K34" s="405"/>
    </row>
    <row r="35" spans="1:11">
      <c r="A35" s="203">
        <v>0.15</v>
      </c>
      <c r="B35" s="204" t="s">
        <v>271</v>
      </c>
      <c r="C35" s="205">
        <f t="shared" si="0"/>
        <v>0.12996511813353351</v>
      </c>
      <c r="D35" s="415">
        <f>'Mould Costing'!L95</f>
        <v>180468.96057668407</v>
      </c>
      <c r="E35" s="416">
        <f>'Mould Costing'!L95</f>
        <v>180468.96057668407</v>
      </c>
      <c r="K35" s="405"/>
    </row>
  </sheetData>
  <mergeCells count="4">
    <mergeCell ref="C3:D3"/>
    <mergeCell ref="C2:D2"/>
    <mergeCell ref="B22:B24"/>
    <mergeCell ref="E22:E23"/>
  </mergeCells>
  <conditionalFormatting sqref="B15">
    <cfRule type="expression" dxfId="135" priority="4">
      <formula>$E$14=TRUE</formula>
    </cfRule>
  </conditionalFormatting>
  <conditionalFormatting sqref="C15">
    <cfRule type="expression" dxfId="134" priority="3">
      <formula>$E$14=TRUE</formula>
    </cfRule>
  </conditionalFormatting>
  <conditionalFormatting sqref="D15">
    <cfRule type="expression" dxfId="133" priority="5">
      <formula>$E$14=TRUE</formula>
    </cfRule>
  </conditionalFormatting>
  <conditionalFormatting sqref="E15">
    <cfRule type="expression" dxfId="132" priority="6">
      <formula>$E$14=TRUE</formula>
    </cfRule>
  </conditionalFormatting>
  <pageMargins left="0.25" right="0.25" top="0.75" bottom="0.75" header="0.3" footer="0.3"/>
  <pageSetup paperSize="9" scale="85"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pageSetUpPr fitToPage="1"/>
  </sheetPr>
  <dimension ref="A1:O27"/>
  <sheetViews>
    <sheetView topLeftCell="C1" zoomScale="85" zoomScaleNormal="85" workbookViewId="0">
      <selection activeCell="L7" sqref="L7"/>
    </sheetView>
  </sheetViews>
  <sheetFormatPr defaultColWidth="9" defaultRowHeight="14.5"/>
  <cols>
    <col min="1" max="1" width="20.6328125" style="352" customWidth="1"/>
    <col min="2" max="2" width="15.90625" style="352" customWidth="1"/>
    <col min="3" max="3" width="38.08984375" style="352" customWidth="1"/>
    <col min="4" max="4" width="10.90625" style="352" customWidth="1"/>
    <col min="5" max="5" width="23.08984375" style="352" customWidth="1"/>
    <col min="8" max="8" width="6.08984375" style="352" customWidth="1"/>
    <col min="9" max="9" width="30.26953125" style="352" customWidth="1"/>
    <col min="10" max="10" width="19.36328125" style="352" customWidth="1"/>
    <col min="15" max="15" width="19.36328125" style="352" customWidth="1"/>
  </cols>
  <sheetData>
    <row r="1" spans="1:12">
      <c r="A1" s="225"/>
      <c r="B1" s="522"/>
      <c r="C1" s="446"/>
    </row>
    <row r="2" spans="1:12" ht="16.5" customHeight="1">
      <c r="A2" t="s">
        <v>272</v>
      </c>
      <c r="B2" t="s">
        <v>273</v>
      </c>
      <c r="C2" t="s">
        <v>274</v>
      </c>
      <c r="D2" t="s">
        <v>275</v>
      </c>
      <c r="E2" t="s">
        <v>276</v>
      </c>
      <c r="F2" t="s">
        <v>277</v>
      </c>
      <c r="G2" t="s">
        <v>278</v>
      </c>
      <c r="I2" s="169" t="s">
        <v>279</v>
      </c>
      <c r="J2" s="170" t="s">
        <v>280</v>
      </c>
      <c r="K2" s="354" t="s">
        <v>281</v>
      </c>
      <c r="L2" t="s">
        <v>282</v>
      </c>
    </row>
    <row r="3" spans="1:12" s="186" customFormat="1" ht="27.5" customHeight="1">
      <c r="A3" s="165" t="s">
        <v>131</v>
      </c>
      <c r="B3" s="186">
        <v>7.8</v>
      </c>
      <c r="C3" s="165" t="s">
        <v>283</v>
      </c>
      <c r="D3" s="166">
        <f>Table1[[#This Row],[Total]]</f>
        <v>128</v>
      </c>
      <c r="E3" s="167">
        <v>128</v>
      </c>
      <c r="F3" s="167"/>
      <c r="G3" s="167">
        <f>Table1[[#This Row],[RM cost]]+Table1[[#This Row],[Extra cost]]</f>
        <v>128</v>
      </c>
      <c r="I3" s="171" t="s">
        <v>66</v>
      </c>
      <c r="J3" s="186">
        <v>3</v>
      </c>
      <c r="K3" s="186">
        <v>400</v>
      </c>
    </row>
    <row r="4" spans="1:12" ht="26" customHeight="1">
      <c r="A4" s="63" t="s">
        <v>150</v>
      </c>
      <c r="B4">
        <v>7.85</v>
      </c>
      <c r="C4" s="165" t="s">
        <v>284</v>
      </c>
      <c r="D4" s="5">
        <f>Table1[[#This Row],[Total]]</f>
        <v>255</v>
      </c>
      <c r="E4" s="167">
        <v>120</v>
      </c>
      <c r="F4" s="167">
        <v>135</v>
      </c>
      <c r="G4" s="167">
        <f>Table1[[#This Row],[RM cost]]+Table1[[#This Row],[Extra cost]]</f>
        <v>255</v>
      </c>
      <c r="I4" s="171" t="s">
        <v>67</v>
      </c>
      <c r="J4">
        <v>5</v>
      </c>
      <c r="K4" s="186">
        <v>400</v>
      </c>
    </row>
    <row r="5" spans="1:12" ht="20.5" customHeight="1">
      <c r="A5" s="63" t="s">
        <v>151</v>
      </c>
      <c r="B5">
        <v>7.8</v>
      </c>
      <c r="C5" s="63" t="s">
        <v>285</v>
      </c>
      <c r="D5" s="5">
        <f>Table1[[#This Row],[Total]]</f>
        <v>150</v>
      </c>
      <c r="E5" s="167">
        <v>150</v>
      </c>
      <c r="F5" s="167"/>
      <c r="G5" s="167">
        <f>Table1[[#This Row],[RM cost]]+Table1[[#This Row],[Extra cost]]</f>
        <v>150</v>
      </c>
      <c r="I5" s="171" t="s">
        <v>68</v>
      </c>
      <c r="J5">
        <v>4</v>
      </c>
      <c r="K5" s="186">
        <v>400</v>
      </c>
    </row>
    <row r="6" spans="1:12" ht="27" customHeight="1">
      <c r="A6" s="63" t="s">
        <v>144</v>
      </c>
      <c r="B6">
        <v>8.67</v>
      </c>
      <c r="C6" s="165" t="s">
        <v>286</v>
      </c>
      <c r="D6" s="5">
        <f>Table1[[#This Row],[Total]]</f>
        <v>125</v>
      </c>
      <c r="E6" s="167">
        <v>125</v>
      </c>
      <c r="F6" s="167"/>
      <c r="G6" s="167">
        <f>Table1[[#This Row],[RM cost]]+Table1[[#This Row],[Extra cost]]</f>
        <v>125</v>
      </c>
      <c r="I6" s="171" t="s">
        <v>69</v>
      </c>
      <c r="J6">
        <v>0.17499999999999999</v>
      </c>
      <c r="K6">
        <v>500</v>
      </c>
    </row>
    <row r="7" spans="1:12">
      <c r="A7" s="63" t="s">
        <v>152</v>
      </c>
      <c r="B7">
        <v>7.7</v>
      </c>
      <c r="C7" s="63" t="s">
        <v>287</v>
      </c>
      <c r="D7" s="5">
        <f>Table1[[#This Row],[Total]]</f>
        <v>200</v>
      </c>
      <c r="E7" s="167">
        <v>200</v>
      </c>
      <c r="F7" s="167"/>
      <c r="G7" s="167">
        <f>Table1[[#This Row],[RM cost]]+Table1[[#This Row],[Extra cost]]</f>
        <v>200</v>
      </c>
      <c r="I7" s="171" t="s">
        <v>70</v>
      </c>
      <c r="J7">
        <v>0.2</v>
      </c>
      <c r="K7">
        <v>500</v>
      </c>
    </row>
    <row r="8" spans="1:12">
      <c r="A8" s="63" t="s">
        <v>153</v>
      </c>
      <c r="B8">
        <v>7.8</v>
      </c>
      <c r="C8" s="63" t="s">
        <v>288</v>
      </c>
      <c r="D8" s="5">
        <f>Table1[[#This Row],[Total]]</f>
        <v>590</v>
      </c>
      <c r="E8" s="167">
        <v>590</v>
      </c>
      <c r="F8" s="167"/>
      <c r="G8" s="167">
        <f>Table1[[#This Row],[RM cost]]+Table1[[#This Row],[Extra cost]]</f>
        <v>590</v>
      </c>
      <c r="I8" s="171" t="s">
        <v>71</v>
      </c>
      <c r="J8">
        <v>1</v>
      </c>
      <c r="K8">
        <v>500</v>
      </c>
    </row>
    <row r="9" spans="1:12">
      <c r="A9" s="63" t="s">
        <v>154</v>
      </c>
      <c r="B9">
        <v>8.16</v>
      </c>
      <c r="C9" s="63" t="s">
        <v>289</v>
      </c>
      <c r="D9" s="5">
        <f>Table1[[#This Row],[Total]]</f>
        <v>950</v>
      </c>
      <c r="E9" s="167">
        <v>950</v>
      </c>
      <c r="F9" s="167"/>
      <c r="G9" s="167">
        <f>Table1[[#This Row],[RM cost]]+Table1[[#This Row],[Extra cost]]</f>
        <v>950</v>
      </c>
      <c r="I9" s="171" t="s">
        <v>72</v>
      </c>
      <c r="J9">
        <v>0.5</v>
      </c>
      <c r="K9">
        <v>500</v>
      </c>
    </row>
    <row r="10" spans="1:12">
      <c r="A10" s="63" t="s">
        <v>155</v>
      </c>
      <c r="B10">
        <v>7.3</v>
      </c>
      <c r="C10" s="63" t="s">
        <v>290</v>
      </c>
      <c r="D10" s="5">
        <f>Table1[[#This Row],[Total]]</f>
        <v>100</v>
      </c>
      <c r="E10" s="167">
        <v>100</v>
      </c>
      <c r="F10" s="167"/>
      <c r="G10" s="167">
        <f>Table1[[#This Row],[RM cost]]+Table1[[#This Row],[Extra cost]]</f>
        <v>100</v>
      </c>
      <c r="I10" s="171" t="s">
        <v>73</v>
      </c>
      <c r="J10">
        <v>0.3</v>
      </c>
      <c r="K10">
        <v>500</v>
      </c>
    </row>
    <row r="11" spans="1:12">
      <c r="A11" s="63" t="s">
        <v>137</v>
      </c>
      <c r="B11">
        <v>7.8609999999999998</v>
      </c>
      <c r="C11" s="63" t="s">
        <v>291</v>
      </c>
      <c r="D11" s="5">
        <f>Table1[[#This Row],[Total]]</f>
        <v>230</v>
      </c>
      <c r="E11" s="167">
        <v>230</v>
      </c>
      <c r="F11" s="167"/>
      <c r="G11" s="167">
        <v>230</v>
      </c>
      <c r="I11" s="171" t="s">
        <v>74</v>
      </c>
      <c r="J11">
        <v>2</v>
      </c>
      <c r="K11">
        <v>500</v>
      </c>
    </row>
    <row r="12" spans="1:12">
      <c r="A12" s="63" t="s">
        <v>292</v>
      </c>
      <c r="B12" s="63">
        <v>7.8</v>
      </c>
      <c r="C12" s="63" t="s">
        <v>293</v>
      </c>
      <c r="D12" s="5">
        <f>Table1[[#This Row],[Total]]</f>
        <v>985</v>
      </c>
      <c r="E12" s="167">
        <v>985</v>
      </c>
      <c r="F12" s="167"/>
      <c r="G12" s="167">
        <f>Table1[[#This Row],[RM cost]]+Table1[[#This Row],[Extra cost]]</f>
        <v>985</v>
      </c>
      <c r="I12" s="171" t="s">
        <v>75</v>
      </c>
      <c r="J12">
        <v>0.01</v>
      </c>
      <c r="K12">
        <v>800</v>
      </c>
    </row>
    <row r="13" spans="1:12">
      <c r="A13" s="63" t="s">
        <v>294</v>
      </c>
      <c r="B13" s="63"/>
      <c r="C13" s="63" t="s">
        <v>295</v>
      </c>
      <c r="D13" s="5">
        <f>Table1[[#This Row],[Total]]</f>
        <v>200</v>
      </c>
      <c r="E13" s="167">
        <v>200</v>
      </c>
      <c r="F13" s="167"/>
      <c r="G13" s="167">
        <f>Table1[[#This Row],[RM cost]]+Table1[[#This Row],[Extra cost]]</f>
        <v>200</v>
      </c>
      <c r="I13" s="171" t="s">
        <v>76</v>
      </c>
      <c r="J13">
        <v>0.01</v>
      </c>
      <c r="K13">
        <v>800</v>
      </c>
    </row>
    <row r="14" spans="1:12">
      <c r="A14" s="63" t="s">
        <v>296</v>
      </c>
      <c r="B14" s="63"/>
      <c r="C14" s="63" t="s">
        <v>295</v>
      </c>
      <c r="D14" s="5">
        <f>Table1[[#This Row],[Total]]</f>
        <v>120</v>
      </c>
      <c r="E14" s="167">
        <v>120</v>
      </c>
      <c r="F14" s="167"/>
      <c r="G14" s="167">
        <f>Table1[[#This Row],[RM cost]]+Table1[[#This Row],[Extra cost]]</f>
        <v>120</v>
      </c>
      <c r="I14" s="171" t="s">
        <v>77</v>
      </c>
      <c r="J14">
        <v>0.2</v>
      </c>
      <c r="K14">
        <v>500</v>
      </c>
    </row>
    <row r="15" spans="1:12">
      <c r="A15" s="63" t="s">
        <v>297</v>
      </c>
      <c r="B15" s="63"/>
      <c r="C15" s="63" t="s">
        <v>298</v>
      </c>
      <c r="D15" s="5">
        <f>Table1[[#This Row],[Total]]</f>
        <v>500</v>
      </c>
      <c r="E15" s="167">
        <v>500</v>
      </c>
      <c r="F15" s="167"/>
      <c r="G15" s="167">
        <f>Table1[[#This Row],[RM cost]]+Table1[[#This Row],[Extra cost]]</f>
        <v>500</v>
      </c>
      <c r="I15" s="171" t="s">
        <v>78</v>
      </c>
      <c r="J15">
        <v>1.2</v>
      </c>
      <c r="K15">
        <v>1200</v>
      </c>
    </row>
    <row r="16" spans="1:12">
      <c r="A16" s="222" t="s">
        <v>141</v>
      </c>
      <c r="B16" s="63">
        <v>1.5</v>
      </c>
      <c r="C16" s="63" t="s">
        <v>299</v>
      </c>
      <c r="D16" s="5">
        <f>Table1[[#This Row],[Total]]</f>
        <v>1500</v>
      </c>
      <c r="E16" s="168"/>
      <c r="F16" s="168"/>
      <c r="G16" s="168">
        <v>1500</v>
      </c>
      <c r="I16" s="171" t="s">
        <v>79</v>
      </c>
      <c r="J16">
        <v>1</v>
      </c>
      <c r="K16">
        <v>1200</v>
      </c>
    </row>
    <row r="17" spans="1:11">
      <c r="A17" s="63"/>
      <c r="B17" s="63"/>
      <c r="C17" s="63"/>
      <c r="E17" s="63"/>
      <c r="F17" s="63"/>
      <c r="G17" s="63"/>
      <c r="I17" s="172" t="s">
        <v>80</v>
      </c>
      <c r="J17">
        <v>1</v>
      </c>
      <c r="K17">
        <v>1200</v>
      </c>
    </row>
    <row r="19" spans="1:11">
      <c r="A19" s="21" t="s">
        <v>236</v>
      </c>
      <c r="B19" s="21" t="s">
        <v>128</v>
      </c>
      <c r="C19" s="21" t="s">
        <v>300</v>
      </c>
      <c r="D19" s="21" t="s">
        <v>301</v>
      </c>
      <c r="E19" s="21" t="s">
        <v>302</v>
      </c>
    </row>
    <row r="20" spans="1:11">
      <c r="A20" s="21" t="s">
        <v>303</v>
      </c>
      <c r="B20" s="149">
        <v>136</v>
      </c>
      <c r="C20" s="149">
        <v>0.32</v>
      </c>
      <c r="D20" s="149">
        <v>1</v>
      </c>
      <c r="E20" s="149">
        <v>3</v>
      </c>
    </row>
    <row r="21" spans="1:11">
      <c r="A21" s="21" t="s">
        <v>304</v>
      </c>
      <c r="B21" s="149">
        <v>161</v>
      </c>
      <c r="C21" s="149">
        <v>0.32</v>
      </c>
      <c r="D21" s="149">
        <v>0.92</v>
      </c>
      <c r="E21" s="149">
        <f>AVERAGE(0.19,0.3)</f>
        <v>0.245</v>
      </c>
    </row>
    <row r="22" spans="1:11">
      <c r="A22" s="21" t="s">
        <v>305</v>
      </c>
      <c r="B22" s="149">
        <v>139</v>
      </c>
      <c r="C22" s="149">
        <v>0.32</v>
      </c>
      <c r="D22" s="149">
        <v>0.91</v>
      </c>
      <c r="E22" s="149">
        <f>AVERAGE(1,3.5)</f>
        <v>2.25</v>
      </c>
    </row>
    <row r="23" spans="1:11">
      <c r="A23" s="21" t="s">
        <v>237</v>
      </c>
      <c r="B23" s="149">
        <v>210</v>
      </c>
      <c r="C23" s="149">
        <v>0.4</v>
      </c>
      <c r="D23" s="149">
        <v>1.03</v>
      </c>
      <c r="E23" s="149">
        <f>AVERAGE(1.79,3.2)</f>
        <v>2.4950000000000001</v>
      </c>
    </row>
    <row r="24" spans="1:11">
      <c r="A24" s="21" t="s">
        <v>306</v>
      </c>
      <c r="B24" s="149">
        <v>481</v>
      </c>
      <c r="C24" s="149">
        <v>0.69</v>
      </c>
      <c r="D24" s="149">
        <v>1.01</v>
      </c>
      <c r="E24" s="149">
        <f>AVERAGE(1,3.2)</f>
        <v>2.1</v>
      </c>
    </row>
    <row r="25" spans="1:11">
      <c r="A25" s="21" t="s">
        <v>307</v>
      </c>
      <c r="B25" s="149">
        <v>300</v>
      </c>
      <c r="C25" s="149">
        <v>0.69</v>
      </c>
      <c r="D25" s="149">
        <v>1.41</v>
      </c>
      <c r="E25" s="149">
        <f>AVERAGE(2.8,3.4)</f>
        <v>3.0999999999999996</v>
      </c>
    </row>
    <row r="26" spans="1:11">
      <c r="A26" s="21" t="s">
        <v>308</v>
      </c>
      <c r="B26" s="149">
        <v>220</v>
      </c>
      <c r="C26" s="149">
        <v>0.69</v>
      </c>
      <c r="D26" s="149">
        <v>2.54</v>
      </c>
      <c r="E26" s="149">
        <v>72</v>
      </c>
    </row>
    <row r="27" spans="1:11">
      <c r="A27" s="21" t="s">
        <v>309</v>
      </c>
      <c r="B27" s="149">
        <v>257</v>
      </c>
      <c r="C27" s="149">
        <v>0.72</v>
      </c>
      <c r="D27" s="149">
        <v>1.1399999999999999</v>
      </c>
      <c r="E27" s="149">
        <v>2.7</v>
      </c>
    </row>
  </sheetData>
  <mergeCells count="1">
    <mergeCell ref="B1:C1"/>
  </mergeCells>
  <pageMargins left="0.7" right="0.7" top="0.75" bottom="0.75" header="0.3" footer="0.3"/>
  <pageSetup paperSize="9" scale="75" fitToHeight="0" orientation="landscape"/>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249977111117893"/>
    <pageSetUpPr fitToPage="1"/>
  </sheetPr>
  <dimension ref="A1:J33"/>
  <sheetViews>
    <sheetView workbookViewId="0">
      <selection activeCell="B13" sqref="B13"/>
    </sheetView>
  </sheetViews>
  <sheetFormatPr defaultColWidth="9" defaultRowHeight="14.5"/>
  <cols>
    <col min="1" max="1" width="21.26953125" style="352" customWidth="1"/>
    <col min="2" max="2" width="17.90625" style="352" customWidth="1"/>
    <col min="4" max="4" width="10.81640625" style="352" customWidth="1"/>
    <col min="5" max="5" width="19.1796875" style="352" customWidth="1"/>
    <col min="6" max="6" width="17.36328125" style="352" customWidth="1"/>
    <col min="7" max="7" width="11.453125" style="352" customWidth="1"/>
    <col min="8" max="8" width="11.81640625" style="352" customWidth="1"/>
  </cols>
  <sheetData>
    <row r="1" spans="1:8">
      <c r="A1" s="364" t="s">
        <v>310</v>
      </c>
      <c r="B1" s="364" t="s">
        <v>114</v>
      </c>
      <c r="C1" s="364" t="s">
        <v>311</v>
      </c>
      <c r="E1" s="523" t="s">
        <v>312</v>
      </c>
      <c r="F1" s="461"/>
    </row>
    <row r="2" spans="1:8" ht="14.5" customHeight="1">
      <c r="A2" s="21" t="s">
        <v>115</v>
      </c>
      <c r="B2" s="149">
        <f>IF('INJ. MOULDING ESTIMATION'!C9=TRUE,'INJ. MOULDING ESTIMATION'!C6,'INJ. MOULDING ESTIMATION'!C7)</f>
        <v>160</v>
      </c>
      <c r="C2" s="21" t="s">
        <v>223</v>
      </c>
      <c r="E2" s="448"/>
      <c r="F2" s="450"/>
    </row>
    <row r="3" spans="1:8">
      <c r="A3" s="21" t="s">
        <v>226</v>
      </c>
      <c r="B3" s="149">
        <f>IF('INJ. MOULDING ESTIMATION'!C9=TRUE,'INJ. MOULDING ESTIMATION'!C7,'INJ. MOULDING ESTIMATION'!C6)</f>
        <v>218</v>
      </c>
      <c r="C3" s="21" t="s">
        <v>223</v>
      </c>
      <c r="E3" s="150" t="s">
        <v>115</v>
      </c>
      <c r="F3" s="109">
        <f>VLOOKUP(F6,E12:F16,2,FALSE)+50</f>
        <v>449.43502458835189</v>
      </c>
    </row>
    <row r="4" spans="1:8">
      <c r="A4" s="21" t="s">
        <v>117</v>
      </c>
      <c r="B4" s="149">
        <f>'INJ. MOULDING ESTIMATION'!C8</f>
        <v>65</v>
      </c>
      <c r="C4" s="21" t="s">
        <v>223</v>
      </c>
      <c r="E4" s="150" t="s">
        <v>313</v>
      </c>
      <c r="F4" s="109">
        <f>VLOOKUP(F6,E12:G16,3,FALSE)+50</f>
        <v>507.43502458835189</v>
      </c>
    </row>
    <row r="5" spans="1:8">
      <c r="A5" s="21" t="s">
        <v>314</v>
      </c>
      <c r="B5" s="149">
        <f>B2*B3*B4</f>
        <v>2267200</v>
      </c>
      <c r="C5" s="21" t="s">
        <v>315</v>
      </c>
      <c r="E5" s="150" t="s">
        <v>316</v>
      </c>
      <c r="F5" s="109">
        <f>VLOOKUP($F$6,$E$12:$H$16,4,FALSE)</f>
        <v>471.80411830750211</v>
      </c>
    </row>
    <row r="6" spans="1:8">
      <c r="A6" s="21" t="s">
        <v>317</v>
      </c>
      <c r="B6" s="149">
        <f>'INJ. MOULDING ESTIMATION'!C17/100</f>
        <v>0.8</v>
      </c>
      <c r="C6" s="21"/>
      <c r="E6" s="150" t="s">
        <v>318</v>
      </c>
      <c r="F6" s="111">
        <f>B10</f>
        <v>1</v>
      </c>
    </row>
    <row r="7" spans="1:8">
      <c r="A7" s="21" t="s">
        <v>319</v>
      </c>
      <c r="B7" s="149">
        <f>B6*B2*B3</f>
        <v>27904</v>
      </c>
      <c r="C7" s="21" t="s">
        <v>320</v>
      </c>
      <c r="E7" s="150" t="s">
        <v>321</v>
      </c>
      <c r="F7" s="111">
        <v>50</v>
      </c>
    </row>
    <row r="8" spans="1:8">
      <c r="A8" s="314" t="s">
        <v>322</v>
      </c>
      <c r="B8">
        <f>2*((B2*B3)/2+B3*B4+B2*B4)</f>
        <v>84020</v>
      </c>
      <c r="C8" s="21"/>
      <c r="E8" s="150"/>
      <c r="F8" s="111"/>
    </row>
    <row r="9" spans="1:8">
      <c r="A9" s="21" t="s">
        <v>323</v>
      </c>
      <c r="B9" s="149" t="str">
        <f>'INJ. MOULDING ESTIMATION'!C12</f>
        <v>ABS</v>
      </c>
      <c r="C9" s="21"/>
      <c r="E9" s="150" t="s">
        <v>324</v>
      </c>
      <c r="F9" s="151">
        <f>F3*F4*F5</f>
        <v>107599209.74218813</v>
      </c>
    </row>
    <row r="10" spans="1:8">
      <c r="A10" s="21" t="s">
        <v>325</v>
      </c>
      <c r="B10" s="152">
        <f>'INJ. MOULDING ESTIMATION'!C14</f>
        <v>1</v>
      </c>
      <c r="C10" s="21"/>
    </row>
    <row r="11" spans="1:8">
      <c r="A11" s="21" t="s">
        <v>326</v>
      </c>
      <c r="B11" s="149">
        <f>'INJ. MOULDING ESTIMATION'!C20</f>
        <v>20000</v>
      </c>
      <c r="C11" s="21"/>
      <c r="E11" s="153" t="s">
        <v>318</v>
      </c>
      <c r="F11" s="154" t="s">
        <v>115</v>
      </c>
      <c r="G11" s="154" t="s">
        <v>226</v>
      </c>
      <c r="H11" s="154" t="s">
        <v>117</v>
      </c>
    </row>
    <row r="12" spans="1:8">
      <c r="A12" s="21" t="s">
        <v>327</v>
      </c>
      <c r="B12" s="155">
        <f>'No of Cavity'!B6</f>
        <v>19.399999999999999</v>
      </c>
      <c r="C12" s="21" t="s">
        <v>328</v>
      </c>
      <c r="E12" s="154">
        <v>1</v>
      </c>
      <c r="F12" s="156">
        <f>'Mould Layout'!B$28</f>
        <v>399.43502458835189</v>
      </c>
      <c r="G12" s="156">
        <f>'Mould Layout'!B$30</f>
        <v>457.43502458835189</v>
      </c>
      <c r="H12" s="156">
        <f>'Mould Layout'!B$32</f>
        <v>471.80411830750211</v>
      </c>
    </row>
    <row r="13" spans="1:8">
      <c r="A13" s="21" t="s">
        <v>240</v>
      </c>
      <c r="B13" s="149">
        <f>VLOOKUP(B9,Table11[],3,FALSE)*1000</f>
        <v>400</v>
      </c>
      <c r="C13" s="21"/>
      <c r="E13" s="154">
        <v>2</v>
      </c>
      <c r="F13" s="156">
        <f>'Mould Layout'!C$28</f>
        <v>609.43502458835189</v>
      </c>
      <c r="G13" s="156">
        <f>'Mould Layout'!C$30</f>
        <v>457.43502458835189</v>
      </c>
      <c r="H13" s="156">
        <f>'Mould Layout'!C$32</f>
        <v>471.80411830750211</v>
      </c>
    </row>
    <row r="14" spans="1:8">
      <c r="A14" s="21" t="s">
        <v>233</v>
      </c>
      <c r="B14" s="149">
        <f>'INJ. MOULDING ESTIMATION'!C10</f>
        <v>2</v>
      </c>
      <c r="C14" s="21" t="s">
        <v>223</v>
      </c>
      <c r="E14" s="154">
        <v>4</v>
      </c>
      <c r="F14" s="156">
        <f>'Mould Layout'!D$28</f>
        <v>609.43502458835189</v>
      </c>
      <c r="G14" s="156">
        <f>'Mould Layout'!D$30</f>
        <v>725.43502458835189</v>
      </c>
      <c r="H14" s="156">
        <f>'Mould Layout'!D$32</f>
        <v>471.80411830750211</v>
      </c>
    </row>
    <row r="15" spans="1:8">
      <c r="A15" s="21" t="s">
        <v>329</v>
      </c>
      <c r="B15" s="149">
        <f>'INJ. MOULDING ESTIMATION'!C11</f>
        <v>3</v>
      </c>
      <c r="C15" s="21" t="s">
        <v>223</v>
      </c>
      <c r="E15" s="154">
        <v>6</v>
      </c>
      <c r="F15" s="156">
        <f>'Mould Layout'!E$28</f>
        <v>609.43502458835189</v>
      </c>
      <c r="G15" s="156">
        <f>'Mould Layout'!E$30</f>
        <v>993.43502458835189</v>
      </c>
      <c r="H15" s="156">
        <f>'Mould Layout'!E$32</f>
        <v>471.80411830750211</v>
      </c>
    </row>
    <row r="16" spans="1:8">
      <c r="A16" s="21" t="s">
        <v>330</v>
      </c>
      <c r="B16" s="157">
        <f>'INJ. MOULDING ESTIMATION'!C19</f>
        <v>1000</v>
      </c>
      <c r="C16" s="21"/>
      <c r="E16" s="154">
        <v>8</v>
      </c>
      <c r="F16" s="156">
        <f>'Mould Layout'!F$28</f>
        <v>1029.4350245883518</v>
      </c>
      <c r="G16" s="156">
        <f>'Mould Layout'!F30</f>
        <v>725.43502458835189</v>
      </c>
      <c r="H16" s="156">
        <f>'Mould Layout'!F$32</f>
        <v>471.80411830750211</v>
      </c>
    </row>
    <row r="17" spans="1:10">
      <c r="A17" s="286" t="s">
        <v>331</v>
      </c>
      <c r="B17" s="149"/>
      <c r="C17" s="21"/>
    </row>
    <row r="18" spans="1:10">
      <c r="A18" s="158" t="s">
        <v>332</v>
      </c>
      <c r="B18" s="159" t="s">
        <v>333</v>
      </c>
      <c r="D18">
        <f>B23</f>
        <v>1756272.011745689</v>
      </c>
      <c r="E18" t="s">
        <v>230</v>
      </c>
    </row>
    <row r="19" spans="1:10">
      <c r="A19" s="337" t="s">
        <v>334</v>
      </c>
      <c r="B19" s="51">
        <f>'Mould Costing'!L100</f>
        <v>1388595.3644212445</v>
      </c>
      <c r="D19">
        <f>D18/B11</f>
        <v>87.813600587284455</v>
      </c>
      <c r="E19" t="s">
        <v>250</v>
      </c>
      <c r="G19" t="s">
        <v>335</v>
      </c>
      <c r="I19">
        <f>0.9*8</f>
        <v>7.2</v>
      </c>
    </row>
    <row r="20" spans="1:10">
      <c r="A20" s="337" t="s">
        <v>336</v>
      </c>
      <c r="B20" s="87">
        <f>'Part Cost'!B15</f>
        <v>367676.64732444444</v>
      </c>
      <c r="D20">
        <f>D18/B28</f>
        <v>87813.600587284454</v>
      </c>
      <c r="E20" t="s">
        <v>337</v>
      </c>
      <c r="G20" t="s">
        <v>338</v>
      </c>
      <c r="I20">
        <f>B12/3600</f>
        <v>5.3888888888888884E-3</v>
      </c>
    </row>
    <row r="21" spans="1:10">
      <c r="A21" s="260" t="s">
        <v>258</v>
      </c>
      <c r="B21" s="87">
        <f>B11</f>
        <v>20000</v>
      </c>
      <c r="D21" s="23">
        <f>8*3600/B12*0.9</f>
        <v>1336.0824742268044</v>
      </c>
      <c r="E21" t="s">
        <v>339</v>
      </c>
      <c r="G21" t="s">
        <v>340</v>
      </c>
      <c r="I21">
        <f>I19/I20</f>
        <v>1336.0824742268044</v>
      </c>
    </row>
    <row r="22" spans="1:10">
      <c r="A22" s="337"/>
      <c r="B22" s="87"/>
      <c r="D22" s="23">
        <f>D21*B28/B10</f>
        <v>26721.649484536087</v>
      </c>
      <c r="E22" t="s">
        <v>341</v>
      </c>
      <c r="G22" t="s">
        <v>342</v>
      </c>
      <c r="I22">
        <f>10%*I21</f>
        <v>133.60824742268045</v>
      </c>
    </row>
    <row r="23" spans="1:10" ht="23.5" customHeight="1">
      <c r="A23" s="160" t="s">
        <v>343</v>
      </c>
      <c r="B23" s="161">
        <f>SUM(B19,B20)</f>
        <v>1756272.011745689</v>
      </c>
      <c r="G23" t="s">
        <v>344</v>
      </c>
      <c r="I23">
        <f>I21-I22</f>
        <v>1202.4742268041239</v>
      </c>
      <c r="J23" t="s">
        <v>345</v>
      </c>
    </row>
    <row r="24" spans="1:10">
      <c r="G24" t="s">
        <v>346</v>
      </c>
      <c r="I24">
        <f>I23*B10*'No of Cavity'!B10</f>
        <v>1202.4742268041239</v>
      </c>
      <c r="J24">
        <f>I24/(8*3600)</f>
        <v>4.1752577319587633E-2</v>
      </c>
    </row>
    <row r="28" spans="1:10">
      <c r="A28" s="162" t="s">
        <v>347</v>
      </c>
      <c r="B28" s="163">
        <f>B21/B16</f>
        <v>20</v>
      </c>
      <c r="E28" t="s">
        <v>348</v>
      </c>
      <c r="F28">
        <f>5%*D25</f>
        <v>0</v>
      </c>
    </row>
    <row r="29" spans="1:10">
      <c r="A29" s="162"/>
      <c r="B29" s="163"/>
      <c r="E29" t="s">
        <v>349</v>
      </c>
      <c r="F29">
        <f>F28*B21</f>
        <v>0</v>
      </c>
    </row>
    <row r="30" spans="1:10">
      <c r="A30" s="162"/>
      <c r="B30" s="163"/>
      <c r="E30" t="s">
        <v>350</v>
      </c>
      <c r="F30">
        <f>F29/B28</f>
        <v>0</v>
      </c>
    </row>
    <row r="31" spans="1:10">
      <c r="A31" s="162"/>
      <c r="B31" s="163"/>
    </row>
    <row r="32" spans="1:10">
      <c r="A32" s="162"/>
      <c r="B32" s="163"/>
    </row>
    <row r="33" spans="1:2">
      <c r="A33" s="164"/>
      <c r="B33" s="163"/>
    </row>
  </sheetData>
  <mergeCells count="1">
    <mergeCell ref="E1:F2"/>
  </mergeCells>
  <pageMargins left="0.7" right="0.7" top="0.75" bottom="0.75" header="0.3" footer="0.3"/>
  <pageSetup paperSize="9" scale="80" fitToHeight="0"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M29"/>
  <sheetViews>
    <sheetView showGridLines="0" zoomScale="49" zoomScaleNormal="49" workbookViewId="0">
      <selection activeCell="K3" sqref="K3"/>
    </sheetView>
  </sheetViews>
  <sheetFormatPr defaultColWidth="9" defaultRowHeight="20.149999999999999" customHeight="1"/>
  <cols>
    <col min="1" max="1" width="46.7265625" style="352" customWidth="1"/>
    <col min="2" max="2" width="25.81640625" style="364" customWidth="1"/>
    <col min="5" max="5" width="11.54296875" style="63" customWidth="1"/>
    <col min="6" max="6" width="12.26953125" style="63" customWidth="1"/>
    <col min="7" max="7" width="29.81640625" style="63" customWidth="1"/>
    <col min="8" max="9" width="8.81640625" style="352" customWidth="1"/>
    <col min="10" max="10" width="13.453125" style="352" customWidth="1"/>
    <col min="11" max="13" width="9.453125" style="352" customWidth="1"/>
  </cols>
  <sheetData>
    <row r="1" spans="1:11" ht="20.149999999999999" customHeight="1">
      <c r="A1" s="527" t="s">
        <v>351</v>
      </c>
      <c r="B1" s="435"/>
      <c r="C1" s="423"/>
      <c r="E1" s="132" t="s">
        <v>244</v>
      </c>
      <c r="G1" s="501" t="s">
        <v>352</v>
      </c>
      <c r="H1" s="435"/>
      <c r="I1" s="423"/>
      <c r="J1" s="266" t="s">
        <v>353</v>
      </c>
    </row>
    <row r="2" spans="1:11" s="21" customFormat="1" ht="20.149999999999999" customHeight="1">
      <c r="A2" s="362"/>
      <c r="B2" s="362" t="s">
        <v>354</v>
      </c>
      <c r="C2" s="362" t="s">
        <v>220</v>
      </c>
      <c r="E2" s="133">
        <v>1</v>
      </c>
      <c r="G2" s="524" t="s">
        <v>355</v>
      </c>
      <c r="H2" s="435"/>
      <c r="I2" s="423"/>
      <c r="J2" s="148">
        <v>3</v>
      </c>
    </row>
    <row r="3" spans="1:11" ht="20.149999999999999" customHeight="1">
      <c r="A3" s="266" t="s">
        <v>356</v>
      </c>
      <c r="B3" s="134">
        <f>'Input-Output'!B16</f>
        <v>1000</v>
      </c>
      <c r="C3" s="110" t="s">
        <v>357</v>
      </c>
      <c r="E3" s="133">
        <v>2</v>
      </c>
      <c r="G3" s="524" t="s">
        <v>358</v>
      </c>
      <c r="H3" s="435"/>
      <c r="I3" s="423"/>
      <c r="J3" s="71">
        <f>INDEX(F11:K19,MATCH('Input-Output'!B9,E11:E19,1),MATCH('Input-Output'!B14,F10:K10,1))*1.2</f>
        <v>8.4</v>
      </c>
    </row>
    <row r="4" spans="1:11" ht="20.149999999999999" customHeight="1">
      <c r="A4" s="266" t="s">
        <v>359</v>
      </c>
      <c r="B4" s="135">
        <v>0.9</v>
      </c>
      <c r="C4" s="110"/>
      <c r="E4" s="133">
        <v>4</v>
      </c>
      <c r="G4" s="524" t="s">
        <v>360</v>
      </c>
      <c r="H4" s="435"/>
      <c r="I4" s="423"/>
      <c r="J4" s="266">
        <v>5</v>
      </c>
    </row>
    <row r="5" spans="1:11" ht="20.149999999999999" customHeight="1">
      <c r="A5" s="266" t="s">
        <v>361</v>
      </c>
      <c r="B5" s="135">
        <v>0.02</v>
      </c>
      <c r="C5" s="110"/>
      <c r="E5" s="133">
        <v>6</v>
      </c>
      <c r="G5" s="524" t="s">
        <v>362</v>
      </c>
      <c r="H5" s="435"/>
      <c r="I5" s="423"/>
      <c r="J5" s="266">
        <v>3</v>
      </c>
    </row>
    <row r="6" spans="1:11" ht="20.149999999999999" customHeight="1">
      <c r="A6" s="266" t="s">
        <v>363</v>
      </c>
      <c r="B6" s="136">
        <f>J6</f>
        <v>19.399999999999999</v>
      </c>
      <c r="C6" s="110" t="s">
        <v>364</v>
      </c>
      <c r="E6" s="133">
        <v>8</v>
      </c>
      <c r="G6" s="528" t="s">
        <v>365</v>
      </c>
      <c r="H6" s="435"/>
      <c r="I6" s="423"/>
      <c r="J6" s="5">
        <f>SUM(J2:J5)</f>
        <v>19.399999999999999</v>
      </c>
    </row>
    <row r="7" spans="1:11" ht="20.149999999999999" customHeight="1">
      <c r="A7" s="266" t="s">
        <v>363</v>
      </c>
      <c r="B7" s="137">
        <f>B6/3600</f>
        <v>5.3888888888888884E-3</v>
      </c>
      <c r="C7" s="110" t="s">
        <v>366</v>
      </c>
      <c r="G7" s="63" t="s">
        <v>367</v>
      </c>
      <c r="H7">
        <f>ROUNDUP('Input-Output'!B14,0)</f>
        <v>2</v>
      </c>
    </row>
    <row r="8" spans="1:11" ht="20.149999999999999" customHeight="1">
      <c r="A8" s="266" t="s">
        <v>368</v>
      </c>
      <c r="B8" s="136">
        <f>0.9*8</f>
        <v>7.2</v>
      </c>
      <c r="C8" s="110" t="s">
        <v>366</v>
      </c>
      <c r="E8" s="526" t="s">
        <v>369</v>
      </c>
      <c r="F8" s="435"/>
      <c r="G8" s="435"/>
      <c r="H8" s="435"/>
      <c r="I8" s="435"/>
      <c r="J8" s="435"/>
      <c r="K8" s="423"/>
    </row>
    <row r="9" spans="1:11" ht="20.149999999999999" customHeight="1">
      <c r="A9" s="266" t="s">
        <v>370</v>
      </c>
      <c r="B9" s="136">
        <v>1</v>
      </c>
      <c r="C9" s="110"/>
      <c r="E9" s="525" t="s">
        <v>120</v>
      </c>
      <c r="F9" s="339" t="s">
        <v>371</v>
      </c>
      <c r="G9" s="339" t="s">
        <v>223</v>
      </c>
      <c r="H9" s="339" t="s">
        <v>223</v>
      </c>
      <c r="I9" s="339" t="s">
        <v>223</v>
      </c>
      <c r="J9" s="339" t="s">
        <v>223</v>
      </c>
      <c r="K9" s="339" t="s">
        <v>223</v>
      </c>
    </row>
    <row r="10" spans="1:11" ht="20.149999999999999" customHeight="1">
      <c r="A10" s="266" t="s">
        <v>255</v>
      </c>
      <c r="B10" s="136">
        <f>'INJ. MOULDING ESTIMATION'!C18</f>
        <v>1</v>
      </c>
      <c r="C10" s="110"/>
      <c r="E10" s="427"/>
      <c r="F10" s="361">
        <v>1</v>
      </c>
      <c r="G10" s="361">
        <v>2</v>
      </c>
      <c r="H10" s="361">
        <v>3</v>
      </c>
      <c r="I10" s="361">
        <v>4</v>
      </c>
      <c r="J10" s="361">
        <v>5</v>
      </c>
      <c r="K10" s="361">
        <v>6</v>
      </c>
    </row>
    <row r="11" spans="1:11" ht="20.149999999999999" customHeight="1">
      <c r="A11" s="266" t="s">
        <v>372</v>
      </c>
      <c r="B11" s="138">
        <f>B3/B4</f>
        <v>1111.1111111111111</v>
      </c>
      <c r="C11" s="110"/>
      <c r="E11" s="139" t="s">
        <v>237</v>
      </c>
      <c r="F11" s="140">
        <v>1.8</v>
      </c>
      <c r="G11" s="140">
        <v>7</v>
      </c>
      <c r="H11" s="140">
        <v>15.8</v>
      </c>
      <c r="I11" s="140">
        <v>28.4</v>
      </c>
      <c r="J11" s="140">
        <v>44.4</v>
      </c>
      <c r="K11" s="140">
        <v>63.4</v>
      </c>
    </row>
    <row r="12" spans="1:11" ht="20.149999999999999" customHeight="1">
      <c r="A12" s="266" t="s">
        <v>373</v>
      </c>
      <c r="B12" s="138">
        <f>B11+(B11*B5)</f>
        <v>1133.3333333333333</v>
      </c>
      <c r="C12" s="110"/>
      <c r="E12" s="139" t="s">
        <v>303</v>
      </c>
      <c r="F12" s="140">
        <v>1.3</v>
      </c>
      <c r="G12" s="140">
        <v>5.4</v>
      </c>
      <c r="H12" s="140">
        <v>12.1</v>
      </c>
      <c r="I12" s="140">
        <v>21.4</v>
      </c>
      <c r="J12" s="140">
        <v>33.5</v>
      </c>
      <c r="K12" s="140">
        <v>48.4</v>
      </c>
    </row>
    <row r="13" spans="1:11" ht="20.149999999999999" customHeight="1">
      <c r="A13" s="266" t="s">
        <v>374</v>
      </c>
      <c r="B13" s="136">
        <f>ROUNDUP(B12,0)</f>
        <v>1134</v>
      </c>
      <c r="C13" s="110"/>
      <c r="E13" s="139" t="s">
        <v>304</v>
      </c>
      <c r="F13" s="140">
        <v>3.2</v>
      </c>
      <c r="G13" s="140">
        <v>12.6</v>
      </c>
      <c r="H13" s="140">
        <v>28.4</v>
      </c>
      <c r="I13" s="140">
        <v>50.1</v>
      </c>
      <c r="J13" s="140">
        <v>79</v>
      </c>
      <c r="K13" s="140">
        <v>114</v>
      </c>
    </row>
    <row r="14" spans="1:11" ht="20.149999999999999" customHeight="1">
      <c r="A14" s="266" t="s">
        <v>375</v>
      </c>
      <c r="B14" s="137">
        <f>B7*B13</f>
        <v>6.1109999999999998</v>
      </c>
      <c r="C14" s="110" t="s">
        <v>366</v>
      </c>
      <c r="E14" s="139" t="s">
        <v>306</v>
      </c>
      <c r="F14" s="140">
        <v>1.6</v>
      </c>
      <c r="G14" s="140">
        <v>6.4</v>
      </c>
      <c r="H14" s="140">
        <v>14.4</v>
      </c>
      <c r="I14" s="140">
        <v>25.6</v>
      </c>
      <c r="J14" s="140">
        <v>40</v>
      </c>
      <c r="K14" s="140">
        <v>57.6</v>
      </c>
    </row>
    <row r="15" spans="1:11" ht="20.149999999999999" customHeight="1">
      <c r="A15" s="266" t="s">
        <v>376</v>
      </c>
      <c r="B15" s="120">
        <f>B10*B9*B8</f>
        <v>7.2</v>
      </c>
      <c r="C15" s="110" t="s">
        <v>366</v>
      </c>
      <c r="E15" s="139" t="s">
        <v>377</v>
      </c>
      <c r="F15" s="140">
        <v>2.1</v>
      </c>
      <c r="G15" s="140">
        <v>8.1999999999999993</v>
      </c>
      <c r="H15" s="140">
        <v>18.5</v>
      </c>
      <c r="I15" s="140">
        <v>32.799999999999997</v>
      </c>
      <c r="J15" s="140">
        <v>51.5</v>
      </c>
      <c r="K15" s="140">
        <v>74.2</v>
      </c>
    </row>
    <row r="16" spans="1:11" ht="20.149999999999999" customHeight="1">
      <c r="A16" s="266" t="s">
        <v>378</v>
      </c>
      <c r="B16" s="137">
        <f>B14/B15</f>
        <v>0.84874999999999989</v>
      </c>
      <c r="C16" s="110"/>
      <c r="E16" s="139" t="s">
        <v>307</v>
      </c>
      <c r="F16" s="140">
        <v>1.9</v>
      </c>
      <c r="G16" s="140">
        <v>7.7</v>
      </c>
      <c r="H16" s="140">
        <v>17.3</v>
      </c>
      <c r="I16" s="140">
        <v>30.7</v>
      </c>
      <c r="J16" s="140">
        <v>48</v>
      </c>
      <c r="K16" s="140">
        <v>69.2</v>
      </c>
    </row>
    <row r="17" spans="1:11" ht="20.149999999999999" customHeight="1">
      <c r="A17" s="266" t="s">
        <v>379</v>
      </c>
      <c r="B17" s="141">
        <f>IF(B16&lt;1,1,IF(B16&lt;2,2,IF(B16&lt;4,4,IF(B16&lt;6,6,IF(B16&gt;6,8)))))</f>
        <v>1</v>
      </c>
      <c r="C17" s="142"/>
      <c r="E17" s="139" t="s">
        <v>305</v>
      </c>
      <c r="F17" s="140">
        <v>2.5</v>
      </c>
      <c r="G17" s="140">
        <v>9.9</v>
      </c>
      <c r="H17" s="140">
        <v>22.3</v>
      </c>
      <c r="I17" s="140">
        <v>39.5</v>
      </c>
      <c r="J17" s="140">
        <v>61.8</v>
      </c>
      <c r="K17" s="140">
        <v>88.9</v>
      </c>
    </row>
    <row r="18" spans="1:11" ht="20.149999999999999" customHeight="1">
      <c r="A18" s="80" t="s">
        <v>380</v>
      </c>
      <c r="B18" s="143">
        <f>IF('Input-Output'!B2&lt;100,8,IF('Input-Output'!B2&lt;300,6,IF('Input-Output'!B2&lt;400,4,IF('Input-Output'!B2&lt;500,2,IF('Input-Output'!B2&gt;=500,1)))))</f>
        <v>6</v>
      </c>
      <c r="C18" s="110"/>
      <c r="E18" s="139" t="s">
        <v>309</v>
      </c>
      <c r="F18" s="417">
        <v>1.925</v>
      </c>
      <c r="G18" s="417">
        <v>7.4</v>
      </c>
      <c r="H18" s="417">
        <v>16.475000000000001</v>
      </c>
      <c r="I18" s="417">
        <v>29.0625</v>
      </c>
      <c r="J18" s="417">
        <v>45.4</v>
      </c>
      <c r="K18" s="417">
        <v>65.212500000000006</v>
      </c>
    </row>
    <row r="19" spans="1:11" ht="20.149999999999999" customHeight="1">
      <c r="A19" s="266" t="s">
        <v>244</v>
      </c>
      <c r="B19" s="144">
        <f>MIN(B18,B17)</f>
        <v>1</v>
      </c>
      <c r="C19" s="110"/>
      <c r="E19" s="139" t="s">
        <v>308</v>
      </c>
      <c r="F19" s="417">
        <v>2.0406249999999999</v>
      </c>
      <c r="G19" s="417">
        <v>8.0749999999999993</v>
      </c>
      <c r="H19" s="417">
        <v>18.159375000000001</v>
      </c>
      <c r="I19" s="417">
        <v>32.1953125</v>
      </c>
      <c r="J19" s="417">
        <v>50.45</v>
      </c>
      <c r="K19" s="417">
        <v>72.614062500000003</v>
      </c>
    </row>
    <row r="21" spans="1:11" ht="20.149999999999999" customHeight="1">
      <c r="A21" s="145" t="s">
        <v>115</v>
      </c>
      <c r="B21" s="145" t="s">
        <v>381</v>
      </c>
      <c r="C21" s="145" t="s">
        <v>382</v>
      </c>
      <c r="D21" s="145" t="s">
        <v>383</v>
      </c>
      <c r="E21" s="145" t="s">
        <v>384</v>
      </c>
      <c r="F21" s="145" t="s">
        <v>385</v>
      </c>
    </row>
    <row r="22" spans="1:11" ht="20.149999999999999" customHeight="1">
      <c r="A22" s="145" t="s">
        <v>386</v>
      </c>
      <c r="B22" s="145" t="s">
        <v>387</v>
      </c>
      <c r="C22" s="145"/>
      <c r="D22" s="145"/>
      <c r="E22" s="145"/>
      <c r="F22" s="145"/>
    </row>
    <row r="23" spans="1:11" ht="20.149999999999999" customHeight="1">
      <c r="A23" s="146">
        <v>700</v>
      </c>
      <c r="B23" s="147">
        <v>976</v>
      </c>
      <c r="C23" s="147"/>
      <c r="D23" s="147"/>
      <c r="E23" s="147"/>
      <c r="F23" s="147"/>
    </row>
    <row r="24" spans="1:11" ht="20.149999999999999" customHeight="1">
      <c r="A24" s="147">
        <v>600</v>
      </c>
      <c r="B24" s="147">
        <v>849</v>
      </c>
      <c r="C24" s="147"/>
      <c r="D24" s="147"/>
      <c r="E24" s="147"/>
      <c r="F24" s="147"/>
    </row>
    <row r="25" spans="1:11" ht="20.149999999999999" customHeight="1">
      <c r="A25" s="147">
        <v>500</v>
      </c>
      <c r="B25" s="147">
        <v>722</v>
      </c>
      <c r="C25" s="147"/>
      <c r="D25" s="147"/>
      <c r="E25" s="147"/>
      <c r="F25" s="147"/>
    </row>
    <row r="26" spans="1:11" ht="20.149999999999999" customHeight="1">
      <c r="A26" s="147">
        <v>400</v>
      </c>
      <c r="B26" s="147">
        <v>594</v>
      </c>
      <c r="C26" s="147">
        <v>1153</v>
      </c>
      <c r="D26" s="147"/>
      <c r="E26" s="147"/>
      <c r="F26" s="147"/>
    </row>
    <row r="27" spans="1:11" ht="20.149999999999999" customHeight="1">
      <c r="A27" s="147">
        <v>300</v>
      </c>
      <c r="B27" s="147">
        <v>476</v>
      </c>
      <c r="C27" s="147">
        <v>899</v>
      </c>
      <c r="D27" s="147">
        <v>1029</v>
      </c>
      <c r="E27" s="147">
        <v>1159</v>
      </c>
      <c r="F27" s="147"/>
    </row>
    <row r="28" spans="1:11" ht="20.149999999999999" customHeight="1">
      <c r="A28" s="147">
        <v>200</v>
      </c>
      <c r="B28" s="147">
        <v>357</v>
      </c>
      <c r="C28" s="147">
        <v>644</v>
      </c>
      <c r="D28" s="147">
        <v>753</v>
      </c>
      <c r="E28" s="147">
        <v>845</v>
      </c>
      <c r="F28" s="147"/>
    </row>
    <row r="29" spans="1:11" ht="20.149999999999999" customHeight="1">
      <c r="A29" s="147">
        <v>100</v>
      </c>
      <c r="B29" s="147">
        <v>246</v>
      </c>
      <c r="C29" s="147">
        <v>422</v>
      </c>
      <c r="D29" s="147">
        <v>475</v>
      </c>
      <c r="E29" s="147">
        <v>528</v>
      </c>
      <c r="F29" s="147">
        <v>881</v>
      </c>
    </row>
  </sheetData>
  <mergeCells count="9">
    <mergeCell ref="G2:I2"/>
    <mergeCell ref="E9:E10"/>
    <mergeCell ref="E8:K8"/>
    <mergeCell ref="A1:C1"/>
    <mergeCell ref="G6:I6"/>
    <mergeCell ref="G5:I5"/>
    <mergeCell ref="G4:I4"/>
    <mergeCell ref="G3:I3"/>
    <mergeCell ref="G1:I1"/>
  </mergeCells>
  <conditionalFormatting sqref="B10">
    <cfRule type="expression" dxfId="112" priority="2">
      <formula>$B$16&gt;$B$18</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pageSetUpPr fitToPage="1"/>
  </sheetPr>
  <dimension ref="A1:J27"/>
  <sheetViews>
    <sheetView workbookViewId="0">
      <selection activeCell="B6" sqref="B6"/>
    </sheetView>
  </sheetViews>
  <sheetFormatPr defaultColWidth="9" defaultRowHeight="14.5"/>
  <cols>
    <col min="1" max="1" width="17.7265625" style="352" customWidth="1"/>
    <col min="2" max="2" width="17.453125" style="352" customWidth="1"/>
  </cols>
  <sheetData>
    <row r="1" spans="1:10">
      <c r="A1" t="s">
        <v>388</v>
      </c>
      <c r="B1" t="s">
        <v>389</v>
      </c>
    </row>
    <row r="2" spans="1:10">
      <c r="A2">
        <v>0.5</v>
      </c>
      <c r="B2" s="23">
        <v>0.7</v>
      </c>
    </row>
    <row r="3" spans="1:10">
      <c r="A3">
        <v>1</v>
      </c>
      <c r="B3" s="23">
        <v>1</v>
      </c>
    </row>
    <row r="4" spans="1:10">
      <c r="A4">
        <v>2</v>
      </c>
      <c r="B4" s="23">
        <v>1.43964313567828</v>
      </c>
    </row>
    <row r="5" spans="1:10">
      <c r="A5">
        <v>3</v>
      </c>
      <c r="B5" s="23">
        <v>1.8450750596794501</v>
      </c>
    </row>
    <row r="6" spans="1:10">
      <c r="A6">
        <v>4</v>
      </c>
      <c r="B6" s="23">
        <v>2.3069947754257498</v>
      </c>
    </row>
    <row r="7" spans="1:10">
      <c r="A7">
        <v>5</v>
      </c>
      <c r="B7" s="23">
        <v>2.7160873413908702</v>
      </c>
    </row>
    <row r="8" spans="1:10" ht="15" customHeight="1" thickBot="1"/>
    <row r="9" spans="1:10" ht="26" customHeight="1">
      <c r="A9" s="533" t="s">
        <v>390</v>
      </c>
      <c r="B9" s="534"/>
      <c r="C9" s="534"/>
      <c r="D9" s="534"/>
      <c r="E9" s="534"/>
      <c r="F9" s="534"/>
      <c r="G9" s="534"/>
      <c r="H9" s="534"/>
      <c r="I9" s="534"/>
      <c r="J9" s="535"/>
    </row>
    <row r="10" spans="1:10">
      <c r="A10" s="531" t="s">
        <v>391</v>
      </c>
      <c r="B10" s="435"/>
      <c r="C10" s="435"/>
      <c r="D10" s="435"/>
      <c r="E10" s="435"/>
      <c r="F10" s="435"/>
      <c r="G10" s="435"/>
      <c r="H10" s="435"/>
      <c r="I10" s="435"/>
      <c r="J10" s="532"/>
    </row>
    <row r="11" spans="1:10" ht="39" customHeight="1">
      <c r="A11" s="529" t="s">
        <v>392</v>
      </c>
      <c r="B11" s="449"/>
      <c r="C11" s="449"/>
      <c r="D11" s="449"/>
      <c r="E11" s="449"/>
      <c r="F11" s="449"/>
      <c r="G11" s="449"/>
      <c r="H11" s="449"/>
      <c r="I11" s="449"/>
      <c r="J11" s="530"/>
    </row>
    <row r="12" spans="1:10" ht="11" customHeight="1">
      <c r="A12" s="215"/>
      <c r="B12" s="214"/>
      <c r="C12" s="214"/>
      <c r="D12" s="214"/>
      <c r="E12" s="214"/>
      <c r="F12" s="214"/>
      <c r="G12" s="214"/>
      <c r="H12" s="214"/>
      <c r="I12" s="214"/>
      <c r="J12" s="216"/>
    </row>
    <row r="13" spans="1:10">
      <c r="A13" s="531" t="s">
        <v>393</v>
      </c>
      <c r="B13" s="435"/>
      <c r="C13" s="435"/>
      <c r="D13" s="435"/>
      <c r="E13" s="435"/>
      <c r="F13" s="435"/>
      <c r="G13" s="435"/>
      <c r="H13" s="435"/>
      <c r="I13" s="435"/>
      <c r="J13" s="532"/>
    </row>
    <row r="14" spans="1:10" ht="48" customHeight="1">
      <c r="A14" s="529" t="s">
        <v>394</v>
      </c>
      <c r="B14" s="449"/>
      <c r="C14" s="449"/>
      <c r="D14" s="449"/>
      <c r="E14" s="449"/>
      <c r="F14" s="449"/>
      <c r="G14" s="449"/>
      <c r="H14" s="449"/>
      <c r="I14" s="449"/>
      <c r="J14" s="530"/>
    </row>
    <row r="15" spans="1:10" ht="11.5" customHeight="1">
      <c r="A15" s="215"/>
      <c r="B15" s="214"/>
      <c r="C15" s="214"/>
      <c r="D15" s="214"/>
      <c r="E15" s="214"/>
      <c r="F15" s="214"/>
      <c r="G15" s="214"/>
      <c r="H15" s="214"/>
      <c r="I15" s="214"/>
      <c r="J15" s="216"/>
    </row>
    <row r="16" spans="1:10" ht="14" customHeight="1">
      <c r="A16" s="531" t="s">
        <v>395</v>
      </c>
      <c r="B16" s="435"/>
      <c r="C16" s="435"/>
      <c r="D16" s="435"/>
      <c r="E16" s="435"/>
      <c r="F16" s="435"/>
      <c r="G16" s="435"/>
      <c r="H16" s="435"/>
      <c r="I16" s="435"/>
      <c r="J16" s="532"/>
    </row>
    <row r="17" spans="1:10" ht="49.5" customHeight="1">
      <c r="A17" s="529" t="s">
        <v>396</v>
      </c>
      <c r="B17" s="449"/>
      <c r="C17" s="449"/>
      <c r="D17" s="449"/>
      <c r="E17" s="449"/>
      <c r="F17" s="449"/>
      <c r="G17" s="449"/>
      <c r="H17" s="449"/>
      <c r="I17" s="449"/>
      <c r="J17" s="530"/>
    </row>
    <row r="18" spans="1:10" ht="14.5" customHeight="1">
      <c r="A18" s="215"/>
      <c r="B18" s="214"/>
      <c r="C18" s="214"/>
      <c r="D18" s="214"/>
      <c r="E18" s="214"/>
      <c r="F18" s="214"/>
      <c r="G18" s="214"/>
      <c r="H18" s="214"/>
      <c r="I18" s="214"/>
      <c r="J18" s="216"/>
    </row>
    <row r="19" spans="1:10">
      <c r="A19" s="531" t="s">
        <v>397</v>
      </c>
      <c r="B19" s="435"/>
      <c r="C19" s="435"/>
      <c r="D19" s="435"/>
      <c r="E19" s="435"/>
      <c r="F19" s="435"/>
      <c r="G19" s="435"/>
      <c r="H19" s="435"/>
      <c r="I19" s="435"/>
      <c r="J19" s="532"/>
    </row>
    <row r="20" spans="1:10" ht="52" customHeight="1">
      <c r="A20" s="529" t="s">
        <v>398</v>
      </c>
      <c r="B20" s="449"/>
      <c r="C20" s="449"/>
      <c r="D20" s="449"/>
      <c r="E20" s="449"/>
      <c r="F20" s="449"/>
      <c r="G20" s="449"/>
      <c r="H20" s="449"/>
      <c r="I20" s="449"/>
      <c r="J20" s="530"/>
    </row>
    <row r="21" spans="1:10" ht="11" customHeight="1">
      <c r="A21" s="217"/>
      <c r="B21" s="218"/>
      <c r="C21" s="218"/>
      <c r="D21" s="218"/>
      <c r="E21" s="218"/>
      <c r="F21" s="218"/>
      <c r="G21" s="218"/>
      <c r="H21" s="218"/>
      <c r="I21" s="218"/>
      <c r="J21" s="219"/>
    </row>
    <row r="22" spans="1:10">
      <c r="A22" s="531" t="s">
        <v>399</v>
      </c>
      <c r="B22" s="435"/>
      <c r="C22" s="435"/>
      <c r="D22" s="435"/>
      <c r="E22" s="435"/>
      <c r="F22" s="435"/>
      <c r="G22" s="435"/>
      <c r="H22" s="435"/>
      <c r="I22" s="435"/>
      <c r="J22" s="532"/>
    </row>
    <row r="23" spans="1:10" ht="46" customHeight="1">
      <c r="A23" s="529" t="s">
        <v>400</v>
      </c>
      <c r="B23" s="449"/>
      <c r="C23" s="449"/>
      <c r="D23" s="449"/>
      <c r="E23" s="449"/>
      <c r="F23" s="449"/>
      <c r="G23" s="449"/>
      <c r="H23" s="449"/>
      <c r="I23" s="449"/>
      <c r="J23" s="530"/>
    </row>
    <row r="24" spans="1:10">
      <c r="A24" s="215"/>
      <c r="B24" s="214"/>
      <c r="C24" s="214"/>
      <c r="D24" s="214"/>
      <c r="E24" s="214"/>
      <c r="F24" s="214"/>
      <c r="G24" s="214"/>
      <c r="H24" s="214"/>
      <c r="I24" s="214"/>
      <c r="J24" s="216"/>
    </row>
    <row r="25" spans="1:10">
      <c r="A25" s="531" t="s">
        <v>401</v>
      </c>
      <c r="B25" s="435"/>
      <c r="C25" s="435"/>
      <c r="D25" s="435"/>
      <c r="E25" s="435"/>
      <c r="F25" s="435"/>
      <c r="G25" s="435"/>
      <c r="H25" s="435"/>
      <c r="I25" s="435"/>
      <c r="J25" s="532"/>
    </row>
    <row r="26" spans="1:10" ht="49.5" customHeight="1">
      <c r="A26" s="529" t="s">
        <v>402</v>
      </c>
      <c r="B26" s="449"/>
      <c r="C26" s="449"/>
      <c r="D26" s="449"/>
      <c r="E26" s="449"/>
      <c r="F26" s="449"/>
      <c r="G26" s="449"/>
      <c r="H26" s="449"/>
      <c r="I26" s="449"/>
      <c r="J26" s="530"/>
    </row>
    <row r="27" spans="1:10" ht="47" customHeight="1" thickBot="1">
      <c r="A27" s="536" t="s">
        <v>403</v>
      </c>
      <c r="B27" s="537"/>
      <c r="C27" s="537"/>
      <c r="D27" s="537"/>
      <c r="E27" s="537"/>
      <c r="F27" s="537"/>
      <c r="G27" s="537"/>
      <c r="H27" s="537"/>
      <c r="I27" s="537"/>
      <c r="J27" s="538"/>
    </row>
  </sheetData>
  <mergeCells count="14">
    <mergeCell ref="A27:J27"/>
    <mergeCell ref="A26:J26"/>
    <mergeCell ref="A20:J20"/>
    <mergeCell ref="A16:J16"/>
    <mergeCell ref="A13:J13"/>
    <mergeCell ref="A25:J25"/>
    <mergeCell ref="A19:J19"/>
    <mergeCell ref="A23:J23"/>
    <mergeCell ref="A14:J14"/>
    <mergeCell ref="A22:J22"/>
    <mergeCell ref="A17:J17"/>
    <mergeCell ref="A9:J9"/>
    <mergeCell ref="A10:J10"/>
    <mergeCell ref="A11:J11"/>
  </mergeCells>
  <pageMargins left="0.25" right="0.25" top="0.75" bottom="0.75" header="0.3" footer="0.3"/>
  <pageSetup paperSize="9" scale="92" orientation="portrait"/>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B2:M20"/>
  <sheetViews>
    <sheetView showGridLines="0" zoomScale="50" zoomScaleNormal="50" workbookViewId="0">
      <selection activeCell="C17" sqref="C17"/>
    </sheetView>
  </sheetViews>
  <sheetFormatPr defaultColWidth="9" defaultRowHeight="14.5"/>
  <cols>
    <col min="2" max="2" width="43.1796875" style="352" customWidth="1"/>
    <col min="3" max="3" width="40.81640625" style="352" customWidth="1"/>
  </cols>
  <sheetData>
    <row r="2" spans="2:13">
      <c r="B2" s="539" t="s">
        <v>404</v>
      </c>
      <c r="C2" s="478"/>
      <c r="D2" s="461"/>
      <c r="E2" s="126"/>
    </row>
    <row r="3" spans="2:13">
      <c r="B3" s="448"/>
      <c r="C3" s="449"/>
      <c r="D3" s="450"/>
      <c r="E3" s="126"/>
    </row>
    <row r="4" spans="2:13">
      <c r="B4" s="71" t="s">
        <v>405</v>
      </c>
      <c r="C4" s="71" t="s">
        <v>406</v>
      </c>
      <c r="D4" s="71"/>
      <c r="E4" s="63"/>
    </row>
    <row r="5" spans="2:13">
      <c r="B5" s="71"/>
      <c r="C5" s="418">
        <f>C16+1+1</f>
        <v>4.4717512294175936</v>
      </c>
      <c r="D5" s="71" t="s">
        <v>407</v>
      </c>
      <c r="E5" s="63"/>
    </row>
    <row r="6" spans="2:13">
      <c r="B6" s="71"/>
      <c r="C6" s="71"/>
      <c r="D6" s="71"/>
      <c r="E6" s="63"/>
    </row>
    <row r="7" spans="2:13">
      <c r="B7" s="540" t="s">
        <v>408</v>
      </c>
      <c r="C7" s="423"/>
      <c r="D7" s="71"/>
      <c r="E7" s="63"/>
    </row>
    <row r="8" spans="2:13" ht="26" customHeight="1">
      <c r="B8" s="71"/>
      <c r="C8" s="127" t="s">
        <v>409</v>
      </c>
      <c r="D8" s="266"/>
      <c r="F8" s="128" t="s">
        <v>410</v>
      </c>
    </row>
    <row r="9" spans="2:13">
      <c r="B9" s="71" t="s">
        <v>411</v>
      </c>
      <c r="C9" s="129">
        <f>(2/3*'Input-Output'!B2/10*'Input-Output'!B3/10*'Input-Output'!B10*'Input-Output'!B13*0.33)*'Input-Output'!B10</f>
        <v>30694.399999999994</v>
      </c>
      <c r="D9" s="71" t="s">
        <v>412</v>
      </c>
      <c r="E9" s="63"/>
    </row>
    <row r="10" spans="2:13" ht="26" customHeight="1">
      <c r="B10" s="71" t="s">
        <v>413</v>
      </c>
      <c r="C10" s="71"/>
      <c r="D10" s="71"/>
      <c r="E10" s="63"/>
      <c r="F10" s="32">
        <f>C5*10</f>
        <v>44.717512294175933</v>
      </c>
      <c r="H10" s="130" t="s">
        <v>410</v>
      </c>
      <c r="I10" s="32">
        <f>C17*10</f>
        <v>34.71751229417594</v>
      </c>
      <c r="L10" s="130" t="s">
        <v>410</v>
      </c>
      <c r="M10" s="32">
        <f>C16*10</f>
        <v>24.71751229417594</v>
      </c>
    </row>
    <row r="11" spans="2:13">
      <c r="B11" s="71" t="s">
        <v>414</v>
      </c>
      <c r="C11" s="71"/>
      <c r="D11" s="71"/>
      <c r="E11" s="63"/>
    </row>
    <row r="12" spans="2:13">
      <c r="B12" s="71" t="s">
        <v>415</v>
      </c>
      <c r="C12" s="71"/>
      <c r="D12" s="71"/>
      <c r="E12" s="63"/>
    </row>
    <row r="13" spans="2:13">
      <c r="B13" s="71"/>
      <c r="C13" s="71"/>
      <c r="D13" s="71"/>
      <c r="E13" s="63"/>
    </row>
    <row r="14" spans="2:13">
      <c r="B14" s="71" t="s">
        <v>416</v>
      </c>
      <c r="C14" s="71"/>
      <c r="D14" s="71"/>
      <c r="E14" s="63"/>
    </row>
    <row r="15" spans="2:13">
      <c r="B15" s="71"/>
      <c r="C15" s="127" t="s">
        <v>417</v>
      </c>
      <c r="D15" s="71"/>
      <c r="E15" s="63"/>
    </row>
    <row r="16" spans="2:13">
      <c r="B16" s="71"/>
      <c r="C16" s="418">
        <f>SQRT((4*C9)/(C19*C20*3.14))</f>
        <v>2.4717512294175941</v>
      </c>
      <c r="D16" s="71" t="s">
        <v>407</v>
      </c>
      <c r="E16" s="63"/>
    </row>
    <row r="17" spans="2:12">
      <c r="B17" s="71"/>
      <c r="C17" s="418">
        <f>C16+1</f>
        <v>3.4717512294175941</v>
      </c>
      <c r="D17" s="71"/>
      <c r="E17" s="63"/>
    </row>
    <row r="18" spans="2:12">
      <c r="B18" s="71" t="s">
        <v>418</v>
      </c>
      <c r="C18" s="71"/>
      <c r="D18" s="71"/>
      <c r="E18" s="63"/>
    </row>
    <row r="19" spans="2:12">
      <c r="B19" s="71" t="s">
        <v>419</v>
      </c>
      <c r="C19" s="131">
        <v>4</v>
      </c>
      <c r="D19" s="71"/>
      <c r="E19" s="63"/>
      <c r="H19" s="82">
        <f>'Mould Costing'!F15</f>
        <v>119.94064130158216</v>
      </c>
      <c r="L19" s="82">
        <f>'Mould Costing'!F14</f>
        <v>119.94064130158216</v>
      </c>
    </row>
    <row r="20" spans="2:12" ht="16.5" customHeight="1">
      <c r="B20" s="71" t="s">
        <v>420</v>
      </c>
      <c r="C20" s="131">
        <v>1600</v>
      </c>
      <c r="D20" s="71" t="s">
        <v>421</v>
      </c>
      <c r="E20" s="63"/>
    </row>
  </sheetData>
  <mergeCells count="2">
    <mergeCell ref="B2:D3"/>
    <mergeCell ref="B7:C7"/>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2:Q32"/>
  <sheetViews>
    <sheetView showGridLines="0" topLeftCell="A5" zoomScale="67" zoomScaleNormal="67" workbookViewId="0">
      <selection activeCell="A32" sqref="A32"/>
    </sheetView>
  </sheetViews>
  <sheetFormatPr defaultColWidth="9" defaultRowHeight="14.5"/>
  <cols>
    <col min="1" max="1" width="14.1796875" style="352" customWidth="1"/>
    <col min="10" max="10" width="9.26953125" style="352" customWidth="1"/>
    <col min="11" max="11" width="8.54296875" style="352" customWidth="1"/>
    <col min="14" max="14" width="20.1796875" style="352" customWidth="1"/>
    <col min="15" max="15" width="8.81640625" style="364" customWidth="1"/>
    <col min="17" max="17" width="10.1796875" style="352" customWidth="1"/>
  </cols>
  <sheetData>
    <row r="2" spans="10:17">
      <c r="K2">
        <v>25</v>
      </c>
    </row>
    <row r="4" spans="10:17">
      <c r="L4" s="364">
        <v>25</v>
      </c>
      <c r="N4" s="543" t="s">
        <v>422</v>
      </c>
      <c r="O4" s="544"/>
      <c r="P4" s="446"/>
      <c r="Q4" s="446"/>
    </row>
    <row r="5" spans="10:17">
      <c r="K5" s="60">
        <f>'Guide Pillar'!F10</f>
        <v>44.717512294175933</v>
      </c>
    </row>
    <row r="7" spans="10:17">
      <c r="J7" s="63">
        <v>50</v>
      </c>
      <c r="N7" s="120"/>
      <c r="O7" s="363"/>
      <c r="P7" s="120" t="s">
        <v>115</v>
      </c>
      <c r="Q7" s="120" t="s">
        <v>226</v>
      </c>
    </row>
    <row r="8" spans="10:17">
      <c r="N8" s="120" t="s">
        <v>423</v>
      </c>
      <c r="O8" s="363" t="s">
        <v>424</v>
      </c>
      <c r="P8" s="224">
        <f>VLOOKUP(O11,N13:P18,2,FALSE)</f>
        <v>399.43502458835189</v>
      </c>
      <c r="Q8" s="224">
        <f>VLOOKUP(O11,N13:P18,3,FALSE)</f>
        <v>457.43502458835189</v>
      </c>
    </row>
    <row r="9" spans="10:17">
      <c r="N9" s="120" t="s">
        <v>423</v>
      </c>
      <c r="O9" s="363" t="s">
        <v>407</v>
      </c>
      <c r="P9" s="419">
        <f>P8/10</f>
        <v>39.943502458835191</v>
      </c>
      <c r="Q9" s="419">
        <f>Q8/10</f>
        <v>45.743502458835188</v>
      </c>
    </row>
    <row r="11" spans="10:17">
      <c r="N11" s="363" t="s">
        <v>318</v>
      </c>
      <c r="O11" s="363">
        <f>'Input-Output'!B10</f>
        <v>1</v>
      </c>
    </row>
    <row r="12" spans="10:17">
      <c r="K12" s="364">
        <f>'Input-Output'!B3</f>
        <v>218</v>
      </c>
    </row>
    <row r="13" spans="10:17">
      <c r="N13" s="120"/>
      <c r="O13" s="363" t="s">
        <v>115</v>
      </c>
      <c r="P13" s="120" t="s">
        <v>226</v>
      </c>
    </row>
    <row r="14" spans="10:17">
      <c r="N14" s="363">
        <f t="array" ref="N14:N18">TRANSPOSE(B26:F26)</f>
        <v>1</v>
      </c>
      <c r="O14" s="121">
        <f t="array" ref="O14:O18">TRANSPOSE(B28:F28)</f>
        <v>399.43502458835189</v>
      </c>
      <c r="P14" s="122">
        <f t="array" ref="P14:P18">TRANSPOSE(B30:F30)</f>
        <v>457.43502458835189</v>
      </c>
      <c r="Q14" s="125"/>
    </row>
    <row r="15" spans="10:17">
      <c r="N15" s="363">
        <v>2</v>
      </c>
      <c r="O15" s="121">
        <v>609.43502458835189</v>
      </c>
      <c r="P15" s="122">
        <v>457.43502458835189</v>
      </c>
      <c r="Q15" s="125"/>
    </row>
    <row r="16" spans="10:17">
      <c r="N16" s="363">
        <v>4</v>
      </c>
      <c r="O16" s="121">
        <v>609.43502458835189</v>
      </c>
      <c r="P16" s="122">
        <v>725.43502458835189</v>
      </c>
    </row>
    <row r="17" spans="1:16">
      <c r="I17" s="364">
        <f>'Input-Output'!B2</f>
        <v>160</v>
      </c>
      <c r="N17" s="363">
        <v>6</v>
      </c>
      <c r="O17" s="121">
        <v>609.43502458835189</v>
      </c>
      <c r="P17" s="122">
        <v>993.43502458835189</v>
      </c>
    </row>
    <row r="18" spans="1:16">
      <c r="N18" s="363">
        <v>8</v>
      </c>
      <c r="O18" s="121">
        <v>1029.4350245883518</v>
      </c>
      <c r="P18" s="122">
        <v>725.43502458835189</v>
      </c>
    </row>
    <row r="25" spans="1:16">
      <c r="A25" s="541" t="s">
        <v>422</v>
      </c>
      <c r="B25" s="542" t="s">
        <v>425</v>
      </c>
      <c r="C25" s="435"/>
      <c r="D25" s="435"/>
      <c r="E25" s="435"/>
      <c r="F25" s="423"/>
    </row>
    <row r="26" spans="1:16">
      <c r="A26" s="427"/>
      <c r="B26" s="363">
        <v>1</v>
      </c>
      <c r="C26" s="363">
        <v>2</v>
      </c>
      <c r="D26" s="363">
        <v>4</v>
      </c>
      <c r="E26" s="363">
        <v>6</v>
      </c>
      <c r="F26" s="363">
        <v>8</v>
      </c>
      <c r="H26" s="499" t="s">
        <v>426</v>
      </c>
      <c r="I26" s="435"/>
      <c r="J26" s="423"/>
      <c r="K26" s="123">
        <f>'Input-Output'!B2</f>
        <v>160</v>
      </c>
      <c r="L26" s="348" t="s">
        <v>223</v>
      </c>
    </row>
    <row r="27" spans="1:16">
      <c r="A27" s="116" t="s">
        <v>427</v>
      </c>
      <c r="B27" s="339" t="s">
        <v>428</v>
      </c>
      <c r="C27" s="339" t="s">
        <v>429</v>
      </c>
      <c r="D27" s="339" t="s">
        <v>429</v>
      </c>
      <c r="E27" s="339" t="s">
        <v>429</v>
      </c>
      <c r="F27" s="339" t="s">
        <v>430</v>
      </c>
      <c r="H27" s="499" t="s">
        <v>431</v>
      </c>
      <c r="I27" s="435"/>
      <c r="J27" s="423"/>
      <c r="K27" s="123">
        <f>'Input-Output'!B3</f>
        <v>218</v>
      </c>
      <c r="L27" s="348" t="s">
        <v>223</v>
      </c>
    </row>
    <row r="28" spans="1:16" ht="29" customHeight="1">
      <c r="A28" s="117" t="s">
        <v>432</v>
      </c>
      <c r="B28" s="118">
        <f>K26+2*K29</f>
        <v>399.43502458835189</v>
      </c>
      <c r="C28" s="118">
        <f>2*K26+K28+2*K29</f>
        <v>609.43502458835189</v>
      </c>
      <c r="D28" s="118">
        <f>2*K26+K28+2*K29</f>
        <v>609.43502458835189</v>
      </c>
      <c r="E28" s="118">
        <f>2*K26+K28+2*K29</f>
        <v>609.43502458835189</v>
      </c>
      <c r="F28" s="118">
        <f>4*K26+3*K28+2*K29</f>
        <v>1029.4350245883518</v>
      </c>
      <c r="H28" s="499" t="s">
        <v>433</v>
      </c>
      <c r="I28" s="435"/>
      <c r="J28" s="423"/>
      <c r="K28" s="123">
        <f>'Input-Output'!F7</f>
        <v>50</v>
      </c>
      <c r="L28" s="348" t="s">
        <v>223</v>
      </c>
    </row>
    <row r="29" spans="1:16">
      <c r="A29" s="116" t="s">
        <v>434</v>
      </c>
      <c r="B29" s="339" t="s">
        <v>435</v>
      </c>
      <c r="C29" s="339" t="s">
        <v>436</v>
      </c>
      <c r="D29" s="339" t="s">
        <v>437</v>
      </c>
      <c r="E29" s="339" t="s">
        <v>438</v>
      </c>
      <c r="F29" s="339" t="s">
        <v>439</v>
      </c>
      <c r="H29" s="499" t="s">
        <v>440</v>
      </c>
      <c r="I29" s="435"/>
      <c r="J29" s="423"/>
      <c r="K29" s="124">
        <f>L4+K5+J7</f>
        <v>119.71751229417593</v>
      </c>
      <c r="L29" s="337" t="s">
        <v>223</v>
      </c>
    </row>
    <row r="30" spans="1:16">
      <c r="A30" s="117" t="s">
        <v>432</v>
      </c>
      <c r="B30" s="118">
        <f>K27+2*K29</f>
        <v>457.43502458835189</v>
      </c>
      <c r="C30" s="118">
        <f>K27+2*K29</f>
        <v>457.43502458835189</v>
      </c>
      <c r="D30" s="118">
        <f>K28+2*K27+2*K29</f>
        <v>725.43502458835189</v>
      </c>
      <c r="E30" s="118">
        <f>3*K27+2*K28+2*K29</f>
        <v>993.43502458835189</v>
      </c>
      <c r="F30" s="118">
        <f>2*K27+K28+2*K29</f>
        <v>725.43502458835189</v>
      </c>
    </row>
    <row r="31" spans="1:16">
      <c r="A31" s="116" t="s">
        <v>202</v>
      </c>
      <c r="B31" s="363"/>
      <c r="C31" s="363"/>
      <c r="D31" s="363"/>
      <c r="E31" s="363"/>
      <c r="F31" s="363"/>
    </row>
    <row r="32" spans="1:16">
      <c r="A32" s="117" t="s">
        <v>432</v>
      </c>
      <c r="B32" s="119">
        <f>'Mould Costing'!$F$9+'Mould Costing'!$F$10+'Mould Costing'!$F$11+'Mould Costing'!$F$14+'Mould Costing'!$F$15</f>
        <v>471.80411830750211</v>
      </c>
      <c r="C32" s="119">
        <f>'Mould Costing'!$F$9+'Mould Costing'!$F$10+'Mould Costing'!$F$11+'Mould Costing'!$F$14+'Mould Costing'!$F$15</f>
        <v>471.80411830750211</v>
      </c>
      <c r="D32" s="119">
        <f>'Mould Costing'!$F$9+'Mould Costing'!$F$10+'Mould Costing'!$F$11+'Mould Costing'!$F$14+'Mould Costing'!$F$15</f>
        <v>471.80411830750211</v>
      </c>
      <c r="E32" s="119">
        <f>'Mould Costing'!$F$9+'Mould Costing'!$F$10+'Mould Costing'!$F$11+'Mould Costing'!$F$14+'Mould Costing'!$F$15</f>
        <v>471.80411830750211</v>
      </c>
      <c r="F32" s="119">
        <f>'Mould Costing'!$F$9+'Mould Costing'!$F$10+'Mould Costing'!$F$11+'Mould Costing'!$F$14+'Mould Costing'!$F$15</f>
        <v>471.80411830750211</v>
      </c>
    </row>
  </sheetData>
  <mergeCells count="7">
    <mergeCell ref="H29:J29"/>
    <mergeCell ref="H28:J28"/>
    <mergeCell ref="A25:A26"/>
    <mergeCell ref="B25:F25"/>
    <mergeCell ref="H27:J27"/>
    <mergeCell ref="N4:Q4"/>
    <mergeCell ref="H26:J2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pageSetUpPr fitToPage="1"/>
  </sheetPr>
  <dimension ref="A1:W34"/>
  <sheetViews>
    <sheetView topLeftCell="A2" zoomScale="72" zoomScaleNormal="51" workbookViewId="0">
      <selection activeCell="P13" sqref="P13"/>
    </sheetView>
  </sheetViews>
  <sheetFormatPr defaultColWidth="9" defaultRowHeight="14.5"/>
  <cols>
    <col min="1" max="1" width="3.90625" style="352" customWidth="1"/>
    <col min="2" max="2" width="57.453125" style="352" customWidth="1"/>
    <col min="3" max="3" width="17" style="352" customWidth="1"/>
    <col min="6" max="6" width="23.90625" style="352" customWidth="1"/>
    <col min="8" max="8" width="20.1796875" style="352" customWidth="1"/>
    <col min="10" max="10" width="17.81640625" style="352" customWidth="1"/>
    <col min="11" max="11" width="3.1796875" style="352" customWidth="1"/>
    <col min="19" max="19" width="17.90625" style="352" customWidth="1"/>
    <col min="20" max="20" width="14.1796875" style="352" customWidth="1"/>
    <col min="21" max="21" width="18.26953125" style="352" customWidth="1"/>
    <col min="22" max="22" width="15.6328125" style="352" customWidth="1"/>
    <col min="23" max="23" width="12.1796875" style="352" customWidth="1"/>
  </cols>
  <sheetData>
    <row r="1" spans="1:16">
      <c r="A1" s="92"/>
      <c r="B1" s="344"/>
      <c r="C1" s="344"/>
      <c r="D1" s="344"/>
      <c r="E1" s="344"/>
      <c r="F1" s="344"/>
      <c r="G1" s="344"/>
      <c r="H1" s="344"/>
      <c r="I1" s="344"/>
      <c r="J1" s="344"/>
      <c r="K1" s="350"/>
    </row>
    <row r="2" spans="1:16">
      <c r="A2" s="93"/>
      <c r="B2" s="549" t="s">
        <v>441</v>
      </c>
      <c r="C2" s="435"/>
      <c r="D2" s="423"/>
      <c r="F2" s="550" t="s">
        <v>442</v>
      </c>
      <c r="G2" s="435"/>
      <c r="H2" s="435"/>
      <c r="I2" s="435"/>
      <c r="J2" s="423"/>
      <c r="K2" s="351"/>
    </row>
    <row r="3" spans="1:16">
      <c r="A3" s="93"/>
      <c r="B3" s="545" t="s">
        <v>443</v>
      </c>
      <c r="C3" s="435"/>
      <c r="D3" s="423"/>
      <c r="F3" s="94" t="s">
        <v>236</v>
      </c>
      <c r="G3" s="94" t="s">
        <v>444</v>
      </c>
      <c r="H3" s="94" t="s">
        <v>445</v>
      </c>
      <c r="I3" s="94" t="s">
        <v>446</v>
      </c>
      <c r="J3" s="94" t="s">
        <v>447</v>
      </c>
      <c r="K3" s="351"/>
    </row>
    <row r="4" spans="1:16">
      <c r="A4" s="93"/>
      <c r="B4" s="266"/>
      <c r="C4" s="266"/>
      <c r="D4" s="266"/>
      <c r="F4" s="95" t="s">
        <v>303</v>
      </c>
      <c r="G4" s="96">
        <v>0.33</v>
      </c>
      <c r="H4" s="96">
        <v>0.35</v>
      </c>
      <c r="I4" s="96">
        <v>8.0000000000000007E-5</v>
      </c>
      <c r="J4" s="96">
        <v>100</v>
      </c>
      <c r="K4" s="351"/>
    </row>
    <row r="5" spans="1:16">
      <c r="A5" s="93"/>
      <c r="B5" s="71" t="s">
        <v>448</v>
      </c>
      <c r="C5" s="358" t="s">
        <v>407</v>
      </c>
      <c r="D5" s="97">
        <f>POWER(((5*D6*D7^4)/(32*(2*10^6)*D9*D10)),1/3)</f>
        <v>5.4940641301582156</v>
      </c>
      <c r="F5" s="98" t="s">
        <v>304</v>
      </c>
      <c r="G5" s="96">
        <v>0.2</v>
      </c>
      <c r="H5" s="96">
        <v>0.42</v>
      </c>
      <c r="I5" s="96">
        <v>2.0000000000000001E-4</v>
      </c>
      <c r="J5" s="96">
        <v>110</v>
      </c>
      <c r="K5" s="351"/>
    </row>
    <row r="6" spans="1:16" ht="16.5" customHeight="1">
      <c r="A6" s="93"/>
      <c r="B6" s="71" t="s">
        <v>449</v>
      </c>
      <c r="C6" s="358" t="s">
        <v>421</v>
      </c>
      <c r="D6" s="358">
        <f>'Input-Output'!B13*0.33</f>
        <v>132</v>
      </c>
      <c r="F6" s="95" t="s">
        <v>305</v>
      </c>
      <c r="G6" s="96">
        <v>0.47</v>
      </c>
      <c r="H6" s="96">
        <v>0.42</v>
      </c>
      <c r="I6" s="96">
        <v>2.0000000000000001E-4</v>
      </c>
      <c r="J6" s="96">
        <v>150</v>
      </c>
      <c r="K6" s="351"/>
    </row>
    <row r="7" spans="1:16">
      <c r="A7" s="93"/>
      <c r="B7" s="71" t="s">
        <v>450</v>
      </c>
      <c r="C7" s="358" t="s">
        <v>407</v>
      </c>
      <c r="D7" s="99">
        <f>'Mould Costing'!B3/10</f>
        <v>44.943502458835191</v>
      </c>
      <c r="F7" s="98" t="s">
        <v>237</v>
      </c>
      <c r="G7" s="96">
        <v>0.35</v>
      </c>
      <c r="H7" s="96">
        <v>0.35</v>
      </c>
      <c r="I7" s="96">
        <v>8.0000000000000007E-5</v>
      </c>
      <c r="J7" s="96">
        <v>105</v>
      </c>
      <c r="K7" s="351"/>
    </row>
    <row r="8" spans="1:16" ht="16.5" customHeight="1">
      <c r="A8" s="93"/>
      <c r="B8" s="71" t="s">
        <v>451</v>
      </c>
      <c r="C8" s="358" t="s">
        <v>452</v>
      </c>
      <c r="D8" s="358" t="s">
        <v>453</v>
      </c>
      <c r="F8" s="95" t="s">
        <v>306</v>
      </c>
      <c r="G8" s="96">
        <v>0.4</v>
      </c>
      <c r="H8" s="96">
        <v>0.35</v>
      </c>
      <c r="I8" s="96">
        <v>8.0000000000000007E-5</v>
      </c>
      <c r="J8" s="96">
        <v>200</v>
      </c>
      <c r="K8" s="351"/>
    </row>
    <row r="9" spans="1:16">
      <c r="A9" s="93"/>
      <c r="B9" s="71" t="s">
        <v>454</v>
      </c>
      <c r="C9" s="358" t="s">
        <v>407</v>
      </c>
      <c r="D9" s="99">
        <f>'Mould Costing'!B4/10</f>
        <v>50.743502458835188</v>
      </c>
      <c r="F9" s="98" t="s">
        <v>307</v>
      </c>
      <c r="G9" s="96">
        <v>0.28000000000000003</v>
      </c>
      <c r="H9" s="96">
        <v>0.36</v>
      </c>
      <c r="I9" s="96">
        <v>1.1E-4</v>
      </c>
      <c r="J9" s="96">
        <v>170</v>
      </c>
      <c r="K9" s="351"/>
    </row>
    <row r="10" spans="1:16">
      <c r="A10" s="93"/>
      <c r="B10" s="100" t="s">
        <v>455</v>
      </c>
      <c r="C10" s="358" t="s">
        <v>407</v>
      </c>
      <c r="D10" s="358">
        <v>5.0000000000000001E-3</v>
      </c>
      <c r="F10" s="95" t="s">
        <v>308</v>
      </c>
      <c r="G10" s="96">
        <v>0.26</v>
      </c>
      <c r="H10" s="96">
        <v>0.2</v>
      </c>
      <c r="I10" s="96">
        <v>6.0000000000000002E-5</v>
      </c>
      <c r="J10" s="96">
        <v>260</v>
      </c>
      <c r="K10" s="351"/>
    </row>
    <row r="11" spans="1:16">
      <c r="A11" s="93"/>
      <c r="B11" s="63"/>
      <c r="C11" s="63"/>
      <c r="D11" s="63"/>
      <c r="E11" s="63"/>
      <c r="F11" s="98" t="s">
        <v>309</v>
      </c>
      <c r="G11" s="96">
        <v>0.37</v>
      </c>
      <c r="H11" s="96">
        <v>0.4</v>
      </c>
      <c r="I11" s="96">
        <v>1.4999999999999999E-4</v>
      </c>
      <c r="J11" s="96">
        <v>225</v>
      </c>
      <c r="K11" s="351"/>
    </row>
    <row r="12" spans="1:16">
      <c r="A12" s="93"/>
      <c r="B12" s="101" t="s">
        <v>456</v>
      </c>
      <c r="C12" s="102">
        <f>'Input-Output'!B15+1.5</f>
        <v>4.5</v>
      </c>
      <c r="D12" s="103" t="s">
        <v>223</v>
      </c>
      <c r="K12" s="351"/>
    </row>
    <row r="13" spans="1:16">
      <c r="A13" s="104"/>
      <c r="B13" s="105" t="s">
        <v>457</v>
      </c>
      <c r="C13" s="102">
        <f>C12/4.5</f>
        <v>1</v>
      </c>
      <c r="D13" s="103" t="s">
        <v>223</v>
      </c>
      <c r="F13" s="547" t="s">
        <v>458</v>
      </c>
      <c r="G13" s="423"/>
      <c r="H13" s="547"/>
      <c r="I13" s="423"/>
      <c r="K13" s="351"/>
    </row>
    <row r="14" spans="1:16">
      <c r="A14" s="93"/>
      <c r="F14" s="326" t="s">
        <v>459</v>
      </c>
      <c r="G14" s="327"/>
      <c r="H14" s="79">
        <f>C25</f>
        <v>5876.1998060606093</v>
      </c>
      <c r="I14" s="266" t="s">
        <v>460</v>
      </c>
      <c r="K14" s="351"/>
    </row>
    <row r="15" spans="1:16">
      <c r="A15" s="93"/>
      <c r="B15" s="548" t="s">
        <v>461</v>
      </c>
      <c r="C15" s="435"/>
      <c r="D15" s="423"/>
      <c r="F15" s="326" t="s">
        <v>459</v>
      </c>
      <c r="G15" s="327"/>
      <c r="H15" s="79">
        <f>H14*G19</f>
        <v>599.20784662361245</v>
      </c>
      <c r="I15" s="266" t="s">
        <v>462</v>
      </c>
      <c r="K15" s="351"/>
    </row>
    <row r="16" spans="1:16" ht="29" customHeight="1">
      <c r="A16" s="93"/>
      <c r="B16" s="546" t="s">
        <v>463</v>
      </c>
      <c r="C16" s="435"/>
      <c r="D16" s="423"/>
      <c r="F16" s="442" t="s">
        <v>244</v>
      </c>
      <c r="G16" s="423"/>
      <c r="H16" s="79">
        <f>'Input-Output'!B10</f>
        <v>1</v>
      </c>
      <c r="I16" s="266"/>
      <c r="K16" s="351"/>
      <c r="P16" t="s">
        <v>464</v>
      </c>
    </row>
    <row r="17" spans="1:11" ht="16.5" customHeight="1">
      <c r="A17" s="93"/>
      <c r="B17" s="106" t="s">
        <v>465</v>
      </c>
      <c r="C17" s="107">
        <f>POWER(((5*C18*C19^4)/(32*(2*10^6)*C21*C22)),1/3)</f>
        <v>4.4961417852168886</v>
      </c>
      <c r="D17" s="266" t="s">
        <v>466</v>
      </c>
      <c r="E17" s="106"/>
      <c r="F17" s="442" t="s">
        <v>467</v>
      </c>
      <c r="G17" s="423"/>
      <c r="H17" s="79">
        <f>H16*H15</f>
        <v>599.20784662361245</v>
      </c>
      <c r="I17" s="266" t="s">
        <v>462</v>
      </c>
      <c r="K17" s="351"/>
    </row>
    <row r="18" spans="1:11">
      <c r="A18" s="93"/>
      <c r="B18" s="108" t="s">
        <v>468</v>
      </c>
      <c r="C18" s="109">
        <f>C25*G19</f>
        <v>599.20784662361245</v>
      </c>
      <c r="D18" s="266"/>
      <c r="F18" s="266" t="s">
        <v>460</v>
      </c>
      <c r="G18" s="266" t="s">
        <v>462</v>
      </c>
      <c r="K18" s="351"/>
    </row>
    <row r="19" spans="1:11">
      <c r="A19" s="93"/>
      <c r="B19" s="108" t="s">
        <v>469</v>
      </c>
      <c r="C19" s="109">
        <f>'Mould Costing'!D13/10</f>
        <v>27</v>
      </c>
      <c r="D19" s="266" t="s">
        <v>466</v>
      </c>
      <c r="F19" s="110">
        <v>1</v>
      </c>
      <c r="G19" s="266">
        <v>0.10197199999999999</v>
      </c>
      <c r="K19" s="351"/>
    </row>
    <row r="20" spans="1:11" ht="16.5" customHeight="1">
      <c r="A20" s="93"/>
      <c r="B20" s="108" t="s">
        <v>470</v>
      </c>
      <c r="C20" s="111" t="s">
        <v>453</v>
      </c>
      <c r="D20" s="266"/>
      <c r="K20" s="351"/>
    </row>
    <row r="21" spans="1:11">
      <c r="A21" s="93"/>
      <c r="B21" s="108" t="s">
        <v>471</v>
      </c>
      <c r="C21" s="109">
        <f>'Mould Costing'!E13/10</f>
        <v>54.743502458835188</v>
      </c>
      <c r="D21" s="266" t="s">
        <v>466</v>
      </c>
      <c r="F21" s="112"/>
      <c r="K21" s="351"/>
    </row>
    <row r="22" spans="1:11">
      <c r="A22" s="93"/>
      <c r="B22" s="108" t="s">
        <v>472</v>
      </c>
      <c r="C22" s="111">
        <v>5.0000000000000001E-3</v>
      </c>
      <c r="D22" s="266" t="s">
        <v>466</v>
      </c>
      <c r="K22" s="351"/>
    </row>
    <row r="23" spans="1:11">
      <c r="A23" s="93"/>
      <c r="K23" s="351"/>
    </row>
    <row r="24" spans="1:11">
      <c r="A24" s="93"/>
      <c r="B24" s="113" t="s">
        <v>473</v>
      </c>
      <c r="K24" s="351"/>
    </row>
    <row r="25" spans="1:11">
      <c r="A25" s="93"/>
      <c r="B25" s="113" t="s">
        <v>459</v>
      </c>
      <c r="C25" s="23">
        <f>(C26*C27*C28*C31*C32)/(C30/(2*C33)*(1-(C29/2)))</f>
        <v>5876.1998060606093</v>
      </c>
      <c r="D25" t="s">
        <v>474</v>
      </c>
      <c r="E25" t="s">
        <v>475</v>
      </c>
      <c r="K25" s="351"/>
    </row>
    <row r="26" spans="1:11">
      <c r="A26" s="93"/>
      <c r="B26" s="113" t="s">
        <v>476</v>
      </c>
      <c r="C26">
        <f>VLOOKUP('Input-Output'!B9,Table11[],5,0)*10^5</f>
        <v>249500</v>
      </c>
      <c r="D26" t="s">
        <v>477</v>
      </c>
      <c r="E26" t="s">
        <v>478</v>
      </c>
      <c r="K26" s="351"/>
    </row>
    <row r="27" spans="1:11">
      <c r="A27" s="93"/>
      <c r="B27" s="113" t="s">
        <v>479</v>
      </c>
      <c r="C27">
        <f>2*'Input-Output'!B4/10*'Input-Output'!B3/10+2*'Input-Output'!B4/10*'Input-Output'!B2/10</f>
        <v>491.4</v>
      </c>
      <c r="D27" t="s">
        <v>480</v>
      </c>
      <c r="E27" t="s">
        <v>481</v>
      </c>
      <c r="K27" s="351"/>
    </row>
    <row r="28" spans="1:11">
      <c r="A28" s="93"/>
      <c r="B28" s="113" t="s">
        <v>482</v>
      </c>
      <c r="C28" s="114">
        <f>VLOOKUP('Input-Output'!$B$9,'Core &amp; Ejector Plate'!$F$4:$J$11,2,FALSE)</f>
        <v>0.35</v>
      </c>
      <c r="E28" t="s">
        <v>483</v>
      </c>
      <c r="K28" s="351"/>
    </row>
    <row r="29" spans="1:11">
      <c r="A29" s="93"/>
      <c r="B29" s="113" t="s">
        <v>484</v>
      </c>
      <c r="C29" s="114">
        <f>VLOOKUP('Input-Output'!$B$9,'Core &amp; Ejector Plate'!$F$4:$J$11,3,FALSE)</f>
        <v>0.35</v>
      </c>
      <c r="E29" t="s">
        <v>485</v>
      </c>
      <c r="K29" s="351"/>
    </row>
    <row r="30" spans="1:11">
      <c r="A30" s="93"/>
      <c r="B30" s="113" t="s">
        <v>486</v>
      </c>
      <c r="C30" s="115">
        <f>((2*'Input-Output'!B2/10+(2*'Input-Output'!B3/10))/3.14)</f>
        <v>24.076433121019104</v>
      </c>
      <c r="D30" t="s">
        <v>487</v>
      </c>
      <c r="E30" t="s">
        <v>488</v>
      </c>
      <c r="K30" s="351"/>
    </row>
    <row r="31" spans="1:11">
      <c r="A31" s="93"/>
      <c r="B31" s="113" t="s">
        <v>489</v>
      </c>
      <c r="C31" s="114">
        <f>VLOOKUP('Input-Output'!$B$9,'Core &amp; Ejector Plate'!$F$4:$J$11,4,FALSE)</f>
        <v>8.0000000000000007E-5</v>
      </c>
      <c r="D31" t="s">
        <v>490</v>
      </c>
      <c r="E31" t="s">
        <v>491</v>
      </c>
      <c r="K31" s="351"/>
    </row>
    <row r="32" spans="1:11">
      <c r="A32" s="93"/>
      <c r="B32" s="113" t="s">
        <v>492</v>
      </c>
      <c r="C32" s="114">
        <f>VLOOKUP('Input-Output'!$B$9,'Core &amp; Ejector Plate'!$F$4:$J$11,5,FALSE)-20</f>
        <v>85</v>
      </c>
      <c r="D32" t="s">
        <v>493</v>
      </c>
      <c r="E32" t="s">
        <v>494</v>
      </c>
      <c r="K32" s="351"/>
    </row>
    <row r="33" spans="1:11">
      <c r="A33" s="93"/>
      <c r="B33" s="113" t="s">
        <v>495</v>
      </c>
      <c r="C33">
        <f>'Input-Output'!B14/10</f>
        <v>0.2</v>
      </c>
      <c r="D33" t="s">
        <v>487</v>
      </c>
      <c r="E33" t="s">
        <v>496</v>
      </c>
      <c r="K33" s="351"/>
    </row>
    <row r="34" spans="1:11">
      <c r="A34" s="345"/>
      <c r="B34" s="333"/>
      <c r="C34" s="333"/>
      <c r="D34" s="333"/>
      <c r="E34" s="333"/>
      <c r="F34" s="333"/>
      <c r="G34" s="333"/>
      <c r="H34" s="333"/>
      <c r="I34" s="333"/>
      <c r="J34" s="333"/>
      <c r="K34" s="334"/>
    </row>
  </sheetData>
  <mergeCells count="9">
    <mergeCell ref="H13:I13"/>
    <mergeCell ref="F17:G17"/>
    <mergeCell ref="B2:D2"/>
    <mergeCell ref="F2:J2"/>
    <mergeCell ref="B3:D3"/>
    <mergeCell ref="F16:G16"/>
    <mergeCell ref="B16:D16"/>
    <mergeCell ref="F13:G13"/>
    <mergeCell ref="B15:D15"/>
  </mergeCells>
  <pageMargins left="0.7" right="0.7" top="0.75" bottom="0.75" header="0.3" footer="0.3"/>
  <pageSetup scale="54" fitToHeight="0"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00"/>
  </sheetPr>
  <dimension ref="A1:O174"/>
  <sheetViews>
    <sheetView topLeftCell="A29" zoomScale="54" zoomScaleNormal="54" workbookViewId="0">
      <selection activeCell="E101" sqref="E101"/>
    </sheetView>
  </sheetViews>
  <sheetFormatPr defaultColWidth="9" defaultRowHeight="14.5"/>
  <cols>
    <col min="1" max="1" width="9.36328125" style="352" customWidth="1"/>
    <col min="2" max="2" width="24.26953125" style="352" customWidth="1"/>
    <col min="3" max="3" width="31.81640625" style="352" customWidth="1"/>
    <col min="4" max="4" width="21.1796875" style="352" customWidth="1"/>
    <col min="5" max="5" width="20.36328125" style="352" customWidth="1"/>
    <col min="6" max="6" width="29.26953125" style="352" customWidth="1"/>
    <col min="7" max="7" width="27.7265625" style="352" customWidth="1"/>
    <col min="8" max="8" width="18.36328125" style="352" customWidth="1"/>
    <col min="9" max="9" width="14.26953125" style="352" customWidth="1"/>
    <col min="10" max="10" width="17.90625" style="352" customWidth="1"/>
    <col min="11" max="11" width="25.36328125" style="352" customWidth="1"/>
    <col min="12" max="12" width="16.1796875" style="352" customWidth="1"/>
  </cols>
  <sheetData>
    <row r="1" spans="1:15">
      <c r="M1" s="364"/>
      <c r="N1" s="364"/>
    </row>
    <row r="2" spans="1:15">
      <c r="A2" s="551" t="s">
        <v>130</v>
      </c>
      <c r="B2" s="446"/>
      <c r="C2" s="75">
        <f>SUM(L4:L19)</f>
        <v>70</v>
      </c>
      <c r="D2" s="75"/>
      <c r="E2" s="75"/>
      <c r="M2" s="364"/>
      <c r="N2" s="420"/>
    </row>
    <row r="3" spans="1:15" ht="16.5" customHeight="1">
      <c r="A3" s="76" t="s">
        <v>497</v>
      </c>
      <c r="B3" s="77" t="s">
        <v>498</v>
      </c>
      <c r="C3" s="77" t="s">
        <v>499</v>
      </c>
      <c r="D3" s="78" t="s">
        <v>500</v>
      </c>
      <c r="E3" s="78" t="s">
        <v>501</v>
      </c>
      <c r="F3" s="78" t="s">
        <v>502</v>
      </c>
      <c r="G3" s="78" t="s">
        <v>503</v>
      </c>
      <c r="H3" s="78" t="s">
        <v>504</v>
      </c>
      <c r="I3" s="78" t="s">
        <v>505</v>
      </c>
      <c r="J3" s="78" t="s">
        <v>506</v>
      </c>
      <c r="K3" s="78" t="s">
        <v>507</v>
      </c>
      <c r="L3" s="83" t="s">
        <v>508</v>
      </c>
      <c r="M3" s="21"/>
      <c r="N3" s="21"/>
      <c r="O3" s="21"/>
    </row>
    <row r="4" spans="1:15">
      <c r="A4" s="327">
        <v>1</v>
      </c>
      <c r="B4" s="71" t="s">
        <v>509</v>
      </c>
      <c r="C4" s="71" t="s">
        <v>66</v>
      </c>
      <c r="D4" s="79">
        <f>(('Mould Costing'!$D$9+10)/10)*(('Mould Costing'!$E$9+10)/10)*(('Mould Costing'!$F$9+10)/10)</f>
        <v>12089.517235680301</v>
      </c>
      <c r="E4" s="79">
        <f>(('Mould Costing'!$D$9)/10)*(('Mould Costing'!$E$9)/10)*(('Mould Costing'!$F$9)/10)</f>
        <v>8343.6519417631807</v>
      </c>
      <c r="F4" s="79">
        <f>D4-E4</f>
        <v>3745.8652939171207</v>
      </c>
      <c r="G4" s="79">
        <f>VLOOKUP(C4,Table15[],2,FALSE)</f>
        <v>3</v>
      </c>
      <c r="H4" s="79">
        <f>F4/G4</f>
        <v>1248.6217646390403</v>
      </c>
      <c r="I4" s="79"/>
      <c r="J4" s="84">
        <v>30</v>
      </c>
      <c r="K4" s="84">
        <v>45</v>
      </c>
      <c r="L4" s="43">
        <f>ROUNDUP((K4+J4+H4+I4)/60,0)</f>
        <v>23</v>
      </c>
      <c r="M4" s="21"/>
      <c r="N4" s="21"/>
    </row>
    <row r="5" spans="1:15">
      <c r="A5" s="327">
        <v>2</v>
      </c>
      <c r="B5" s="266" t="s">
        <v>510</v>
      </c>
      <c r="C5" s="71" t="s">
        <v>69</v>
      </c>
      <c r="D5" s="79">
        <f>(('Mould Costing'!$D$9+1)/10)*(('Mould Costing'!$E$9+1)/10)*(('Mould Costing'!$F$9+1)/10)</f>
        <v>8707.5026407123041</v>
      </c>
      <c r="E5" s="79">
        <f>(('Mould Costing'!$D$9)/10)*(('Mould Costing'!$E$9)/10)*(('Mould Costing'!$F$9)/10)</f>
        <v>8343.6519417631807</v>
      </c>
      <c r="F5" s="79">
        <f>D5-E5</f>
        <v>363.8506989491234</v>
      </c>
      <c r="G5" s="79">
        <f>VLOOKUP(C5,Table15[],2,FALSE)</f>
        <v>0.17499999999999999</v>
      </c>
      <c r="H5" s="79">
        <f>F5/G5</f>
        <v>2079.146851137848</v>
      </c>
      <c r="I5" s="266"/>
      <c r="J5" s="84">
        <v>30</v>
      </c>
      <c r="K5" s="84">
        <v>45</v>
      </c>
      <c r="L5" s="43">
        <f t="shared" ref="L5:L19" si="0">ROUNDUP((K5+H5+I5+J5)/60,0)</f>
        <v>36</v>
      </c>
      <c r="M5" s="21"/>
      <c r="N5" s="21"/>
    </row>
    <row r="6" spans="1:15">
      <c r="A6" s="327">
        <v>3</v>
      </c>
      <c r="B6" s="266" t="s">
        <v>511</v>
      </c>
      <c r="C6" s="71" t="s">
        <v>71</v>
      </c>
      <c r="D6" s="79">
        <f>3.14/4*('Mould Costing'!$E$21/10*('Mould Costing'!$E$21+10)/10*('Mould Costing'!F9/10))</f>
        <v>306.15000000000003</v>
      </c>
      <c r="E6" s="79">
        <v>0</v>
      </c>
      <c r="F6" s="79">
        <f>D6-E6</f>
        <v>306.15000000000003</v>
      </c>
      <c r="G6" s="79">
        <f>VLOOKUP(C6,Table15[],2,FALSE)</f>
        <v>1</v>
      </c>
      <c r="H6" s="79">
        <f>F6/G6</f>
        <v>306.15000000000003</v>
      </c>
      <c r="I6" s="266"/>
      <c r="J6" s="84">
        <v>30</v>
      </c>
      <c r="K6" s="84">
        <v>45</v>
      </c>
      <c r="L6" s="43">
        <f t="shared" si="0"/>
        <v>7</v>
      </c>
      <c r="M6" s="21"/>
      <c r="N6" s="21"/>
    </row>
    <row r="7" spans="1:15">
      <c r="A7" s="327">
        <v>4</v>
      </c>
      <c r="B7" s="266" t="s">
        <v>512</v>
      </c>
      <c r="C7" s="71" t="s">
        <v>71</v>
      </c>
      <c r="D7" s="79">
        <f>0.785*3*3*'Mould Costing'!F9/10</f>
        <v>17.662500000000001</v>
      </c>
      <c r="E7" s="79">
        <v>0</v>
      </c>
      <c r="F7" s="79">
        <f>D7-E7</f>
        <v>17.662500000000001</v>
      </c>
      <c r="G7" s="79">
        <f>VLOOKUP(C7,Table15[],2,FALSE)</f>
        <v>1</v>
      </c>
      <c r="H7" s="79">
        <f>F7/G7</f>
        <v>17.662500000000001</v>
      </c>
      <c r="I7" s="266"/>
      <c r="J7" s="84">
        <v>30</v>
      </c>
      <c r="K7" s="84">
        <v>45</v>
      </c>
      <c r="L7" s="43">
        <f t="shared" si="0"/>
        <v>2</v>
      </c>
    </row>
    <row r="8" spans="1:15">
      <c r="A8" s="327">
        <v>5</v>
      </c>
      <c r="B8" s="266" t="s">
        <v>513</v>
      </c>
      <c r="C8" s="71" t="s">
        <v>72</v>
      </c>
      <c r="D8" s="79">
        <f>0.785*2*('Mould Costing'!F9/10)*4</f>
        <v>15.700000000000001</v>
      </c>
      <c r="E8" s="79">
        <v>0</v>
      </c>
      <c r="F8" s="79">
        <f>D8-E8</f>
        <v>15.700000000000001</v>
      </c>
      <c r="G8" s="79">
        <f>VLOOKUP(C8,Table15[],2,FALSE)</f>
        <v>0.5</v>
      </c>
      <c r="H8" s="79">
        <f>F8/G8</f>
        <v>31.400000000000002</v>
      </c>
      <c r="I8" s="266"/>
      <c r="J8" s="84">
        <v>30</v>
      </c>
      <c r="K8" s="84">
        <v>45</v>
      </c>
      <c r="L8" s="43">
        <f t="shared" si="0"/>
        <v>2</v>
      </c>
    </row>
    <row r="9" spans="1:15">
      <c r="A9" s="327">
        <v>6</v>
      </c>
      <c r="B9" s="266" t="s">
        <v>81</v>
      </c>
      <c r="C9" s="71" t="s">
        <v>66</v>
      </c>
      <c r="D9" s="266"/>
      <c r="E9" s="266"/>
      <c r="F9" s="266"/>
      <c r="G9" s="79">
        <f>VLOOKUP(C9,Table15[],2,FALSE)</f>
        <v>3</v>
      </c>
      <c r="H9" s="266"/>
      <c r="I9" s="266"/>
      <c r="J9" s="84"/>
      <c r="K9" s="84"/>
      <c r="L9" s="43">
        <f t="shared" si="0"/>
        <v>0</v>
      </c>
    </row>
    <row r="10" spans="1:15">
      <c r="A10" s="327"/>
      <c r="B10" s="266"/>
      <c r="C10" s="71" t="s">
        <v>66</v>
      </c>
      <c r="D10" s="266"/>
      <c r="E10" s="266"/>
      <c r="F10" s="266"/>
      <c r="G10" s="79">
        <f>VLOOKUP(C10,Table15[],2,FALSE)</f>
        <v>3</v>
      </c>
      <c r="H10" s="266"/>
      <c r="I10" s="266"/>
      <c r="J10" s="266"/>
      <c r="K10" s="266"/>
      <c r="L10" s="43">
        <f t="shared" si="0"/>
        <v>0</v>
      </c>
    </row>
    <row r="11" spans="1:15">
      <c r="A11" s="327"/>
      <c r="B11" s="266"/>
      <c r="C11" s="71" t="s">
        <v>66</v>
      </c>
      <c r="D11" s="266"/>
      <c r="E11" s="266"/>
      <c r="F11" s="266"/>
      <c r="G11" s="79">
        <f>VLOOKUP(C11,Table15[],2,FALSE)</f>
        <v>3</v>
      </c>
      <c r="H11" s="266"/>
      <c r="I11" s="266"/>
      <c r="J11" s="266"/>
      <c r="K11" s="266"/>
      <c r="L11" s="43">
        <f t="shared" si="0"/>
        <v>0</v>
      </c>
    </row>
    <row r="12" spans="1:15">
      <c r="A12" s="327"/>
      <c r="B12" s="266"/>
      <c r="C12" s="71" t="s">
        <v>66</v>
      </c>
      <c r="D12" s="266"/>
      <c r="E12" s="266"/>
      <c r="F12" s="266"/>
      <c r="G12" s="79">
        <f>VLOOKUP(C12,Table15[],2,FALSE)</f>
        <v>3</v>
      </c>
      <c r="H12" s="266"/>
      <c r="I12" s="266"/>
      <c r="J12" s="266"/>
      <c r="K12" s="266"/>
      <c r="L12" s="43">
        <f t="shared" si="0"/>
        <v>0</v>
      </c>
    </row>
    <row r="13" spans="1:15">
      <c r="A13" s="327"/>
      <c r="B13" s="266"/>
      <c r="C13" s="71" t="s">
        <v>66</v>
      </c>
      <c r="D13" s="266"/>
      <c r="E13" s="266"/>
      <c r="F13" s="266"/>
      <c r="G13" s="79">
        <f>VLOOKUP(C13,Table15[],2,FALSE)</f>
        <v>3</v>
      </c>
      <c r="H13" s="266"/>
      <c r="I13" s="266"/>
      <c r="J13" s="266"/>
      <c r="K13" s="266"/>
      <c r="L13" s="43">
        <f t="shared" si="0"/>
        <v>0</v>
      </c>
    </row>
    <row r="14" spans="1:15">
      <c r="A14" s="327"/>
      <c r="B14" s="266"/>
      <c r="C14" s="71" t="s">
        <v>66</v>
      </c>
      <c r="D14" s="266"/>
      <c r="E14" s="266"/>
      <c r="F14" s="266"/>
      <c r="G14" s="79">
        <f>VLOOKUP(C14,Table15[],2,FALSE)</f>
        <v>3</v>
      </c>
      <c r="H14" s="266"/>
      <c r="I14" s="266"/>
      <c r="J14" s="266"/>
      <c r="K14" s="266"/>
      <c r="L14" s="43">
        <f t="shared" si="0"/>
        <v>0</v>
      </c>
    </row>
    <row r="15" spans="1:15">
      <c r="A15" s="327"/>
      <c r="B15" s="266"/>
      <c r="C15" s="71" t="s">
        <v>66</v>
      </c>
      <c r="D15" s="266"/>
      <c r="E15" s="266"/>
      <c r="F15" s="266"/>
      <c r="G15" s="79">
        <f>VLOOKUP(C15,Table15[],2,FALSE)</f>
        <v>3</v>
      </c>
      <c r="H15" s="266"/>
      <c r="I15" s="266"/>
      <c r="J15" s="266"/>
      <c r="K15" s="266"/>
      <c r="L15" s="43">
        <f t="shared" si="0"/>
        <v>0</v>
      </c>
    </row>
    <row r="16" spans="1:15">
      <c r="A16" s="327"/>
      <c r="B16" s="266"/>
      <c r="C16" s="71" t="s">
        <v>66</v>
      </c>
      <c r="D16" s="266"/>
      <c r="E16" s="266"/>
      <c r="F16" s="266"/>
      <c r="G16" s="79">
        <f>VLOOKUP(C16,Table15[],2,FALSE)</f>
        <v>3</v>
      </c>
      <c r="H16" s="266"/>
      <c r="I16" s="266"/>
      <c r="J16" s="266"/>
      <c r="K16" s="266"/>
      <c r="L16" s="43">
        <f t="shared" si="0"/>
        <v>0</v>
      </c>
    </row>
    <row r="17" spans="1:15">
      <c r="A17" s="327"/>
      <c r="B17" s="266"/>
      <c r="C17" s="71" t="s">
        <v>66</v>
      </c>
      <c r="D17" s="266"/>
      <c r="E17" s="266"/>
      <c r="F17" s="266"/>
      <c r="G17" s="79">
        <f>VLOOKUP(C17,Table15[],2,FALSE)</f>
        <v>3</v>
      </c>
      <c r="H17" s="266"/>
      <c r="I17" s="266"/>
      <c r="J17" s="266"/>
      <c r="K17" s="266"/>
      <c r="L17" s="43">
        <f t="shared" si="0"/>
        <v>0</v>
      </c>
    </row>
    <row r="18" spans="1:15">
      <c r="A18" s="327"/>
      <c r="B18" s="266"/>
      <c r="C18" s="71" t="s">
        <v>66</v>
      </c>
      <c r="D18" s="266"/>
      <c r="E18" s="266"/>
      <c r="F18" s="266"/>
      <c r="G18" s="79">
        <f>VLOOKUP(C18,Table15[],2,FALSE)</f>
        <v>3</v>
      </c>
      <c r="H18" s="266"/>
      <c r="I18" s="266"/>
      <c r="J18" s="266"/>
      <c r="K18" s="266"/>
      <c r="L18" s="43">
        <f t="shared" si="0"/>
        <v>0</v>
      </c>
    </row>
    <row r="19" spans="1:15">
      <c r="A19" s="348"/>
      <c r="B19" s="80"/>
      <c r="C19" s="80"/>
      <c r="D19" s="80"/>
      <c r="E19" s="80"/>
      <c r="F19" s="80"/>
      <c r="G19" s="80"/>
      <c r="H19" s="80"/>
      <c r="I19" s="80"/>
      <c r="J19" s="80"/>
      <c r="K19" s="80"/>
      <c r="L19" s="45">
        <f t="shared" si="0"/>
        <v>0</v>
      </c>
    </row>
    <row r="21" spans="1:15">
      <c r="A21" s="551" t="s">
        <v>132</v>
      </c>
      <c r="B21" s="446"/>
      <c r="C21" s="75">
        <f>SUM(L23:L38)</f>
        <v>63</v>
      </c>
      <c r="D21" s="75"/>
      <c r="E21" s="75"/>
      <c r="M21" s="364"/>
      <c r="N21" s="420"/>
    </row>
    <row r="22" spans="1:15" ht="16.5" customHeight="1">
      <c r="A22" s="76" t="s">
        <v>497</v>
      </c>
      <c r="B22" s="77" t="s">
        <v>498</v>
      </c>
      <c r="C22" s="77" t="s">
        <v>499</v>
      </c>
      <c r="D22" s="78" t="s">
        <v>500</v>
      </c>
      <c r="E22" s="78" t="s">
        <v>501</v>
      </c>
      <c r="F22" s="78" t="s">
        <v>502</v>
      </c>
      <c r="G22" s="78" t="s">
        <v>503</v>
      </c>
      <c r="H22" s="78" t="s">
        <v>504</v>
      </c>
      <c r="I22" s="78" t="s">
        <v>505</v>
      </c>
      <c r="J22" s="78" t="s">
        <v>506</v>
      </c>
      <c r="K22" s="78" t="s">
        <v>507</v>
      </c>
      <c r="L22" s="83" t="s">
        <v>508</v>
      </c>
      <c r="M22" s="21"/>
      <c r="N22" s="21"/>
      <c r="O22" s="21"/>
    </row>
    <row r="23" spans="1:15">
      <c r="A23" s="327">
        <v>1</v>
      </c>
      <c r="B23" s="71" t="s">
        <v>509</v>
      </c>
      <c r="C23" s="71" t="s">
        <v>66</v>
      </c>
      <c r="D23" s="79">
        <f>(('Mould Costing'!$D$10+10)/10)*(('Mould Costing'!$E$10+10)/10)*(('Mould Costing'!$F$10+10)/10)</f>
        <v>12089.517235680301</v>
      </c>
      <c r="E23" s="79">
        <f>(('Mould Costing'!$D$10)/10)*(('Mould Costing'!$E$10)/10)*(('Mould Costing'!$F$10)/10)</f>
        <v>8343.6519417631807</v>
      </c>
      <c r="F23" s="79">
        <f>D23-E23</f>
        <v>3745.8652939171207</v>
      </c>
      <c r="G23" s="79">
        <f>VLOOKUP(C23,Table15[],2,FALSE)</f>
        <v>3</v>
      </c>
      <c r="H23" s="79">
        <f>F23/G23</f>
        <v>1248.6217646390403</v>
      </c>
      <c r="I23" s="79"/>
      <c r="J23" s="266">
        <v>30</v>
      </c>
      <c r="K23" s="266">
        <v>45</v>
      </c>
      <c r="L23" s="43">
        <f>ROUNDUP((K23+J23+H23+I23)/60,0)</f>
        <v>23</v>
      </c>
      <c r="M23" s="85"/>
    </row>
    <row r="24" spans="1:15">
      <c r="A24" s="327">
        <v>2</v>
      </c>
      <c r="B24" s="266" t="s">
        <v>510</v>
      </c>
      <c r="C24" s="71" t="s">
        <v>69</v>
      </c>
      <c r="D24" s="79">
        <f>(('Mould Costing'!$D$10+1)/10)*(('Mould Costing'!$E$10+1)/10)*(('Mould Costing'!$F$10+1)/10)</f>
        <v>8707.5026407123041</v>
      </c>
      <c r="E24" s="79">
        <f>(('Mould Costing'!$D$10)/10)*(('Mould Costing'!$E$10)/10)*(('Mould Costing'!$F$10)/10)</f>
        <v>8343.6519417631807</v>
      </c>
      <c r="F24" s="79">
        <f>D24-E24</f>
        <v>363.8506989491234</v>
      </c>
      <c r="G24" s="79">
        <f>VLOOKUP(C24,Table15[],2,FALSE)</f>
        <v>0.17499999999999999</v>
      </c>
      <c r="H24" s="79">
        <f>F24/G24</f>
        <v>2079.146851137848</v>
      </c>
      <c r="I24" s="266"/>
      <c r="J24" s="266">
        <v>30</v>
      </c>
      <c r="K24" s="266">
        <v>45</v>
      </c>
      <c r="L24" s="43">
        <f t="shared" ref="L24:L38" si="1">ROUNDUP((K24+H24+I24+J24)/60,0)</f>
        <v>36</v>
      </c>
    </row>
    <row r="25" spans="1:15">
      <c r="A25" s="327">
        <v>3</v>
      </c>
      <c r="B25" s="266" t="s">
        <v>514</v>
      </c>
      <c r="C25" s="71" t="s">
        <v>71</v>
      </c>
      <c r="D25" s="79">
        <f>3.14/4*4*4*('Mould Costing'!$F$10/10)</f>
        <v>31.400000000000002</v>
      </c>
      <c r="E25" s="79">
        <v>0</v>
      </c>
      <c r="F25" s="79">
        <f>D25-E25</f>
        <v>31.400000000000002</v>
      </c>
      <c r="G25" s="79">
        <f>VLOOKUP(C25,Table15[],2,FALSE)</f>
        <v>1</v>
      </c>
      <c r="H25" s="79">
        <f>F25/G25</f>
        <v>31.400000000000002</v>
      </c>
      <c r="I25" s="266"/>
      <c r="J25" s="266">
        <v>30</v>
      </c>
      <c r="K25" s="266">
        <v>45</v>
      </c>
      <c r="L25" s="43">
        <f t="shared" si="1"/>
        <v>2</v>
      </c>
    </row>
    <row r="26" spans="1:15">
      <c r="A26" s="327">
        <v>4</v>
      </c>
      <c r="B26" s="266" t="s">
        <v>513</v>
      </c>
      <c r="C26" s="71" t="s">
        <v>72</v>
      </c>
      <c r="D26" s="79">
        <f>0.785*2*('Mould Costing'!F10/10)*4</f>
        <v>15.700000000000001</v>
      </c>
      <c r="E26" s="79">
        <v>0</v>
      </c>
      <c r="F26" s="79">
        <f>D26-E26</f>
        <v>15.700000000000001</v>
      </c>
      <c r="G26" s="79">
        <f>VLOOKUP(C26,Table15[],2,FALSE)</f>
        <v>0.5</v>
      </c>
      <c r="H26" s="79">
        <f>F26/G26</f>
        <v>31.400000000000002</v>
      </c>
      <c r="I26" s="266"/>
      <c r="J26" s="266">
        <v>30</v>
      </c>
      <c r="K26" s="266">
        <v>45</v>
      </c>
      <c r="L26" s="43">
        <f t="shared" si="1"/>
        <v>2</v>
      </c>
    </row>
    <row r="27" spans="1:15">
      <c r="A27" s="327">
        <v>5</v>
      </c>
      <c r="B27" s="266" t="s">
        <v>81</v>
      </c>
      <c r="C27" s="71" t="s">
        <v>72</v>
      </c>
      <c r="D27" s="79"/>
      <c r="E27" s="79"/>
      <c r="F27" s="79">
        <f>D27-E27</f>
        <v>0</v>
      </c>
      <c r="G27" s="79">
        <f>VLOOKUP(C27,Table15[],2,FALSE)</f>
        <v>0.5</v>
      </c>
      <c r="H27" s="79">
        <f>F27/G27</f>
        <v>0</v>
      </c>
      <c r="I27" s="266"/>
      <c r="J27" s="266"/>
      <c r="K27" s="266"/>
      <c r="L27" s="43">
        <f t="shared" si="1"/>
        <v>0</v>
      </c>
    </row>
    <row r="28" spans="1:15">
      <c r="A28" s="327"/>
      <c r="B28" s="266"/>
      <c r="C28" s="71" t="s">
        <v>66</v>
      </c>
      <c r="D28" s="266"/>
      <c r="E28" s="266"/>
      <c r="F28" s="266"/>
      <c r="G28" s="79">
        <f>VLOOKUP(C28,Table15[],2,FALSE)</f>
        <v>3</v>
      </c>
      <c r="H28" s="266"/>
      <c r="I28" s="266"/>
      <c r="J28" s="266"/>
      <c r="K28" s="266"/>
      <c r="L28" s="43">
        <f t="shared" si="1"/>
        <v>0</v>
      </c>
    </row>
    <row r="29" spans="1:15">
      <c r="A29" s="327"/>
      <c r="B29" s="266"/>
      <c r="C29" s="71" t="s">
        <v>66</v>
      </c>
      <c r="D29" s="266"/>
      <c r="E29" s="266"/>
      <c r="F29" s="266"/>
      <c r="G29" s="79">
        <f>VLOOKUP(C29,Table15[],2,FALSE)</f>
        <v>3</v>
      </c>
      <c r="H29" s="266"/>
      <c r="I29" s="266"/>
      <c r="J29" s="266"/>
      <c r="K29" s="266"/>
      <c r="L29" s="43">
        <f t="shared" si="1"/>
        <v>0</v>
      </c>
    </row>
    <row r="30" spans="1:15">
      <c r="A30" s="327"/>
      <c r="B30" s="266"/>
      <c r="C30" s="71" t="s">
        <v>66</v>
      </c>
      <c r="D30" s="266"/>
      <c r="E30" s="266"/>
      <c r="F30" s="266"/>
      <c r="G30" s="79">
        <f>VLOOKUP(C30,Table15[],2,FALSE)</f>
        <v>3</v>
      </c>
      <c r="H30" s="266"/>
      <c r="I30" s="266"/>
      <c r="J30" s="266"/>
      <c r="K30" s="266"/>
      <c r="L30" s="43">
        <f t="shared" si="1"/>
        <v>0</v>
      </c>
    </row>
    <row r="31" spans="1:15">
      <c r="A31" s="327"/>
      <c r="B31" s="266"/>
      <c r="C31" s="71" t="s">
        <v>66</v>
      </c>
      <c r="D31" s="266"/>
      <c r="E31" s="266"/>
      <c r="F31" s="266"/>
      <c r="G31" s="79">
        <f>VLOOKUP(C31,Table15[],2,FALSE)</f>
        <v>3</v>
      </c>
      <c r="H31" s="266"/>
      <c r="I31" s="266"/>
      <c r="J31" s="266"/>
      <c r="K31" s="266"/>
      <c r="L31" s="43">
        <f t="shared" si="1"/>
        <v>0</v>
      </c>
    </row>
    <row r="32" spans="1:15">
      <c r="A32" s="327"/>
      <c r="B32" s="266"/>
      <c r="C32" s="71" t="s">
        <v>66</v>
      </c>
      <c r="D32" s="266"/>
      <c r="E32" s="266"/>
      <c r="F32" s="266"/>
      <c r="G32" s="79">
        <f>VLOOKUP(C32,Table15[],2,FALSE)</f>
        <v>3</v>
      </c>
      <c r="H32" s="266"/>
      <c r="I32" s="266"/>
      <c r="J32" s="266"/>
      <c r="K32" s="266"/>
      <c r="L32" s="43">
        <f t="shared" si="1"/>
        <v>0</v>
      </c>
    </row>
    <row r="33" spans="1:12">
      <c r="A33" s="327"/>
      <c r="B33" s="266"/>
      <c r="C33" s="71" t="s">
        <v>66</v>
      </c>
      <c r="D33" s="266"/>
      <c r="E33" s="266"/>
      <c r="F33" s="266"/>
      <c r="G33" s="79">
        <f>VLOOKUP(C33,Table15[],2,FALSE)</f>
        <v>3</v>
      </c>
      <c r="H33" s="266"/>
      <c r="I33" s="266"/>
      <c r="J33" s="266"/>
      <c r="K33" s="266"/>
      <c r="L33" s="43">
        <f t="shared" si="1"/>
        <v>0</v>
      </c>
    </row>
    <row r="34" spans="1:12">
      <c r="A34" s="327"/>
      <c r="B34" s="266"/>
      <c r="C34" s="71" t="s">
        <v>66</v>
      </c>
      <c r="D34" s="266"/>
      <c r="E34" s="266"/>
      <c r="F34" s="266"/>
      <c r="G34" s="79">
        <f>VLOOKUP(C34,Table15[],2,FALSE)</f>
        <v>3</v>
      </c>
      <c r="H34" s="266"/>
      <c r="I34" s="266"/>
      <c r="J34" s="266"/>
      <c r="K34" s="266"/>
      <c r="L34" s="43">
        <f t="shared" si="1"/>
        <v>0</v>
      </c>
    </row>
    <row r="35" spans="1:12">
      <c r="A35" s="327"/>
      <c r="B35" s="266"/>
      <c r="C35" s="71" t="s">
        <v>66</v>
      </c>
      <c r="D35" s="266"/>
      <c r="E35" s="266"/>
      <c r="F35" s="266"/>
      <c r="G35" s="79">
        <f>VLOOKUP(C35,Table15[],2,FALSE)</f>
        <v>3</v>
      </c>
      <c r="H35" s="266"/>
      <c r="I35" s="266"/>
      <c r="J35" s="266"/>
      <c r="K35" s="266"/>
      <c r="L35" s="43">
        <f t="shared" si="1"/>
        <v>0</v>
      </c>
    </row>
    <row r="36" spans="1:12">
      <c r="A36" s="327"/>
      <c r="B36" s="266"/>
      <c r="C36" s="71" t="s">
        <v>66</v>
      </c>
      <c r="D36" s="266"/>
      <c r="E36" s="266"/>
      <c r="F36" s="266"/>
      <c r="G36" s="79">
        <f>VLOOKUP(C36,Table15[],2,FALSE)</f>
        <v>3</v>
      </c>
      <c r="H36" s="266"/>
      <c r="I36" s="266"/>
      <c r="J36" s="266"/>
      <c r="K36" s="266"/>
      <c r="L36" s="43">
        <f t="shared" si="1"/>
        <v>0</v>
      </c>
    </row>
    <row r="37" spans="1:12">
      <c r="A37" s="327"/>
      <c r="B37" s="266"/>
      <c r="C37" s="71" t="s">
        <v>66</v>
      </c>
      <c r="D37" s="266"/>
      <c r="E37" s="266"/>
      <c r="F37" s="266"/>
      <c r="G37" s="79">
        <f>VLOOKUP(C37,Table15[],2,FALSE)</f>
        <v>3</v>
      </c>
      <c r="H37" s="266"/>
      <c r="I37" s="266"/>
      <c r="J37" s="266"/>
      <c r="K37" s="266"/>
      <c r="L37" s="43">
        <f t="shared" si="1"/>
        <v>0</v>
      </c>
    </row>
    <row r="38" spans="1:12">
      <c r="A38" s="348"/>
      <c r="B38" s="80"/>
      <c r="C38" s="80"/>
      <c r="D38" s="80"/>
      <c r="E38" s="80"/>
      <c r="F38" s="80"/>
      <c r="G38" s="81"/>
      <c r="H38" s="80"/>
      <c r="I38" s="80"/>
      <c r="J38" s="80"/>
      <c r="K38" s="80"/>
      <c r="L38" s="45">
        <f t="shared" si="1"/>
        <v>0</v>
      </c>
    </row>
    <row r="40" spans="1:12">
      <c r="A40" s="551" t="s">
        <v>133</v>
      </c>
      <c r="B40" s="446"/>
      <c r="C40" s="75">
        <f>SUM(L42:L57)</f>
        <v>58</v>
      </c>
      <c r="D40" s="75"/>
      <c r="E40" s="75"/>
    </row>
    <row r="41" spans="1:12" ht="16.5" customHeight="1">
      <c r="A41" s="76" t="s">
        <v>497</v>
      </c>
      <c r="B41" s="77" t="s">
        <v>498</v>
      </c>
      <c r="C41" s="77" t="s">
        <v>499</v>
      </c>
      <c r="D41" s="78" t="s">
        <v>500</v>
      </c>
      <c r="E41" s="78" t="s">
        <v>501</v>
      </c>
      <c r="F41" s="78" t="s">
        <v>502</v>
      </c>
      <c r="G41" s="78" t="s">
        <v>503</v>
      </c>
      <c r="H41" s="78" t="s">
        <v>504</v>
      </c>
      <c r="I41" s="78" t="s">
        <v>505</v>
      </c>
      <c r="J41" s="78" t="s">
        <v>506</v>
      </c>
      <c r="K41" s="78" t="s">
        <v>507</v>
      </c>
      <c r="L41" s="86" t="s">
        <v>515</v>
      </c>
    </row>
    <row r="42" spans="1:12">
      <c r="A42" s="327">
        <v>1</v>
      </c>
      <c r="B42" s="71" t="s">
        <v>509</v>
      </c>
      <c r="C42" s="71" t="s">
        <v>66</v>
      </c>
      <c r="D42" s="79">
        <f>('Mould Costing'!$D$11+30)*('Mould Costing'!$E$11+30)*('Mould Costing'!$F$11+10)/1000</f>
        <v>17092.808173182861</v>
      </c>
      <c r="E42" s="79">
        <f>('Mould Costing'!$D$11)*('Mould Costing'!$E$11)*('Mould Costing'!$F$11)/1000</f>
        <v>12124.476567935471</v>
      </c>
      <c r="F42" s="79">
        <f>D42-E42</f>
        <v>4968.3316052473892</v>
      </c>
      <c r="G42" s="79">
        <f>VLOOKUP(C42,Table15[],2,FALSE)</f>
        <v>3</v>
      </c>
      <c r="H42" s="82">
        <f>F42/G42</f>
        <v>1656.110535082463</v>
      </c>
      <c r="I42" s="266"/>
      <c r="J42" s="266">
        <v>30</v>
      </c>
      <c r="K42" s="266">
        <v>45</v>
      </c>
      <c r="L42" s="43">
        <f>ROUNDUP((K42+H42+I42+J42)/60,0)</f>
        <v>29</v>
      </c>
    </row>
    <row r="43" spans="1:12">
      <c r="A43" s="327">
        <v>2</v>
      </c>
      <c r="B43" s="266" t="s">
        <v>510</v>
      </c>
      <c r="C43" s="71" t="s">
        <v>69</v>
      </c>
      <c r="D43" s="79">
        <f>('Mould Costing'!$D$11+1)*('Mould Costing'!$E$11+1)*('Mould Costing'!$F$11+1)/1000</f>
        <v>12322.48932622847</v>
      </c>
      <c r="E43" s="79">
        <f>('Mould Costing'!$D$11)*('Mould Costing'!$E$11)*('Mould Costing'!$F$11)/1000</f>
        <v>12124.476567935471</v>
      </c>
      <c r="F43" s="79">
        <f>D43-E43</f>
        <v>198.01275829299811</v>
      </c>
      <c r="G43" s="79">
        <f>VLOOKUP(C43,Table15[],2,FALSE)</f>
        <v>0.17499999999999999</v>
      </c>
      <c r="H43" s="79">
        <f>F43/G43</f>
        <v>1131.5014759599892</v>
      </c>
      <c r="I43" s="266"/>
      <c r="J43" s="266">
        <v>30</v>
      </c>
      <c r="K43" s="266">
        <v>45</v>
      </c>
      <c r="L43" s="43">
        <f>ROUNDUP((K43+H43+I43+J43)/60,0)</f>
        <v>21</v>
      </c>
    </row>
    <row r="44" spans="1:12">
      <c r="A44" s="327">
        <v>3</v>
      </c>
      <c r="B44" s="266" t="s">
        <v>516</v>
      </c>
      <c r="C44" s="71" t="s">
        <v>71</v>
      </c>
      <c r="D44" s="79">
        <f>3.14/4*4*4*('Mould Costing'!F11/10)</f>
        <v>228.49508164464828</v>
      </c>
      <c r="E44" s="266">
        <v>0</v>
      </c>
      <c r="F44" s="79">
        <f>D44-E44</f>
        <v>228.49508164464828</v>
      </c>
      <c r="G44" s="79">
        <f>VLOOKUP(C44,Table15[],2,FALSE)</f>
        <v>1</v>
      </c>
      <c r="H44" s="79">
        <f>F44/G44</f>
        <v>228.49508164464828</v>
      </c>
      <c r="I44" s="266"/>
      <c r="J44" s="266">
        <v>30</v>
      </c>
      <c r="K44" s="266">
        <v>45</v>
      </c>
      <c r="L44" s="43">
        <f>ROUNDUP((K44+H44+I44+J44)/60,0)</f>
        <v>6</v>
      </c>
    </row>
    <row r="45" spans="1:12">
      <c r="A45" s="327">
        <v>4</v>
      </c>
      <c r="B45" s="266" t="s">
        <v>517</v>
      </c>
      <c r="C45" s="71" t="s">
        <v>71</v>
      </c>
      <c r="D45" s="79">
        <f>3.14/4*2*2*('Mould Costing'!F12/10)</f>
        <v>17.885885205581033</v>
      </c>
      <c r="E45" s="266">
        <v>0</v>
      </c>
      <c r="F45" s="79">
        <f>D45-E45</f>
        <v>17.885885205581033</v>
      </c>
      <c r="G45" s="79">
        <f>VLOOKUP(C45,Table15[],2,FALSE)</f>
        <v>1</v>
      </c>
      <c r="H45" s="79">
        <f>F45/G45</f>
        <v>17.885885205581033</v>
      </c>
      <c r="I45" s="266"/>
      <c r="J45" s="266">
        <v>30</v>
      </c>
      <c r="K45" s="266">
        <v>45</v>
      </c>
      <c r="L45" s="43">
        <f>ROUNDUP((K45+H45+I45+J45)/60,0)</f>
        <v>2</v>
      </c>
    </row>
    <row r="46" spans="1:12">
      <c r="A46" s="337"/>
      <c r="B46" s="266"/>
      <c r="C46" s="71"/>
      <c r="D46" s="266"/>
      <c r="E46" s="266"/>
      <c r="F46" s="266"/>
      <c r="G46" s="266"/>
      <c r="H46" s="266"/>
      <c r="I46" s="266"/>
      <c r="J46" s="266"/>
      <c r="K46" s="266"/>
      <c r="L46" s="87"/>
    </row>
    <row r="47" spans="1:12">
      <c r="A47" s="337"/>
      <c r="B47" s="266"/>
      <c r="C47" s="71"/>
      <c r="D47" s="266"/>
      <c r="E47" s="266"/>
      <c r="F47" s="266"/>
      <c r="G47" s="266"/>
      <c r="H47" s="266"/>
      <c r="I47" s="266"/>
      <c r="J47" s="266"/>
      <c r="K47" s="266"/>
      <c r="L47" s="87"/>
    </row>
    <row r="48" spans="1:12">
      <c r="A48" s="337"/>
      <c r="B48" s="266"/>
      <c r="C48" s="71"/>
      <c r="D48" s="266"/>
      <c r="E48" s="266"/>
      <c r="F48" s="266"/>
      <c r="G48" s="266"/>
      <c r="H48" s="266"/>
      <c r="I48" s="266"/>
      <c r="J48" s="266"/>
      <c r="K48" s="266"/>
      <c r="L48" s="87"/>
    </row>
    <row r="49" spans="1:12">
      <c r="A49" s="337"/>
      <c r="B49" s="266"/>
      <c r="C49" s="71"/>
      <c r="D49" s="266"/>
      <c r="E49" s="266"/>
      <c r="F49" s="266"/>
      <c r="G49" s="266"/>
      <c r="H49" s="266"/>
      <c r="I49" s="266"/>
      <c r="J49" s="266"/>
      <c r="K49" s="266"/>
      <c r="L49" s="87"/>
    </row>
    <row r="50" spans="1:12">
      <c r="A50" s="337"/>
      <c r="B50" s="266"/>
      <c r="C50" s="71"/>
      <c r="D50" s="266"/>
      <c r="E50" s="266"/>
      <c r="F50" s="266"/>
      <c r="G50" s="266"/>
      <c r="H50" s="266"/>
      <c r="I50" s="266"/>
      <c r="J50" s="266"/>
      <c r="K50" s="266"/>
      <c r="L50" s="87"/>
    </row>
    <row r="51" spans="1:12">
      <c r="A51" s="337"/>
      <c r="B51" s="266"/>
      <c r="C51" s="71"/>
      <c r="D51" s="266"/>
      <c r="E51" s="266"/>
      <c r="F51" s="266"/>
      <c r="G51" s="266"/>
      <c r="H51" s="266"/>
      <c r="I51" s="266"/>
      <c r="J51" s="266"/>
      <c r="K51" s="266"/>
      <c r="L51" s="87"/>
    </row>
    <row r="52" spans="1:12">
      <c r="A52" s="337"/>
      <c r="B52" s="266"/>
      <c r="C52" s="71"/>
      <c r="D52" s="266"/>
      <c r="E52" s="266"/>
      <c r="F52" s="266"/>
      <c r="G52" s="266"/>
      <c r="H52" s="266"/>
      <c r="I52" s="266"/>
      <c r="J52" s="266"/>
      <c r="K52" s="266"/>
      <c r="L52" s="87"/>
    </row>
    <row r="53" spans="1:12">
      <c r="A53" s="337"/>
      <c r="B53" s="266"/>
      <c r="C53" s="71"/>
      <c r="D53" s="266"/>
      <c r="E53" s="266"/>
      <c r="F53" s="266"/>
      <c r="G53" s="266"/>
      <c r="H53" s="266"/>
      <c r="I53" s="266"/>
      <c r="J53" s="266"/>
      <c r="K53" s="266"/>
      <c r="L53" s="87"/>
    </row>
    <row r="54" spans="1:12">
      <c r="A54" s="337"/>
      <c r="B54" s="266"/>
      <c r="C54" s="71"/>
      <c r="D54" s="266"/>
      <c r="E54" s="266"/>
      <c r="F54" s="266"/>
      <c r="G54" s="266"/>
      <c r="H54" s="266"/>
      <c r="I54" s="266"/>
      <c r="J54" s="266"/>
      <c r="K54" s="266"/>
      <c r="L54" s="87"/>
    </row>
    <row r="55" spans="1:12">
      <c r="A55" s="337"/>
      <c r="B55" s="266"/>
      <c r="C55" s="71"/>
      <c r="D55" s="266"/>
      <c r="E55" s="266"/>
      <c r="F55" s="266"/>
      <c r="G55" s="266"/>
      <c r="H55" s="266"/>
      <c r="I55" s="266"/>
      <c r="J55" s="266"/>
      <c r="K55" s="266"/>
      <c r="L55" s="87"/>
    </row>
    <row r="56" spans="1:12">
      <c r="A56" s="337"/>
      <c r="B56" s="266"/>
      <c r="C56" s="71"/>
      <c r="D56" s="266"/>
      <c r="E56" s="266"/>
      <c r="F56" s="266"/>
      <c r="G56" s="266"/>
      <c r="H56" s="266"/>
      <c r="I56" s="266"/>
      <c r="J56" s="266"/>
      <c r="K56" s="266"/>
      <c r="L56" s="87"/>
    </row>
    <row r="57" spans="1:12">
      <c r="A57" s="348"/>
      <c r="B57" s="80"/>
      <c r="C57" s="80"/>
      <c r="D57" s="80"/>
      <c r="E57" s="80"/>
      <c r="F57" s="80"/>
      <c r="G57" s="80"/>
      <c r="H57" s="80"/>
      <c r="I57" s="80"/>
      <c r="J57" s="80"/>
      <c r="K57" s="80"/>
      <c r="L57" s="88"/>
    </row>
    <row r="59" spans="1:12">
      <c r="A59" s="551" t="s">
        <v>134</v>
      </c>
      <c r="B59" s="446"/>
      <c r="C59" s="75" t="e">
        <f>SUM(L61:L76)</f>
        <v>#N/A</v>
      </c>
      <c r="D59" s="75"/>
      <c r="E59" s="75"/>
    </row>
    <row r="60" spans="1:12" ht="16.5" customHeight="1">
      <c r="A60" s="76" t="s">
        <v>497</v>
      </c>
      <c r="B60" s="77" t="s">
        <v>498</v>
      </c>
      <c r="C60" s="77" t="s">
        <v>499</v>
      </c>
      <c r="D60" s="78" t="s">
        <v>500</v>
      </c>
      <c r="E60" s="78" t="s">
        <v>501</v>
      </c>
      <c r="F60" s="78" t="s">
        <v>502</v>
      </c>
      <c r="G60" s="78" t="s">
        <v>503</v>
      </c>
      <c r="H60" s="78" t="s">
        <v>504</v>
      </c>
      <c r="I60" s="78" t="s">
        <v>505</v>
      </c>
      <c r="J60" s="78" t="s">
        <v>506</v>
      </c>
      <c r="K60" s="78" t="s">
        <v>507</v>
      </c>
      <c r="L60" s="86" t="s">
        <v>515</v>
      </c>
    </row>
    <row r="61" spans="1:12">
      <c r="A61" s="327">
        <v>1</v>
      </c>
      <c r="B61" s="71" t="s">
        <v>509</v>
      </c>
      <c r="C61" s="71" t="s">
        <v>66</v>
      </c>
      <c r="D61" s="79">
        <f>('Mould Costing'!$D$12+10)*('Mould Costing'!$E$12+10)*('Mould Costing'!$F$12+10)/1000</f>
        <v>10451.459089930508</v>
      </c>
      <c r="E61" s="79">
        <f>('Mould Costing'!$D$12)*('Mould Costing'!$E$12)*('Mould Costing'!$F$12)/1000</f>
        <v>8419.3222992721549</v>
      </c>
      <c r="F61" s="79">
        <f t="shared" ref="F61:F76" si="2">D61-E61</f>
        <v>2032.1367906583528</v>
      </c>
      <c r="G61" s="79">
        <f>VLOOKUP(C61,Table15[],2,FALSE)</f>
        <v>3</v>
      </c>
      <c r="H61" s="82">
        <f t="shared" ref="H61:H76" si="3">F61/G61</f>
        <v>677.37893021945092</v>
      </c>
      <c r="I61" s="266"/>
      <c r="J61" s="266">
        <v>30</v>
      </c>
      <c r="K61" s="266">
        <v>45</v>
      </c>
      <c r="L61" s="43">
        <f t="shared" ref="L61:L76" si="4">ROUNDUP((K61+H61+I61+J61)/60,0)</f>
        <v>13</v>
      </c>
    </row>
    <row r="62" spans="1:12">
      <c r="A62" s="327">
        <v>2</v>
      </c>
      <c r="B62" s="266" t="s">
        <v>510</v>
      </c>
      <c r="C62" s="71" t="s">
        <v>69</v>
      </c>
      <c r="D62" s="79">
        <f>('Mould Costing'!$D$12+1)*('Mould Costing'!$E$12+1)*('Mould Costing'!$F$12+1)/1000</f>
        <v>8614.567410356025</v>
      </c>
      <c r="E62" s="79">
        <f>('Mould Costing'!$D$12)*('Mould Costing'!$E$12)*('Mould Costing'!$F$12)/1000</f>
        <v>8419.3222992721549</v>
      </c>
      <c r="F62" s="79">
        <f t="shared" si="2"/>
        <v>195.24511108387014</v>
      </c>
      <c r="G62" s="79">
        <f>VLOOKUP(C62,Table15[],2,FALSE)</f>
        <v>0.17499999999999999</v>
      </c>
      <c r="H62" s="79">
        <f t="shared" si="3"/>
        <v>1115.6863490506867</v>
      </c>
      <c r="I62" s="266"/>
      <c r="J62" s="266">
        <v>30</v>
      </c>
      <c r="K62" s="266">
        <v>45</v>
      </c>
      <c r="L62" s="43">
        <f t="shared" si="4"/>
        <v>20</v>
      </c>
    </row>
    <row r="63" spans="1:12">
      <c r="A63" s="327">
        <v>3</v>
      </c>
      <c r="B63" s="266" t="s">
        <v>518</v>
      </c>
      <c r="C63" s="71" t="s">
        <v>71</v>
      </c>
      <c r="D63" s="79">
        <f>3.14*1.5*1.5*('Mould Costing'!F12/10)*4</f>
        <v>160.97296685022926</v>
      </c>
      <c r="E63" s="266">
        <v>0</v>
      </c>
      <c r="F63" s="79">
        <f t="shared" si="2"/>
        <v>160.97296685022926</v>
      </c>
      <c r="G63" s="79">
        <f>VLOOKUP(C63,Table15[],2,FALSE)</f>
        <v>1</v>
      </c>
      <c r="H63" s="79">
        <f t="shared" si="3"/>
        <v>160.97296685022926</v>
      </c>
      <c r="I63" s="266"/>
      <c r="J63" s="266">
        <v>30</v>
      </c>
      <c r="K63" s="266">
        <v>45</v>
      </c>
      <c r="L63" s="43">
        <f t="shared" si="4"/>
        <v>4</v>
      </c>
    </row>
    <row r="64" spans="1:12">
      <c r="A64" s="327">
        <v>4</v>
      </c>
      <c r="B64" s="266" t="s">
        <v>519</v>
      </c>
      <c r="C64" s="71" t="s">
        <v>67</v>
      </c>
      <c r="D64" s="79">
        <f>3.14/4*2*2*1*4</f>
        <v>12.56</v>
      </c>
      <c r="E64" s="266">
        <v>0</v>
      </c>
      <c r="F64" s="79">
        <f t="shared" si="2"/>
        <v>12.56</v>
      </c>
      <c r="G64" s="79">
        <f>VLOOKUP(C64,Table15[],2,FALSE)</f>
        <v>5</v>
      </c>
      <c r="H64" s="79">
        <f t="shared" si="3"/>
        <v>2.512</v>
      </c>
      <c r="I64" s="266"/>
      <c r="J64" s="266">
        <v>30</v>
      </c>
      <c r="K64" s="266">
        <v>45</v>
      </c>
      <c r="L64" s="43">
        <f t="shared" si="4"/>
        <v>2</v>
      </c>
    </row>
    <row r="65" spans="1:12">
      <c r="A65" s="327">
        <v>5</v>
      </c>
      <c r="B65" s="266" t="s">
        <v>513</v>
      </c>
      <c r="C65" s="71" t="s">
        <v>72</v>
      </c>
      <c r="D65" s="79">
        <f>0.785*0.6*0.6*'Mould Costing'!F12</f>
        <v>16.097296685022926</v>
      </c>
      <c r="E65" s="266">
        <v>0</v>
      </c>
      <c r="F65" s="79">
        <f t="shared" si="2"/>
        <v>16.097296685022926</v>
      </c>
      <c r="G65" s="79">
        <f>VLOOKUP(C65,Table15[],2,FALSE)</f>
        <v>0.5</v>
      </c>
      <c r="H65" s="79">
        <f t="shared" si="3"/>
        <v>32.194593370045851</v>
      </c>
      <c r="I65" s="266"/>
      <c r="J65" s="266">
        <v>30</v>
      </c>
      <c r="K65" s="266">
        <v>45</v>
      </c>
      <c r="L65" s="43">
        <f t="shared" si="4"/>
        <v>2</v>
      </c>
    </row>
    <row r="66" spans="1:12">
      <c r="A66" s="337">
        <v>6</v>
      </c>
      <c r="B66" s="266" t="s">
        <v>520</v>
      </c>
      <c r="C66" s="71" t="s">
        <v>80</v>
      </c>
      <c r="D66" s="79">
        <f>50%*D63</f>
        <v>80.486483425114628</v>
      </c>
      <c r="E66" s="266">
        <v>0</v>
      </c>
      <c r="F66" s="79">
        <f t="shared" si="2"/>
        <v>80.486483425114628</v>
      </c>
      <c r="G66" s="79">
        <f>VLOOKUP(C66,Table15[],2,FALSE)</f>
        <v>1</v>
      </c>
      <c r="H66" s="79">
        <f t="shared" si="3"/>
        <v>80.486483425114628</v>
      </c>
      <c r="I66" s="266">
        <v>30</v>
      </c>
      <c r="J66" s="266"/>
      <c r="K66" s="266"/>
      <c r="L66" s="43">
        <f t="shared" si="4"/>
        <v>2</v>
      </c>
    </row>
    <row r="67" spans="1:12">
      <c r="A67" s="337"/>
      <c r="B67" s="266"/>
      <c r="C67" s="71"/>
      <c r="D67" s="266"/>
      <c r="E67" s="266"/>
      <c r="F67" s="79">
        <f t="shared" si="2"/>
        <v>0</v>
      </c>
      <c r="G67" s="79" t="e">
        <f>VLOOKUP(C67,Table15[],2,FALSE)</f>
        <v>#N/A</v>
      </c>
      <c r="H67" s="79" t="e">
        <f t="shared" si="3"/>
        <v>#N/A</v>
      </c>
      <c r="I67" s="266"/>
      <c r="J67" s="266"/>
      <c r="K67" s="266"/>
      <c r="L67" s="43" t="e">
        <f t="shared" si="4"/>
        <v>#N/A</v>
      </c>
    </row>
    <row r="68" spans="1:12">
      <c r="A68" s="337"/>
      <c r="B68" s="266"/>
      <c r="C68" s="71"/>
      <c r="D68" s="266"/>
      <c r="E68" s="266"/>
      <c r="F68" s="79">
        <f t="shared" si="2"/>
        <v>0</v>
      </c>
      <c r="G68" s="79" t="e">
        <f>VLOOKUP(C68,Table15[],2,FALSE)</f>
        <v>#N/A</v>
      </c>
      <c r="H68" s="79" t="e">
        <f t="shared" si="3"/>
        <v>#N/A</v>
      </c>
      <c r="I68" s="266"/>
      <c r="J68" s="266"/>
      <c r="K68" s="266"/>
      <c r="L68" s="43" t="e">
        <f t="shared" si="4"/>
        <v>#N/A</v>
      </c>
    </row>
    <row r="69" spans="1:12">
      <c r="A69" s="337"/>
      <c r="B69" s="266"/>
      <c r="C69" s="71"/>
      <c r="D69" s="266"/>
      <c r="E69" s="266"/>
      <c r="F69" s="79">
        <f t="shared" si="2"/>
        <v>0</v>
      </c>
      <c r="G69" s="79" t="e">
        <f>VLOOKUP(C69,Table15[],2,FALSE)</f>
        <v>#N/A</v>
      </c>
      <c r="H69" s="79" t="e">
        <f t="shared" si="3"/>
        <v>#N/A</v>
      </c>
      <c r="I69" s="266"/>
      <c r="J69" s="266"/>
      <c r="K69" s="266"/>
      <c r="L69" s="43" t="e">
        <f t="shared" si="4"/>
        <v>#N/A</v>
      </c>
    </row>
    <row r="70" spans="1:12">
      <c r="A70" s="337"/>
      <c r="B70" s="266"/>
      <c r="C70" s="71"/>
      <c r="D70" s="266"/>
      <c r="E70" s="266"/>
      <c r="F70" s="79">
        <f t="shared" si="2"/>
        <v>0</v>
      </c>
      <c r="G70" s="79" t="e">
        <f>VLOOKUP(C70,Table15[],2,FALSE)</f>
        <v>#N/A</v>
      </c>
      <c r="H70" s="79" t="e">
        <f t="shared" si="3"/>
        <v>#N/A</v>
      </c>
      <c r="I70" s="266"/>
      <c r="J70" s="266"/>
      <c r="K70" s="266"/>
      <c r="L70" s="43" t="e">
        <f t="shared" si="4"/>
        <v>#N/A</v>
      </c>
    </row>
    <row r="71" spans="1:12">
      <c r="A71" s="337"/>
      <c r="B71" s="266"/>
      <c r="C71" s="71"/>
      <c r="D71" s="266"/>
      <c r="E71" s="266"/>
      <c r="F71" s="79">
        <f t="shared" si="2"/>
        <v>0</v>
      </c>
      <c r="G71" s="79" t="e">
        <f>VLOOKUP(C71,Table15[],2,FALSE)</f>
        <v>#N/A</v>
      </c>
      <c r="H71" s="79" t="e">
        <f t="shared" si="3"/>
        <v>#N/A</v>
      </c>
      <c r="I71" s="266"/>
      <c r="J71" s="266"/>
      <c r="K71" s="266"/>
      <c r="L71" s="43" t="e">
        <f t="shared" si="4"/>
        <v>#N/A</v>
      </c>
    </row>
    <row r="72" spans="1:12">
      <c r="A72" s="337"/>
      <c r="B72" s="266"/>
      <c r="C72" s="71"/>
      <c r="D72" s="266"/>
      <c r="E72" s="266"/>
      <c r="F72" s="79">
        <f t="shared" si="2"/>
        <v>0</v>
      </c>
      <c r="G72" s="79" t="e">
        <f>VLOOKUP(C72,Table15[],2,FALSE)</f>
        <v>#N/A</v>
      </c>
      <c r="H72" s="79" t="e">
        <f t="shared" si="3"/>
        <v>#N/A</v>
      </c>
      <c r="I72" s="266"/>
      <c r="J72" s="266"/>
      <c r="K72" s="266"/>
      <c r="L72" s="43" t="e">
        <f t="shared" si="4"/>
        <v>#N/A</v>
      </c>
    </row>
    <row r="73" spans="1:12">
      <c r="A73" s="337"/>
      <c r="B73" s="266"/>
      <c r="C73" s="71"/>
      <c r="D73" s="266"/>
      <c r="E73" s="266"/>
      <c r="F73" s="79">
        <f t="shared" si="2"/>
        <v>0</v>
      </c>
      <c r="G73" s="79" t="e">
        <f>VLOOKUP(C73,Table15[],2,FALSE)</f>
        <v>#N/A</v>
      </c>
      <c r="H73" s="79" t="e">
        <f t="shared" si="3"/>
        <v>#N/A</v>
      </c>
      <c r="I73" s="266"/>
      <c r="J73" s="266"/>
      <c r="K73" s="266"/>
      <c r="L73" s="43" t="e">
        <f t="shared" si="4"/>
        <v>#N/A</v>
      </c>
    </row>
    <row r="74" spans="1:12">
      <c r="A74" s="337"/>
      <c r="B74" s="266"/>
      <c r="C74" s="71"/>
      <c r="D74" s="266"/>
      <c r="E74" s="266"/>
      <c r="F74" s="79">
        <f t="shared" si="2"/>
        <v>0</v>
      </c>
      <c r="G74" s="79" t="e">
        <f>VLOOKUP(C74,Table15[],2,FALSE)</f>
        <v>#N/A</v>
      </c>
      <c r="H74" s="79" t="e">
        <f t="shared" si="3"/>
        <v>#N/A</v>
      </c>
      <c r="I74" s="266"/>
      <c r="J74" s="266"/>
      <c r="K74" s="266"/>
      <c r="L74" s="43" t="e">
        <f t="shared" si="4"/>
        <v>#N/A</v>
      </c>
    </row>
    <row r="75" spans="1:12">
      <c r="A75" s="337"/>
      <c r="B75" s="266"/>
      <c r="C75" s="71"/>
      <c r="D75" s="266"/>
      <c r="E75" s="266"/>
      <c r="F75" s="79">
        <f t="shared" si="2"/>
        <v>0</v>
      </c>
      <c r="G75" s="79" t="e">
        <f>VLOOKUP(C75,Table15[],2,FALSE)</f>
        <v>#N/A</v>
      </c>
      <c r="H75" s="79" t="e">
        <f t="shared" si="3"/>
        <v>#N/A</v>
      </c>
      <c r="I75" s="266"/>
      <c r="J75" s="266"/>
      <c r="K75" s="266"/>
      <c r="L75" s="43" t="e">
        <f t="shared" si="4"/>
        <v>#N/A</v>
      </c>
    </row>
    <row r="76" spans="1:12">
      <c r="A76" s="348"/>
      <c r="B76" s="80"/>
      <c r="C76" s="80"/>
      <c r="D76" s="80"/>
      <c r="E76" s="80"/>
      <c r="F76" s="79">
        <f t="shared" si="2"/>
        <v>0</v>
      </c>
      <c r="G76" s="79" t="e">
        <f>VLOOKUP(C76,Table15[],2,FALSE)</f>
        <v>#N/A</v>
      </c>
      <c r="H76" s="79" t="e">
        <f t="shared" si="3"/>
        <v>#N/A</v>
      </c>
      <c r="I76" s="80"/>
      <c r="J76" s="80"/>
      <c r="K76" s="80"/>
      <c r="L76" s="43" t="e">
        <f t="shared" si="4"/>
        <v>#N/A</v>
      </c>
    </row>
    <row r="78" spans="1:12">
      <c r="A78" s="551" t="s">
        <v>135</v>
      </c>
      <c r="B78" s="446"/>
      <c r="C78" s="75">
        <f>SUM(L80:L95)</f>
        <v>37</v>
      </c>
      <c r="D78" s="75"/>
      <c r="E78" s="75"/>
    </row>
    <row r="79" spans="1:12" ht="16.5" customHeight="1">
      <c r="A79" s="76" t="s">
        <v>497</v>
      </c>
      <c r="B79" s="77" t="s">
        <v>498</v>
      </c>
      <c r="C79" s="77" t="s">
        <v>499</v>
      </c>
      <c r="D79" s="78" t="s">
        <v>500</v>
      </c>
      <c r="E79" s="78" t="s">
        <v>501</v>
      </c>
      <c r="F79" s="78" t="s">
        <v>521</v>
      </c>
      <c r="G79" s="78" t="s">
        <v>503</v>
      </c>
      <c r="H79" s="78" t="s">
        <v>504</v>
      </c>
      <c r="I79" s="78" t="s">
        <v>505</v>
      </c>
      <c r="J79" s="78" t="s">
        <v>506</v>
      </c>
      <c r="K79" s="78" t="s">
        <v>507</v>
      </c>
      <c r="L79" s="86" t="s">
        <v>515</v>
      </c>
    </row>
    <row r="80" spans="1:12">
      <c r="A80" s="327">
        <v>1</v>
      </c>
      <c r="B80" s="71" t="s">
        <v>509</v>
      </c>
      <c r="C80" s="71" t="s">
        <v>66</v>
      </c>
      <c r="D80" s="79">
        <f>('Mould Costing'!$D$13+10)*('Mould Costing'!$E$13+10)*('Mould Costing'!$F$13+10)/1000</f>
        <v>8578.477407313645</v>
      </c>
      <c r="E80" s="79">
        <f>('Mould Costing'!$D$13)*('Mould Costing'!$E$13)*('Mould Costing'!$F$13)/1000</f>
        <v>6645.6328196058948</v>
      </c>
      <c r="F80" s="79">
        <f>D80-E80</f>
        <v>1932.8445877077502</v>
      </c>
      <c r="G80" s="79">
        <f>VLOOKUP(C80,Table15[],2,FALSE)</f>
        <v>3</v>
      </c>
      <c r="H80" s="82">
        <f>F80/G80</f>
        <v>644.28152923591676</v>
      </c>
      <c r="I80" s="266"/>
      <c r="J80" s="266">
        <v>30</v>
      </c>
      <c r="K80" s="266">
        <v>45</v>
      </c>
      <c r="L80" s="43">
        <f>ROUNDUP((K80+H80+I80+J80)/60,0)</f>
        <v>12</v>
      </c>
    </row>
    <row r="81" spans="1:12">
      <c r="A81" s="327">
        <v>2</v>
      </c>
      <c r="B81" s="266" t="s">
        <v>510</v>
      </c>
      <c r="C81" s="71" t="s">
        <v>69</v>
      </c>
      <c r="D81" s="79">
        <f>('Mould Costing'!$D$13+1)*('Mould Costing'!$E$13+1)*('Mould Costing'!$F$13+1)/1000</f>
        <v>6831.0567103947042</v>
      </c>
      <c r="E81" s="79">
        <f>('Mould Costing'!$D$13)*('Mould Costing'!$E$13)*('Mould Costing'!$F$13)/1000</f>
        <v>6645.6328196058948</v>
      </c>
      <c r="F81" s="79">
        <f>D81-E81</f>
        <v>185.42389078880933</v>
      </c>
      <c r="G81" s="79">
        <f>VLOOKUP(C81,Table15[],2,FALSE)</f>
        <v>0.17499999999999999</v>
      </c>
      <c r="H81" s="79">
        <f>F81/G81</f>
        <v>1059.5650902217676</v>
      </c>
      <c r="I81" s="266"/>
      <c r="J81" s="266">
        <v>30</v>
      </c>
      <c r="K81" s="266">
        <v>45</v>
      </c>
      <c r="L81" s="43">
        <f>ROUNDUP((K81+H81+I81+J81)/60,0)</f>
        <v>19</v>
      </c>
    </row>
    <row r="82" spans="1:12">
      <c r="A82" s="327">
        <v>3</v>
      </c>
      <c r="B82" s="266" t="s">
        <v>522</v>
      </c>
      <c r="C82" s="71" t="s">
        <v>71</v>
      </c>
      <c r="D82" s="79">
        <f>3.14*1.5*1.5*('Mould Costing'!F13/10)*4</f>
        <v>127.06096685022926</v>
      </c>
      <c r="E82" s="266">
        <v>0</v>
      </c>
      <c r="F82" s="79">
        <f>D82-E82</f>
        <v>127.06096685022926</v>
      </c>
      <c r="G82" s="79">
        <f>VLOOKUP(C82,Table15[],2,FALSE)</f>
        <v>1</v>
      </c>
      <c r="H82" s="79">
        <f>F82/G82</f>
        <v>127.06096685022926</v>
      </c>
      <c r="I82" s="266"/>
      <c r="J82" s="266">
        <v>30</v>
      </c>
      <c r="K82" s="266">
        <v>45</v>
      </c>
      <c r="L82" s="43">
        <f>ROUNDUP((K82+H82+I82+J82)/60,0)</f>
        <v>4</v>
      </c>
    </row>
    <row r="83" spans="1:12">
      <c r="A83" s="327">
        <v>4</v>
      </c>
      <c r="B83" s="266" t="s">
        <v>523</v>
      </c>
      <c r="C83" s="71" t="s">
        <v>67</v>
      </c>
      <c r="D83" s="79">
        <f>3.14*2*2*1*4</f>
        <v>50.24</v>
      </c>
      <c r="E83" s="266">
        <v>0</v>
      </c>
      <c r="F83" s="79">
        <f>D83-E83</f>
        <v>50.24</v>
      </c>
      <c r="G83" s="79">
        <f>VLOOKUP(C83,Table15[],2,FALSE)</f>
        <v>5</v>
      </c>
      <c r="H83" s="79">
        <f>F83/G83</f>
        <v>10.048</v>
      </c>
      <c r="I83" s="266"/>
      <c r="J83" s="266">
        <v>30</v>
      </c>
      <c r="K83" s="266">
        <v>45</v>
      </c>
      <c r="L83" s="43">
        <f>ROUNDUP((K83+H83+I83+J83)/60,0)</f>
        <v>2</v>
      </c>
    </row>
    <row r="84" spans="1:12">
      <c r="A84" s="337"/>
      <c r="B84" s="266"/>
      <c r="C84" s="71"/>
      <c r="D84" s="266"/>
      <c r="E84" s="266"/>
      <c r="F84" s="266"/>
      <c r="G84" s="266"/>
      <c r="H84" s="266"/>
      <c r="I84" s="266"/>
      <c r="J84" s="266"/>
      <c r="K84" s="266"/>
      <c r="L84" s="87"/>
    </row>
    <row r="85" spans="1:12">
      <c r="A85" s="337"/>
      <c r="B85" s="266"/>
      <c r="C85" s="71"/>
      <c r="D85" s="266"/>
      <c r="E85" s="266"/>
      <c r="F85" s="266"/>
      <c r="G85" s="266"/>
      <c r="H85" s="266"/>
      <c r="I85" s="266"/>
      <c r="J85" s="266"/>
      <c r="K85" s="266"/>
      <c r="L85" s="87"/>
    </row>
    <row r="86" spans="1:12">
      <c r="A86" s="337"/>
      <c r="B86" s="266"/>
      <c r="C86" s="71"/>
      <c r="D86" s="266"/>
      <c r="E86" s="266"/>
      <c r="F86" s="266"/>
      <c r="G86" s="266"/>
      <c r="H86" s="266"/>
      <c r="I86" s="266"/>
      <c r="J86" s="266"/>
      <c r="K86" s="266"/>
      <c r="L86" s="87"/>
    </row>
    <row r="87" spans="1:12">
      <c r="A87" s="337"/>
      <c r="B87" s="266"/>
      <c r="C87" s="71"/>
      <c r="D87" s="266"/>
      <c r="E87" s="266"/>
      <c r="F87" s="266"/>
      <c r="G87" s="266"/>
      <c r="H87" s="266"/>
      <c r="I87" s="266"/>
      <c r="J87" s="266"/>
      <c r="K87" s="266"/>
      <c r="L87" s="87"/>
    </row>
    <row r="88" spans="1:12">
      <c r="A88" s="337"/>
      <c r="B88" s="266"/>
      <c r="C88" s="71"/>
      <c r="D88" s="266"/>
      <c r="E88" s="266"/>
      <c r="F88" s="266"/>
      <c r="G88" s="266"/>
      <c r="H88" s="266"/>
      <c r="I88" s="266"/>
      <c r="J88" s="266"/>
      <c r="K88" s="266"/>
      <c r="L88" s="87"/>
    </row>
    <row r="89" spans="1:12">
      <c r="A89" s="337"/>
      <c r="B89" s="266"/>
      <c r="C89" s="71"/>
      <c r="D89" s="266"/>
      <c r="E89" s="266"/>
      <c r="F89" s="266"/>
      <c r="G89" s="266"/>
      <c r="H89" s="266"/>
      <c r="I89" s="266"/>
      <c r="J89" s="266"/>
      <c r="K89" s="266"/>
      <c r="L89" s="87"/>
    </row>
    <row r="90" spans="1:12">
      <c r="A90" s="337"/>
      <c r="B90" s="266"/>
      <c r="C90" s="71"/>
      <c r="D90" s="266"/>
      <c r="E90" s="266"/>
      <c r="F90" s="266"/>
      <c r="G90" s="266"/>
      <c r="H90" s="266"/>
      <c r="I90" s="266"/>
      <c r="J90" s="266"/>
      <c r="K90" s="266"/>
      <c r="L90" s="87"/>
    </row>
    <row r="91" spans="1:12">
      <c r="A91" s="337"/>
      <c r="B91" s="266"/>
      <c r="C91" s="71"/>
      <c r="D91" s="266"/>
      <c r="E91" s="266"/>
      <c r="F91" s="266"/>
      <c r="G91" s="266"/>
      <c r="H91" s="266"/>
      <c r="I91" s="266"/>
      <c r="J91" s="266"/>
      <c r="K91" s="266"/>
      <c r="L91" s="87"/>
    </row>
    <row r="92" spans="1:12">
      <c r="A92" s="337"/>
      <c r="B92" s="266"/>
      <c r="C92" s="71"/>
      <c r="D92" s="266"/>
      <c r="E92" s="266"/>
      <c r="F92" s="266"/>
      <c r="G92" s="266"/>
      <c r="H92" s="266"/>
      <c r="I92" s="266"/>
      <c r="J92" s="266"/>
      <c r="K92" s="266"/>
      <c r="L92" s="87"/>
    </row>
    <row r="93" spans="1:12">
      <c r="A93" s="337"/>
      <c r="B93" s="266"/>
      <c r="C93" s="71"/>
      <c r="D93" s="266"/>
      <c r="E93" s="266"/>
      <c r="F93" s="266"/>
      <c r="G93" s="266"/>
      <c r="H93" s="266"/>
      <c r="I93" s="266"/>
      <c r="J93" s="266"/>
      <c r="K93" s="266"/>
      <c r="L93" s="87"/>
    </row>
    <row r="94" spans="1:12">
      <c r="A94" s="337"/>
      <c r="B94" s="266"/>
      <c r="C94" s="71"/>
      <c r="D94" s="266"/>
      <c r="E94" s="266"/>
      <c r="F94" s="266"/>
      <c r="G94" s="266"/>
      <c r="H94" s="266"/>
      <c r="I94" s="266"/>
      <c r="J94" s="266"/>
      <c r="K94" s="266"/>
      <c r="L94" s="87"/>
    </row>
    <row r="95" spans="1:12">
      <c r="A95" s="348"/>
      <c r="B95" s="80"/>
      <c r="C95" s="80"/>
      <c r="D95" s="80"/>
      <c r="E95" s="80"/>
      <c r="F95" s="80"/>
      <c r="G95" s="80"/>
      <c r="H95" s="80"/>
      <c r="I95" s="80"/>
      <c r="J95" s="80"/>
      <c r="K95" s="80"/>
      <c r="L95" s="88"/>
    </row>
    <row r="97" spans="1:13">
      <c r="A97" s="551" t="s">
        <v>136</v>
      </c>
      <c r="B97" s="446"/>
      <c r="C97" s="75">
        <f>SUM(L99:L115)</f>
        <v>149</v>
      </c>
      <c r="D97" s="75"/>
      <c r="E97" s="75"/>
    </row>
    <row r="98" spans="1:13" ht="16.5" customHeight="1">
      <c r="A98" s="76" t="s">
        <v>497</v>
      </c>
      <c r="B98" s="77" t="s">
        <v>498</v>
      </c>
      <c r="C98" s="77" t="s">
        <v>499</v>
      </c>
      <c r="D98" s="78" t="s">
        <v>500</v>
      </c>
      <c r="E98" s="78" t="s">
        <v>501</v>
      </c>
      <c r="F98" s="78" t="s">
        <v>502</v>
      </c>
      <c r="G98" s="78" t="s">
        <v>503</v>
      </c>
      <c r="H98" s="78" t="s">
        <v>504</v>
      </c>
      <c r="I98" s="78" t="s">
        <v>505</v>
      </c>
      <c r="J98" s="78" t="s">
        <v>506</v>
      </c>
      <c r="K98" s="78" t="s">
        <v>507</v>
      </c>
      <c r="L98" s="86" t="s">
        <v>515</v>
      </c>
    </row>
    <row r="99" spans="1:13">
      <c r="A99" s="327">
        <v>1</v>
      </c>
      <c r="B99" s="71" t="s">
        <v>509</v>
      </c>
      <c r="C99" s="71" t="s">
        <v>66</v>
      </c>
      <c r="D99" s="79">
        <f>('Mould Costing'!$D$14+10)*('Mould Costing'!$E$14+10)*('Mould Costing'!$F$14+10)/1000</f>
        <v>36175.809163019236</v>
      </c>
      <c r="E99" s="79">
        <f>('Mould Costing'!$D$14)*('Mould Costing'!$E$14)*('Mould Costing'!$F$14)/1000</f>
        <v>32136.160760325583</v>
      </c>
      <c r="F99" s="79">
        <f>D99-E99</f>
        <v>4039.6484026936523</v>
      </c>
      <c r="G99" s="79">
        <f>VLOOKUP(C99,Table15[],2,FALSE)</f>
        <v>3</v>
      </c>
      <c r="H99" s="82">
        <f t="shared" ref="H99:H106" si="5">F99/G99</f>
        <v>1346.5494675645507</v>
      </c>
      <c r="I99" s="266"/>
      <c r="J99" s="266">
        <v>30</v>
      </c>
      <c r="K99" s="266">
        <v>60</v>
      </c>
      <c r="L99" s="43">
        <f t="shared" ref="L99:L106" si="6">ROUNDUP((K99+H99+I99+J99)/60,0)</f>
        <v>24</v>
      </c>
    </row>
    <row r="100" spans="1:13">
      <c r="A100" s="327">
        <v>2</v>
      </c>
      <c r="B100" s="266" t="s">
        <v>510</v>
      </c>
      <c r="C100" s="71" t="s">
        <v>69</v>
      </c>
      <c r="D100" s="79">
        <f>('Mould Costing'!$D$14+1)*('Mould Costing'!$E$14+1)*('Mould Costing'!$F$14+1)/1000</f>
        <v>32529.615304380641</v>
      </c>
      <c r="E100" s="79">
        <f>('Mould Costing'!$D$14)*('Mould Costing'!$E$14)*('Mould Costing'!$F$14)/1000</f>
        <v>32136.160760325583</v>
      </c>
      <c r="F100" s="79">
        <f>D100-E100</f>
        <v>393.45454405505734</v>
      </c>
      <c r="G100" s="79">
        <f>VLOOKUP(C100,Table15[],2,FALSE)</f>
        <v>0.17499999999999999</v>
      </c>
      <c r="H100" s="82">
        <f t="shared" si="5"/>
        <v>2248.3116803146136</v>
      </c>
      <c r="I100" s="266"/>
      <c r="J100" s="266">
        <v>30</v>
      </c>
      <c r="K100" s="266">
        <v>60</v>
      </c>
      <c r="L100" s="43">
        <f t="shared" si="6"/>
        <v>39</v>
      </c>
    </row>
    <row r="101" spans="1:13">
      <c r="A101" s="327">
        <v>3</v>
      </c>
      <c r="B101" s="266" t="s">
        <v>524</v>
      </c>
      <c r="C101" s="71" t="s">
        <v>66</v>
      </c>
      <c r="D101" s="79">
        <f>$E$100</f>
        <v>32136.160760325583</v>
      </c>
      <c r="E101" s="79">
        <f>('Mould Costing'!$D$14+10)*('Mould Costing'!$E$14+10)*('Mould Costing'!$F$14-'Input-Output'!B4+10)/1000</f>
        <v>18079.641774259242</v>
      </c>
      <c r="F101" s="79">
        <f>(D101-E101)*0.5</f>
        <v>7028.2594930331707</v>
      </c>
      <c r="G101" s="79">
        <f>VLOOKUP(C101,Table15[],2,FALSE)</f>
        <v>3</v>
      </c>
      <c r="H101" s="82">
        <f t="shared" si="5"/>
        <v>2342.7531643443904</v>
      </c>
      <c r="I101" s="266"/>
      <c r="J101" s="266">
        <v>30</v>
      </c>
      <c r="K101" s="266">
        <v>45</v>
      </c>
      <c r="L101" s="43">
        <f t="shared" si="6"/>
        <v>41</v>
      </c>
    </row>
    <row r="102" spans="1:13">
      <c r="A102" s="327">
        <v>4</v>
      </c>
      <c r="B102" s="266" t="s">
        <v>525</v>
      </c>
      <c r="C102" s="71" t="s">
        <v>71</v>
      </c>
      <c r="D102" s="79">
        <f>0.785*('Guide Pillar'!I10/10)*('Guide Pillar'!I10/10)*(('Mould Costing'!$F$14-'Input-Output'!B4)/10)*4</f>
        <v>207.93163498605901</v>
      </c>
      <c r="E102" s="79">
        <v>0</v>
      </c>
      <c r="F102" s="79">
        <f>(D102-E102)*0.5</f>
        <v>103.9658174930295</v>
      </c>
      <c r="G102" s="79">
        <f>VLOOKUP(C102,Table15[],2,FALSE)</f>
        <v>1</v>
      </c>
      <c r="H102" s="79">
        <f t="shared" si="5"/>
        <v>103.9658174930295</v>
      </c>
      <c r="I102" s="266"/>
      <c r="J102" s="266">
        <v>30</v>
      </c>
      <c r="K102" s="266">
        <v>45</v>
      </c>
      <c r="L102" s="43">
        <f t="shared" si="6"/>
        <v>3</v>
      </c>
    </row>
    <row r="103" spans="1:13">
      <c r="A103" s="327">
        <v>5</v>
      </c>
      <c r="B103" s="266" t="s">
        <v>526</v>
      </c>
      <c r="C103" s="71" t="s">
        <v>67</v>
      </c>
      <c r="D103" s="79">
        <f>0.785*(('Guide Pillar'!F10/10)^2)*1*4</f>
        <v>62.789195441484971</v>
      </c>
      <c r="E103" s="79">
        <v>0</v>
      </c>
      <c r="F103" s="79">
        <f>(D103-E103)*0.5</f>
        <v>31.394597720742485</v>
      </c>
      <c r="G103" s="79">
        <f>VLOOKUP(C103,Table15[],2,FALSE)</f>
        <v>5</v>
      </c>
      <c r="H103" s="79">
        <f t="shared" si="5"/>
        <v>6.2789195441484971</v>
      </c>
      <c r="I103" s="266"/>
      <c r="J103" s="266">
        <v>30</v>
      </c>
      <c r="K103" s="266">
        <v>45</v>
      </c>
      <c r="L103" s="43">
        <f t="shared" si="6"/>
        <v>2</v>
      </c>
    </row>
    <row r="104" spans="1:13">
      <c r="A104" s="327">
        <v>6</v>
      </c>
      <c r="B104" s="266" t="s">
        <v>527</v>
      </c>
      <c r="C104" s="71" t="s">
        <v>79</v>
      </c>
      <c r="D104" s="79">
        <f>E101</f>
        <v>18079.641774259242</v>
      </c>
      <c r="E104" s="79">
        <f>('Mould Costing'!$D$14)*('Mould Costing'!$E$14)*('Mould Costing'!$F$14-'Input-Output'!B4)/1000</f>
        <v>14720.458903530454</v>
      </c>
      <c r="F104" s="79">
        <f>(D104-E104)*0.5</f>
        <v>1679.5914353643939</v>
      </c>
      <c r="G104" s="79">
        <f>VLOOKUP(C104,Table15[],2,FALSE)</f>
        <v>1</v>
      </c>
      <c r="H104" s="79">
        <f t="shared" si="5"/>
        <v>1679.5914353643939</v>
      </c>
      <c r="I104" s="266">
        <v>60</v>
      </c>
      <c r="J104" s="266">
        <v>30</v>
      </c>
      <c r="K104" s="266">
        <v>45</v>
      </c>
      <c r="L104" s="43">
        <f t="shared" si="6"/>
        <v>31</v>
      </c>
    </row>
    <row r="105" spans="1:13">
      <c r="A105" s="327">
        <v>7</v>
      </c>
      <c r="B105" s="266" t="s">
        <v>528</v>
      </c>
      <c r="C105" s="71" t="s">
        <v>80</v>
      </c>
      <c r="D105" s="266">
        <f>'Input-Output'!B7*'Input-Output'!B14/2000</f>
        <v>27.904</v>
      </c>
      <c r="E105" s="266">
        <v>0</v>
      </c>
      <c r="F105" s="79">
        <f>(D105-E105)</f>
        <v>27.904</v>
      </c>
      <c r="G105" s="79">
        <f>VLOOKUP(C105,Table15[],2,FALSE)</f>
        <v>1</v>
      </c>
      <c r="H105" s="79">
        <f t="shared" si="5"/>
        <v>27.904</v>
      </c>
      <c r="I105" s="266">
        <v>60</v>
      </c>
      <c r="J105" s="266">
        <v>30</v>
      </c>
      <c r="K105" s="266">
        <v>45</v>
      </c>
      <c r="L105" s="43">
        <f t="shared" si="6"/>
        <v>3</v>
      </c>
      <c r="M105" t="s">
        <v>529</v>
      </c>
    </row>
    <row r="106" spans="1:13">
      <c r="A106" s="327">
        <v>8</v>
      </c>
      <c r="B106" s="266" t="s">
        <v>530</v>
      </c>
      <c r="C106" s="71" t="s">
        <v>74</v>
      </c>
      <c r="D106" s="89">
        <f>0.785*1*1*('Mould Costing'!$E$14/10)*4</f>
        <v>171.8945977207425</v>
      </c>
      <c r="E106" s="266">
        <v>0</v>
      </c>
      <c r="F106" s="79">
        <f>(D106-E106)*0.5</f>
        <v>85.947298860371248</v>
      </c>
      <c r="G106" s="79">
        <f>VLOOKUP(C106,Table15[],2,FALSE)</f>
        <v>2</v>
      </c>
      <c r="H106" s="79">
        <f t="shared" si="5"/>
        <v>42.973649430185624</v>
      </c>
      <c r="I106" s="266"/>
      <c r="J106" s="266">
        <v>30</v>
      </c>
      <c r="K106" s="266">
        <v>45</v>
      </c>
      <c r="L106" s="43">
        <f t="shared" si="6"/>
        <v>2</v>
      </c>
      <c r="M106" t="s">
        <v>529</v>
      </c>
    </row>
    <row r="107" spans="1:13">
      <c r="A107" s="327">
        <v>9</v>
      </c>
      <c r="B107" s="266" t="s">
        <v>531</v>
      </c>
      <c r="C107" s="71" t="s">
        <v>69</v>
      </c>
      <c r="D107" s="266"/>
      <c r="E107" s="266"/>
      <c r="F107" s="266"/>
      <c r="G107" s="79">
        <f>VLOOKUP(C107,Table15[],2,FALSE)</f>
        <v>0.17499999999999999</v>
      </c>
      <c r="H107" s="266"/>
      <c r="I107" s="266"/>
      <c r="J107" s="266"/>
      <c r="K107" s="266"/>
      <c r="L107" s="87">
        <v>1</v>
      </c>
    </row>
    <row r="108" spans="1:13">
      <c r="A108" s="327">
        <v>10</v>
      </c>
      <c r="B108" s="266" t="s">
        <v>522</v>
      </c>
      <c r="C108" s="71" t="s">
        <v>72</v>
      </c>
      <c r="D108" s="89">
        <f>0.785*1.6*1.6*('Mould Costing'!$F$14/10)*4</f>
        <v>96.413085103863821</v>
      </c>
      <c r="E108" s="266">
        <v>0</v>
      </c>
      <c r="F108" s="79">
        <f>(D108-E108)*0.5</f>
        <v>48.206542551931911</v>
      </c>
      <c r="G108" s="79">
        <f>VLOOKUP(C108,Table15[],2,FALSE)</f>
        <v>0.5</v>
      </c>
      <c r="H108" s="79">
        <f>F108/G108</f>
        <v>96.413085103863821</v>
      </c>
      <c r="I108" s="266"/>
      <c r="J108" s="266">
        <v>30</v>
      </c>
      <c r="K108" s="266">
        <v>45</v>
      </c>
      <c r="L108" s="43">
        <f>ROUNDUP((K108+H108+I108+J108)/60,0)</f>
        <v>3</v>
      </c>
      <c r="M108" t="s">
        <v>529</v>
      </c>
    </row>
    <row r="109" spans="1:13">
      <c r="A109" s="327">
        <v>11</v>
      </c>
      <c r="B109" s="266" t="s">
        <v>532</v>
      </c>
      <c r="C109" s="71"/>
      <c r="D109" s="266"/>
      <c r="E109" s="266"/>
      <c r="F109" s="266"/>
      <c r="G109" s="79"/>
      <c r="H109" s="266"/>
      <c r="I109" s="266"/>
      <c r="J109" s="266"/>
      <c r="K109" s="266"/>
      <c r="L109" s="87"/>
    </row>
    <row r="110" spans="1:13">
      <c r="A110" s="327">
        <v>12</v>
      </c>
      <c r="B110" s="266"/>
      <c r="C110" s="71"/>
      <c r="D110" s="266"/>
      <c r="E110" s="266"/>
      <c r="F110" s="266"/>
      <c r="G110" s="266"/>
      <c r="H110" s="266"/>
      <c r="I110" s="266"/>
      <c r="J110" s="266"/>
      <c r="K110" s="266"/>
      <c r="L110" s="87"/>
    </row>
    <row r="111" spans="1:13">
      <c r="A111" s="337"/>
      <c r="B111" s="266"/>
      <c r="C111" s="71"/>
      <c r="D111" s="266"/>
      <c r="E111" s="266"/>
      <c r="F111" s="266"/>
      <c r="G111" s="266"/>
      <c r="H111" s="266"/>
      <c r="I111" s="266"/>
      <c r="J111" s="266"/>
      <c r="K111" s="266"/>
      <c r="L111" s="87"/>
    </row>
    <row r="112" spans="1:13">
      <c r="A112" s="337"/>
      <c r="B112" s="266"/>
      <c r="C112" s="71"/>
      <c r="D112" s="266"/>
      <c r="E112" s="266"/>
      <c r="F112" s="266"/>
      <c r="G112" s="266"/>
      <c r="H112" s="266"/>
      <c r="I112" s="266"/>
      <c r="J112" s="266"/>
      <c r="K112" s="266"/>
      <c r="L112" s="87"/>
    </row>
    <row r="113" spans="1:13">
      <c r="A113" s="337"/>
      <c r="B113" s="266"/>
      <c r="C113" s="71"/>
      <c r="D113" s="266"/>
      <c r="E113" s="266"/>
      <c r="F113" s="266"/>
      <c r="G113" s="266"/>
      <c r="H113" s="266"/>
      <c r="I113" s="266"/>
      <c r="J113" s="266"/>
      <c r="K113" s="266"/>
      <c r="L113" s="87"/>
    </row>
    <row r="114" spans="1:13">
      <c r="A114" s="337"/>
      <c r="B114" s="266"/>
      <c r="C114" s="71"/>
      <c r="D114" s="266"/>
      <c r="E114" s="266"/>
      <c r="F114" s="266"/>
      <c r="G114" s="266"/>
      <c r="H114" s="266"/>
      <c r="I114" s="266"/>
      <c r="J114" s="266"/>
      <c r="K114" s="266"/>
      <c r="L114" s="87"/>
    </row>
    <row r="115" spans="1:13">
      <c r="A115" s="348"/>
      <c r="B115" s="80"/>
      <c r="C115" s="80"/>
      <c r="D115" s="80"/>
      <c r="E115" s="80"/>
      <c r="F115" s="80"/>
      <c r="G115" s="80"/>
      <c r="H115" s="80"/>
      <c r="I115" s="80"/>
      <c r="J115" s="80"/>
      <c r="K115" s="80"/>
      <c r="L115" s="88"/>
    </row>
    <row r="118" spans="1:13">
      <c r="A118" s="551" t="s">
        <v>138</v>
      </c>
      <c r="B118" s="446"/>
      <c r="C118" s="75">
        <f>SUM(L120:L135)</f>
        <v>149</v>
      </c>
      <c r="D118" s="75"/>
      <c r="E118" s="75"/>
    </row>
    <row r="119" spans="1:13" ht="16.5" customHeight="1">
      <c r="A119" s="76" t="s">
        <v>497</v>
      </c>
      <c r="B119" s="77" t="s">
        <v>498</v>
      </c>
      <c r="C119" s="77" t="s">
        <v>499</v>
      </c>
      <c r="D119" s="78" t="s">
        <v>500</v>
      </c>
      <c r="E119" s="78" t="s">
        <v>501</v>
      </c>
      <c r="F119" s="78" t="s">
        <v>502</v>
      </c>
      <c r="G119" s="78" t="s">
        <v>533</v>
      </c>
      <c r="H119" s="78" t="s">
        <v>504</v>
      </c>
      <c r="I119" s="78" t="s">
        <v>505</v>
      </c>
      <c r="J119" s="78" t="s">
        <v>506</v>
      </c>
      <c r="K119" s="78" t="s">
        <v>507</v>
      </c>
      <c r="L119" s="86" t="s">
        <v>515</v>
      </c>
    </row>
    <row r="120" spans="1:13">
      <c r="A120" s="327">
        <v>1</v>
      </c>
      <c r="B120" s="71" t="s">
        <v>509</v>
      </c>
      <c r="C120" s="71" t="s">
        <v>66</v>
      </c>
      <c r="D120" s="79">
        <f>('Mould Costing'!$D$15+10)*('Mould Costing'!$E$15+10)*('Mould Costing'!$F$15+10)/1000</f>
        <v>36175.809163019236</v>
      </c>
      <c r="E120" s="79">
        <f>('Mould Costing'!$D$15)*('Mould Costing'!$E$15)*('Mould Costing'!$F$15)/1000</f>
        <v>32136.160760325583</v>
      </c>
      <c r="F120" s="79">
        <f>D120-E120</f>
        <v>4039.6484026936523</v>
      </c>
      <c r="G120" s="79">
        <f>VLOOKUP(C120,Table15[],2,FALSE)</f>
        <v>3</v>
      </c>
      <c r="H120" s="82">
        <f t="shared" ref="H120:H127" si="7">F120/G120</f>
        <v>1346.5494675645507</v>
      </c>
      <c r="I120" s="266"/>
      <c r="J120" s="266">
        <v>30</v>
      </c>
      <c r="K120" s="266">
        <v>60</v>
      </c>
      <c r="L120" s="43">
        <f t="shared" ref="L120:L127" si="8">ROUNDUP((K120+H120+I120+J120)/60,0)</f>
        <v>24</v>
      </c>
    </row>
    <row r="121" spans="1:13">
      <c r="A121" s="327">
        <v>2</v>
      </c>
      <c r="B121" s="266" t="s">
        <v>510</v>
      </c>
      <c r="C121" s="71" t="s">
        <v>69</v>
      </c>
      <c r="D121" s="79">
        <f>('Mould Costing'!$D$15+1)*('Mould Costing'!$E$15+1)*('Mould Costing'!$F$15+1)/1000</f>
        <v>32529.615304380641</v>
      </c>
      <c r="E121" s="79">
        <f>('Mould Costing'!$D$15)*('Mould Costing'!$E$15)*('Mould Costing'!$F$15)/1000</f>
        <v>32136.160760325583</v>
      </c>
      <c r="F121" s="79">
        <f>D121-E121</f>
        <v>393.45454405505734</v>
      </c>
      <c r="G121" s="79">
        <f>VLOOKUP(C121,Table15[],2,FALSE)</f>
        <v>0.17499999999999999</v>
      </c>
      <c r="H121" s="82">
        <f t="shared" si="7"/>
        <v>2248.3116803146136</v>
      </c>
      <c r="I121" s="266"/>
      <c r="J121" s="266">
        <v>30</v>
      </c>
      <c r="K121" s="266">
        <v>60</v>
      </c>
      <c r="L121" s="43">
        <f t="shared" si="8"/>
        <v>39</v>
      </c>
    </row>
    <row r="122" spans="1:13">
      <c r="A122" s="327">
        <v>3</v>
      </c>
      <c r="B122" s="266" t="s">
        <v>524</v>
      </c>
      <c r="C122" s="71" t="s">
        <v>66</v>
      </c>
      <c r="D122" s="79">
        <f>$E$100</f>
        <v>32136.160760325583</v>
      </c>
      <c r="E122" s="79">
        <f>('Mould Costing'!D15+10)*('Mould Costing'!E15+10)*('Mould Costing'!F15-'Input-Output'!B4+10)/1000</f>
        <v>18079.641774259242</v>
      </c>
      <c r="F122" s="79">
        <f>(D122-E122)*0.5</f>
        <v>7028.2594930331707</v>
      </c>
      <c r="G122" s="79">
        <f>VLOOKUP(C122,Table15[],2,FALSE)</f>
        <v>3</v>
      </c>
      <c r="H122" s="82">
        <f t="shared" si="7"/>
        <v>2342.7531643443904</v>
      </c>
      <c r="I122" s="266"/>
      <c r="J122" s="266">
        <v>30</v>
      </c>
      <c r="K122" s="266">
        <v>45</v>
      </c>
      <c r="L122" s="43">
        <f t="shared" si="8"/>
        <v>41</v>
      </c>
    </row>
    <row r="123" spans="1:13">
      <c r="A123" s="327">
        <v>4</v>
      </c>
      <c r="B123" s="266" t="s">
        <v>525</v>
      </c>
      <c r="C123" s="71" t="s">
        <v>71</v>
      </c>
      <c r="D123" s="79">
        <f>0.785*('Guide Pillar'!$I$10/10)*('Guide Pillar'!$I$10/10)*(('Mould Costing'!$F$15-'Input-Output'!$B$4)/10)*4</f>
        <v>207.93163498605901</v>
      </c>
      <c r="E123" s="79">
        <v>0</v>
      </c>
      <c r="F123" s="79">
        <f>(D123-E123)*0.5</f>
        <v>103.9658174930295</v>
      </c>
      <c r="G123" s="79">
        <f>VLOOKUP(C123,Table15[],2,FALSE)</f>
        <v>1</v>
      </c>
      <c r="H123" s="79">
        <f t="shared" si="7"/>
        <v>103.9658174930295</v>
      </c>
      <c r="I123" s="266"/>
      <c r="J123" s="266">
        <v>30</v>
      </c>
      <c r="K123" s="266">
        <v>45</v>
      </c>
      <c r="L123" s="43">
        <f t="shared" si="8"/>
        <v>3</v>
      </c>
    </row>
    <row r="124" spans="1:13">
      <c r="A124" s="327">
        <v>5</v>
      </c>
      <c r="B124" s="266" t="s">
        <v>526</v>
      </c>
      <c r="C124" s="71" t="s">
        <v>67</v>
      </c>
      <c r="D124" s="79">
        <f>0.785*(('Guide Pillar'!$F$10/10)^2)*1*4</f>
        <v>62.789195441484971</v>
      </c>
      <c r="E124" s="79">
        <v>0</v>
      </c>
      <c r="F124" s="79">
        <f>(D124-E124)*0.5</f>
        <v>31.394597720742485</v>
      </c>
      <c r="G124" s="79">
        <f>VLOOKUP(C124,Table15[],2,FALSE)</f>
        <v>5</v>
      </c>
      <c r="H124" s="79">
        <f t="shared" si="7"/>
        <v>6.2789195441484971</v>
      </c>
      <c r="I124" s="266"/>
      <c r="J124" s="266">
        <v>30</v>
      </c>
      <c r="K124" s="266">
        <v>45</v>
      </c>
      <c r="L124" s="43">
        <f t="shared" si="8"/>
        <v>2</v>
      </c>
    </row>
    <row r="125" spans="1:13">
      <c r="A125" s="327">
        <v>6</v>
      </c>
      <c r="B125" s="266" t="s">
        <v>527</v>
      </c>
      <c r="C125" s="71" t="s">
        <v>79</v>
      </c>
      <c r="D125" s="79">
        <f>E122</f>
        <v>18079.641774259242</v>
      </c>
      <c r="E125" s="79">
        <f>'Mould Costing'!D15*'Mould Costing'!E15*('Mould Costing'!F15-'Input-Output'!B4)/1000</f>
        <v>14720.458903530454</v>
      </c>
      <c r="F125" s="79">
        <f>(D125-E125)*0.5</f>
        <v>1679.5914353643939</v>
      </c>
      <c r="G125" s="79">
        <f>VLOOKUP(C125,Table15[],2,FALSE)</f>
        <v>1</v>
      </c>
      <c r="H125" s="79">
        <f t="shared" si="7"/>
        <v>1679.5914353643939</v>
      </c>
      <c r="I125" s="266">
        <v>60</v>
      </c>
      <c r="J125" s="266">
        <v>30</v>
      </c>
      <c r="K125" s="266">
        <v>45</v>
      </c>
      <c r="L125" s="43">
        <f t="shared" si="8"/>
        <v>31</v>
      </c>
    </row>
    <row r="126" spans="1:13">
      <c r="A126" s="327">
        <v>7</v>
      </c>
      <c r="B126" s="266" t="s">
        <v>528</v>
      </c>
      <c r="C126" s="71" t="s">
        <v>80</v>
      </c>
      <c r="D126" s="266">
        <f>D105</f>
        <v>27.904</v>
      </c>
      <c r="E126" s="266">
        <f>E105</f>
        <v>0</v>
      </c>
      <c r="F126" s="79">
        <f>F105</f>
        <v>27.904</v>
      </c>
      <c r="G126" s="79">
        <f>VLOOKUP(C126,Table15[],2,FALSE)</f>
        <v>1</v>
      </c>
      <c r="H126" s="79">
        <f t="shared" si="7"/>
        <v>27.904</v>
      </c>
      <c r="I126" s="266">
        <v>60</v>
      </c>
      <c r="J126" s="266">
        <v>30</v>
      </c>
      <c r="K126" s="266">
        <v>45</v>
      </c>
      <c r="L126" s="43">
        <f t="shared" si="8"/>
        <v>3</v>
      </c>
      <c r="M126" t="s">
        <v>529</v>
      </c>
    </row>
    <row r="127" spans="1:13">
      <c r="A127" s="327">
        <v>8</v>
      </c>
      <c r="B127" s="266" t="s">
        <v>530</v>
      </c>
      <c r="C127" s="71" t="s">
        <v>74</v>
      </c>
      <c r="D127" s="89">
        <f>0.785*1*1*('Mould Costing'!$E$14/10)*4</f>
        <v>171.8945977207425</v>
      </c>
      <c r="E127" s="266">
        <v>0</v>
      </c>
      <c r="F127" s="79">
        <f>(D127-E127)*0.5</f>
        <v>85.947298860371248</v>
      </c>
      <c r="G127" s="79">
        <f>VLOOKUP(C127,Table15[],2,FALSE)</f>
        <v>2</v>
      </c>
      <c r="H127" s="79">
        <f t="shared" si="7"/>
        <v>42.973649430185624</v>
      </c>
      <c r="I127" s="266"/>
      <c r="J127" s="266">
        <v>30</v>
      </c>
      <c r="K127" s="266">
        <v>45</v>
      </c>
      <c r="L127" s="43">
        <f t="shared" si="8"/>
        <v>2</v>
      </c>
      <c r="M127" t="s">
        <v>529</v>
      </c>
    </row>
    <row r="128" spans="1:13">
      <c r="A128" s="327">
        <v>9</v>
      </c>
      <c r="B128" s="266" t="s">
        <v>531</v>
      </c>
      <c r="C128" s="71" t="s">
        <v>69</v>
      </c>
      <c r="D128" s="266"/>
      <c r="E128" s="266"/>
      <c r="F128" s="266"/>
      <c r="G128" s="79">
        <f>VLOOKUP(C128,Table15[],2,FALSE)</f>
        <v>0.17499999999999999</v>
      </c>
      <c r="H128" s="266"/>
      <c r="I128" s="266"/>
      <c r="J128" s="266"/>
      <c r="K128" s="266"/>
      <c r="L128" s="87">
        <v>1</v>
      </c>
    </row>
    <row r="129" spans="1:13">
      <c r="A129" s="327">
        <v>10</v>
      </c>
      <c r="B129" s="266" t="s">
        <v>522</v>
      </c>
      <c r="C129" s="71" t="s">
        <v>72</v>
      </c>
      <c r="D129" s="89">
        <f>0.785*1.6*1.6*('Mould Costing'!$F$14/10)*4</f>
        <v>96.413085103863821</v>
      </c>
      <c r="E129" s="266">
        <v>0</v>
      </c>
      <c r="F129" s="79">
        <f>(D129-E129)*0.5</f>
        <v>48.206542551931911</v>
      </c>
      <c r="G129" s="79">
        <f>VLOOKUP(C129,Table15[],2,FALSE)</f>
        <v>0.5</v>
      </c>
      <c r="H129" s="79">
        <f>F129/G129</f>
        <v>96.413085103863821</v>
      </c>
      <c r="I129" s="266"/>
      <c r="J129" s="266">
        <v>30</v>
      </c>
      <c r="K129" s="266">
        <v>45</v>
      </c>
      <c r="L129" s="43">
        <f>ROUNDUP((K129+H129+I129+J129)/60,0)</f>
        <v>3</v>
      </c>
      <c r="M129" t="s">
        <v>529</v>
      </c>
    </row>
    <row r="130" spans="1:13">
      <c r="A130" s="327">
        <v>11</v>
      </c>
      <c r="B130" s="266"/>
      <c r="C130" s="71"/>
      <c r="D130" s="266"/>
      <c r="E130" s="266"/>
      <c r="F130" s="266"/>
      <c r="G130" s="266"/>
      <c r="H130" s="266"/>
      <c r="I130" s="266"/>
      <c r="J130" s="266"/>
      <c r="K130" s="266"/>
      <c r="L130" s="87"/>
    </row>
    <row r="131" spans="1:13">
      <c r="A131" s="327">
        <v>120</v>
      </c>
      <c r="B131" s="266"/>
      <c r="C131" s="71"/>
      <c r="D131" s="266"/>
      <c r="E131" s="266"/>
      <c r="F131" s="266"/>
      <c r="G131" s="266"/>
      <c r="H131" s="266"/>
      <c r="I131" s="266"/>
      <c r="J131" s="266"/>
      <c r="K131" s="266"/>
      <c r="L131" s="87"/>
    </row>
    <row r="132" spans="1:13">
      <c r="A132" s="337"/>
      <c r="B132" s="266"/>
      <c r="C132" s="71"/>
      <c r="D132" s="266"/>
      <c r="E132" s="266"/>
      <c r="F132" s="266"/>
      <c r="G132" s="266"/>
      <c r="H132" s="266"/>
      <c r="I132" s="266"/>
      <c r="J132" s="266"/>
      <c r="K132" s="266"/>
      <c r="L132" s="87"/>
    </row>
    <row r="133" spans="1:13">
      <c r="A133" s="337"/>
      <c r="B133" s="266"/>
      <c r="C133" s="71"/>
      <c r="D133" s="266"/>
      <c r="E133" s="266"/>
      <c r="F133" s="266"/>
      <c r="G133" s="266"/>
      <c r="H133" s="266"/>
      <c r="I133" s="266"/>
      <c r="J133" s="266"/>
      <c r="K133" s="266"/>
      <c r="L133" s="87"/>
    </row>
    <row r="134" spans="1:13">
      <c r="A134" s="337"/>
      <c r="B134" s="266"/>
      <c r="C134" s="71"/>
      <c r="D134" s="266"/>
      <c r="E134" s="266"/>
      <c r="F134" s="266"/>
      <c r="G134" s="266"/>
      <c r="H134" s="266"/>
      <c r="I134" s="266"/>
      <c r="J134" s="266"/>
      <c r="K134" s="266"/>
      <c r="L134" s="87"/>
    </row>
    <row r="135" spans="1:13">
      <c r="A135" s="337"/>
      <c r="B135" s="266"/>
      <c r="C135" s="71"/>
      <c r="D135" s="266"/>
      <c r="E135" s="266"/>
      <c r="F135" s="266"/>
      <c r="G135" s="266"/>
      <c r="H135" s="266"/>
      <c r="I135" s="266"/>
      <c r="J135" s="266"/>
      <c r="K135" s="266"/>
      <c r="L135" s="87"/>
    </row>
    <row r="136" spans="1:13">
      <c r="A136" s="348"/>
      <c r="B136" s="80"/>
      <c r="C136" s="80"/>
      <c r="D136" s="80"/>
      <c r="E136" s="80"/>
      <c r="F136" s="80"/>
      <c r="G136" s="80"/>
      <c r="H136" s="80"/>
      <c r="I136" s="80"/>
      <c r="J136" s="80"/>
      <c r="K136" s="80"/>
      <c r="L136" s="88"/>
    </row>
    <row r="138" spans="1:13">
      <c r="A138" s="551" t="s">
        <v>143</v>
      </c>
      <c r="B138" s="446"/>
      <c r="C138" s="75">
        <f>SUM(L140:L155)</f>
        <v>33</v>
      </c>
      <c r="D138" s="75"/>
      <c r="E138" s="75"/>
    </row>
    <row r="139" spans="1:13" ht="16.5" customHeight="1">
      <c r="A139" s="76" t="s">
        <v>497</v>
      </c>
      <c r="B139" s="77" t="s">
        <v>498</v>
      </c>
      <c r="C139" s="77" t="s">
        <v>499</v>
      </c>
      <c r="D139" s="78" t="s">
        <v>500</v>
      </c>
      <c r="E139" s="78" t="s">
        <v>501</v>
      </c>
      <c r="F139" s="78" t="s">
        <v>502</v>
      </c>
      <c r="G139" s="78" t="s">
        <v>503</v>
      </c>
      <c r="H139" s="78" t="s">
        <v>504</v>
      </c>
      <c r="I139" s="78" t="s">
        <v>505</v>
      </c>
      <c r="J139" s="78" t="s">
        <v>506</v>
      </c>
      <c r="K139" s="78" t="s">
        <v>507</v>
      </c>
      <c r="L139" s="86" t="s">
        <v>515</v>
      </c>
    </row>
    <row r="140" spans="1:13">
      <c r="A140" s="327">
        <v>1</v>
      </c>
      <c r="B140" s="71" t="s">
        <v>534</v>
      </c>
      <c r="C140" s="71" t="s">
        <v>78</v>
      </c>
      <c r="D140" s="79">
        <f>0.785*('Guide Pillar'!$F$10+10)*('Guide Pillar'!$F$10+10)*('Guide Pillar'!L19+10)/1000*4</f>
        <v>1221.5952693411532</v>
      </c>
      <c r="E140" s="79">
        <f>0.785*'Guide Pillar'!$M$10*'Guide Pillar'!$M$10*'Guide Pillar'!$L$19/1000*4</f>
        <v>230.09412627295518</v>
      </c>
      <c r="F140" s="79">
        <f>D140-E140</f>
        <v>991.50114306819796</v>
      </c>
      <c r="G140" s="79">
        <f>VLOOKUP(C140,Table15[],2,FALSE)</f>
        <v>1.2</v>
      </c>
      <c r="H140" s="82">
        <f>F140/G140</f>
        <v>826.25095255683163</v>
      </c>
      <c r="I140" s="266">
        <v>0.3</v>
      </c>
      <c r="J140" s="266">
        <v>30</v>
      </c>
      <c r="K140" s="266">
        <v>45</v>
      </c>
      <c r="L140" s="43">
        <f>ROUNDUP((K140+H140+I140+J140)/60,0)</f>
        <v>16</v>
      </c>
    </row>
    <row r="141" spans="1:13">
      <c r="A141" s="327">
        <v>2</v>
      </c>
      <c r="B141" s="266" t="s">
        <v>535</v>
      </c>
      <c r="C141" s="71" t="s">
        <v>78</v>
      </c>
      <c r="D141" s="79">
        <f>0.785*('Guide Pillar'!$F$10+10)*('Guide Pillar'!$F$10+10)*('Guide Pillar'!$H$19+10)/1000*4</f>
        <v>1221.5952693411532</v>
      </c>
      <c r="E141" s="79">
        <f>0.785*'Guide Pillar'!$I$10*'Guide Pillar'!$I$10*('Guide Pillar'!$H$19-10)/1000*4</f>
        <v>416.08792245014268</v>
      </c>
      <c r="F141" s="79">
        <f>D141-E141</f>
        <v>805.50734689101046</v>
      </c>
      <c r="G141" s="79">
        <f>VLOOKUP(C141,Table15[],2,FALSE)</f>
        <v>1.2</v>
      </c>
      <c r="H141" s="82">
        <f>F141/G141</f>
        <v>671.25612240917542</v>
      </c>
      <c r="I141" s="266">
        <v>0.3</v>
      </c>
      <c r="J141" s="266">
        <v>30</v>
      </c>
      <c r="K141" s="266">
        <v>45</v>
      </c>
      <c r="L141" s="43">
        <f>ROUNDUP((K141+H141+I141+J141)/60,0)</f>
        <v>13</v>
      </c>
    </row>
    <row r="142" spans="1:13">
      <c r="A142" s="327">
        <v>3</v>
      </c>
      <c r="B142" s="266" t="s">
        <v>536</v>
      </c>
      <c r="C142" s="71" t="s">
        <v>78</v>
      </c>
      <c r="D142" s="79">
        <f>0.785*('Guide Pillar'!$F$10+10)*('Guide Pillar'!$F$10+10)*1*4/1000</f>
        <v>9.4011793162227448</v>
      </c>
      <c r="E142" s="79">
        <f>0.785*('Guide Pillar'!$F$10)*('Guide Pillar'!$F$10)*1*4/1000</f>
        <v>6.2789195441484953</v>
      </c>
      <c r="F142" s="79">
        <f>D142-E142</f>
        <v>3.1222597720742495</v>
      </c>
      <c r="G142" s="79">
        <f>VLOOKUP(C142,Table15[],2,FALSE)</f>
        <v>1.2</v>
      </c>
      <c r="H142" s="79">
        <f>F142/G142</f>
        <v>2.6018831433952081</v>
      </c>
      <c r="I142" s="266">
        <v>0.3</v>
      </c>
      <c r="J142" s="266">
        <v>30</v>
      </c>
      <c r="K142" s="266">
        <v>45</v>
      </c>
      <c r="L142" s="43">
        <f>ROUNDUP((K142+H142+I142+J142)/60,0)</f>
        <v>2</v>
      </c>
      <c r="M142" t="s">
        <v>537</v>
      </c>
    </row>
    <row r="143" spans="1:13">
      <c r="A143" s="327">
        <v>4</v>
      </c>
      <c r="B143" s="266" t="s">
        <v>538</v>
      </c>
      <c r="C143" s="71" t="s">
        <v>78</v>
      </c>
      <c r="D143" s="79">
        <f>3.14*2*2*1*4</f>
        <v>50.24</v>
      </c>
      <c r="E143" s="266">
        <v>0</v>
      </c>
      <c r="F143" s="79">
        <f>D143-E143</f>
        <v>50.24</v>
      </c>
      <c r="G143" s="79">
        <f>VLOOKUP(C143,Table15[],2,FALSE)</f>
        <v>1.2</v>
      </c>
      <c r="H143" s="79">
        <f>F143/G143</f>
        <v>41.866666666666667</v>
      </c>
      <c r="I143" s="266">
        <v>0.3</v>
      </c>
      <c r="J143" s="266">
        <v>30</v>
      </c>
      <c r="K143" s="266">
        <v>45</v>
      </c>
      <c r="L143" s="90">
        <f>ROUNDUP((K143+H143+I143+J143)/60,0)</f>
        <v>2</v>
      </c>
      <c r="M143" t="s">
        <v>537</v>
      </c>
    </row>
    <row r="144" spans="1:13">
      <c r="A144" s="327">
        <v>5</v>
      </c>
      <c r="B144" s="266" t="s">
        <v>539</v>
      </c>
      <c r="C144" s="71" t="s">
        <v>78</v>
      </c>
      <c r="D144" s="266"/>
      <c r="E144" s="266"/>
      <c r="F144" s="266"/>
      <c r="G144" s="79">
        <f>VLOOKUP(C144,Table15[],2,FALSE)</f>
        <v>1.2</v>
      </c>
      <c r="H144" s="266"/>
      <c r="I144" s="266"/>
      <c r="J144" s="266"/>
      <c r="K144" s="266"/>
      <c r="L144" s="91"/>
    </row>
    <row r="145" spans="1:13">
      <c r="A145" s="327">
        <v>6</v>
      </c>
      <c r="B145" s="266" t="s">
        <v>540</v>
      </c>
      <c r="C145" s="71" t="s">
        <v>70</v>
      </c>
      <c r="D145" s="266"/>
      <c r="E145" s="266"/>
      <c r="F145" s="266"/>
      <c r="G145" s="79">
        <f>VLOOKUP(C145,Table15[],2,FALSE)</f>
        <v>0.2</v>
      </c>
      <c r="H145" s="266"/>
      <c r="I145" s="266"/>
      <c r="J145" s="266"/>
      <c r="K145" s="266"/>
      <c r="L145" s="91"/>
    </row>
    <row r="146" spans="1:13">
      <c r="A146" s="327">
        <v>7</v>
      </c>
      <c r="B146" s="266" t="s">
        <v>541</v>
      </c>
      <c r="C146" s="71" t="s">
        <v>70</v>
      </c>
      <c r="D146" s="266"/>
      <c r="E146" s="266"/>
      <c r="F146" s="266"/>
      <c r="G146" s="79">
        <f>VLOOKUP(C146,Table15[],2,FALSE)</f>
        <v>0.2</v>
      </c>
      <c r="H146" s="266"/>
      <c r="I146" s="266"/>
      <c r="J146" s="266"/>
      <c r="K146" s="266"/>
      <c r="L146" s="91"/>
    </row>
    <row r="147" spans="1:13">
      <c r="A147" s="337"/>
      <c r="B147" s="266"/>
      <c r="C147" s="71"/>
      <c r="D147" s="266"/>
      <c r="E147" s="266"/>
      <c r="F147" s="266"/>
      <c r="G147" s="266"/>
      <c r="H147" s="266"/>
      <c r="I147" s="266"/>
      <c r="J147" s="266"/>
      <c r="K147" s="266"/>
      <c r="L147" s="87"/>
    </row>
    <row r="148" spans="1:13">
      <c r="A148" s="337"/>
      <c r="B148" s="266"/>
      <c r="C148" s="71"/>
      <c r="D148" s="266"/>
      <c r="E148" s="266"/>
      <c r="F148" s="266"/>
      <c r="G148" s="266"/>
      <c r="H148" s="266"/>
      <c r="I148" s="266"/>
      <c r="J148" s="266"/>
      <c r="K148" s="266"/>
      <c r="L148" s="87"/>
    </row>
    <row r="149" spans="1:13">
      <c r="A149" s="337"/>
      <c r="B149" s="266"/>
      <c r="C149" s="71"/>
      <c r="D149" s="266"/>
      <c r="E149" s="266"/>
      <c r="F149" s="266"/>
      <c r="G149" s="266"/>
      <c r="H149" s="266"/>
      <c r="I149" s="266"/>
      <c r="J149" s="266"/>
      <c r="K149" s="266"/>
      <c r="L149" s="87"/>
    </row>
    <row r="150" spans="1:13">
      <c r="A150" s="337"/>
      <c r="B150" s="266"/>
      <c r="C150" s="71"/>
      <c r="D150" s="266"/>
      <c r="E150" s="266"/>
      <c r="F150" s="266"/>
      <c r="G150" s="266"/>
      <c r="H150" s="266"/>
      <c r="I150" s="266"/>
      <c r="J150" s="266"/>
      <c r="K150" s="266"/>
      <c r="L150" s="87"/>
    </row>
    <row r="151" spans="1:13">
      <c r="A151" s="337"/>
      <c r="B151" s="266"/>
      <c r="C151" s="71"/>
      <c r="D151" s="266"/>
      <c r="E151" s="266"/>
      <c r="F151" s="266"/>
      <c r="G151" s="266"/>
      <c r="H151" s="266"/>
      <c r="I151" s="266"/>
      <c r="J151" s="266"/>
      <c r="K151" s="266"/>
      <c r="L151" s="87"/>
    </row>
    <row r="152" spans="1:13">
      <c r="A152" s="337"/>
      <c r="B152" s="266"/>
      <c r="C152" s="71"/>
      <c r="D152" s="266"/>
      <c r="E152" s="266"/>
      <c r="F152" s="266"/>
      <c r="G152" s="266"/>
      <c r="H152" s="266"/>
      <c r="I152" s="266"/>
      <c r="J152" s="266"/>
      <c r="K152" s="266"/>
      <c r="L152" s="87"/>
    </row>
    <row r="153" spans="1:13">
      <c r="A153" s="337"/>
      <c r="B153" s="266"/>
      <c r="C153" s="71"/>
      <c r="D153" s="266"/>
      <c r="E153" s="266"/>
      <c r="F153" s="266"/>
      <c r="G153" s="266"/>
      <c r="H153" s="266"/>
      <c r="I153" s="266"/>
      <c r="J153" s="266"/>
      <c r="K153" s="266"/>
      <c r="L153" s="87"/>
    </row>
    <row r="154" spans="1:13">
      <c r="A154" s="337"/>
      <c r="B154" s="266"/>
      <c r="C154" s="71"/>
      <c r="D154" s="266"/>
      <c r="E154" s="266"/>
      <c r="F154" s="266"/>
      <c r="G154" s="266"/>
      <c r="H154" s="266"/>
      <c r="I154" s="266"/>
      <c r="J154" s="266"/>
      <c r="K154" s="266"/>
      <c r="L154" s="87"/>
    </row>
    <row r="155" spans="1:13">
      <c r="A155" s="348"/>
      <c r="B155" s="80"/>
      <c r="C155" s="80"/>
      <c r="D155" s="80"/>
      <c r="E155" s="80"/>
      <c r="F155" s="80"/>
      <c r="G155" s="80"/>
      <c r="H155" s="80"/>
      <c r="I155" s="80"/>
      <c r="J155" s="80"/>
      <c r="K155" s="80"/>
      <c r="L155" s="88"/>
    </row>
    <row r="157" spans="1:13">
      <c r="A157" s="551" t="s">
        <v>145</v>
      </c>
      <c r="B157" s="446"/>
      <c r="C157" s="75">
        <f>SUM(L159:L174)</f>
        <v>16</v>
      </c>
      <c r="D157" s="75"/>
      <c r="E157" s="75"/>
    </row>
    <row r="158" spans="1:13" ht="16.5" customHeight="1">
      <c r="A158" s="76" t="s">
        <v>497</v>
      </c>
      <c r="B158" s="77" t="s">
        <v>498</v>
      </c>
      <c r="C158" s="77" t="s">
        <v>499</v>
      </c>
      <c r="D158" s="78" t="s">
        <v>500</v>
      </c>
      <c r="E158" s="78" t="s">
        <v>501</v>
      </c>
      <c r="F158" s="78" t="s">
        <v>502</v>
      </c>
      <c r="G158" s="78" t="s">
        <v>503</v>
      </c>
      <c r="H158" s="78" t="s">
        <v>504</v>
      </c>
      <c r="I158" s="78" t="s">
        <v>505</v>
      </c>
      <c r="J158" s="78" t="s">
        <v>506</v>
      </c>
      <c r="K158" s="78" t="s">
        <v>507</v>
      </c>
      <c r="L158" s="86" t="s">
        <v>515</v>
      </c>
    </row>
    <row r="159" spans="1:13">
      <c r="A159" s="327">
        <v>1</v>
      </c>
      <c r="B159" s="71" t="s">
        <v>534</v>
      </c>
      <c r="C159" s="71" t="s">
        <v>78</v>
      </c>
      <c r="D159" s="79">
        <f>0.785*('Guide Pillar'!$F$10+10)*('Guide Pillar'!$F$10+10)*('Guide Pillar'!$H$19+10)/1000*4</f>
        <v>1221.5952693411532</v>
      </c>
      <c r="E159" s="79">
        <f>0.785*('Guide Pillar'!$F$10)*('Guide Pillar'!$F$10)*('Guide Pillar'!$H$19)/1000*4</f>
        <v>753.09763680620836</v>
      </c>
      <c r="F159" s="79">
        <f>D159-E159</f>
        <v>468.49763253494484</v>
      </c>
      <c r="G159" s="79">
        <f>VLOOKUP(C159,Table15[],2,FALSE)</f>
        <v>1.2</v>
      </c>
      <c r="H159" s="82">
        <f>F159/G159</f>
        <v>390.41469377912074</v>
      </c>
      <c r="I159" s="266"/>
      <c r="J159" s="266">
        <v>30</v>
      </c>
      <c r="K159" s="266">
        <v>45</v>
      </c>
      <c r="L159" s="43">
        <f>ROUNDUP((K159+H159+I159+J159)/60,0)</f>
        <v>8</v>
      </c>
      <c r="M159" t="s">
        <v>537</v>
      </c>
    </row>
    <row r="160" spans="1:13">
      <c r="A160" s="327">
        <v>2</v>
      </c>
      <c r="B160" s="266" t="s">
        <v>535</v>
      </c>
      <c r="C160" s="71" t="s">
        <v>78</v>
      </c>
      <c r="D160" s="79">
        <f>0.785*('Guide Pillar'!$F$10+1)*('Guide Pillar'!$F$10+1)*('Guide Pillar'!$H$19+1)/1000*4</f>
        <v>793.71958374165342</v>
      </c>
      <c r="E160" s="79">
        <f>0.785*('Guide Pillar'!$F$10)*('Guide Pillar'!$F$10)*('Guide Pillar'!$H$19)/1000*4</f>
        <v>753.09763680620836</v>
      </c>
      <c r="F160" s="79">
        <f>D160-E160</f>
        <v>40.621946935445067</v>
      </c>
      <c r="G160" s="79">
        <f>VLOOKUP(C160,Table15[],2,FALSE)</f>
        <v>1.2</v>
      </c>
      <c r="H160" s="82">
        <f>F160/G160</f>
        <v>33.851622446204225</v>
      </c>
      <c r="I160" s="266"/>
      <c r="J160" s="266">
        <v>30</v>
      </c>
      <c r="K160" s="266">
        <v>45</v>
      </c>
      <c r="L160" s="43">
        <f>ROUNDUP((K160+H160+I160+J160)/60,0)</f>
        <v>2</v>
      </c>
      <c r="M160" t="s">
        <v>537</v>
      </c>
    </row>
    <row r="161" spans="1:13">
      <c r="A161" s="327">
        <v>3</v>
      </c>
      <c r="B161" s="266" t="s">
        <v>536</v>
      </c>
      <c r="C161" s="71" t="s">
        <v>78</v>
      </c>
      <c r="D161" s="79">
        <f>0.785*('Guide Pillar'!$F$10+10)*('Guide Pillar'!$F$10+10)*(6+10)/1000*4</f>
        <v>150.41886905956392</v>
      </c>
      <c r="E161" s="266">
        <v>0</v>
      </c>
      <c r="F161" s="79">
        <f>D161-E161</f>
        <v>150.41886905956392</v>
      </c>
      <c r="G161" s="79">
        <f>VLOOKUP(C161,Table15[],2,FALSE)</f>
        <v>1.2</v>
      </c>
      <c r="H161" s="79">
        <f>F161/G161</f>
        <v>125.3490575496366</v>
      </c>
      <c r="I161" s="266"/>
      <c r="J161" s="266">
        <v>30</v>
      </c>
      <c r="K161" s="266">
        <v>45</v>
      </c>
      <c r="L161" s="43">
        <f>ROUNDUP((K161+H161+I161+J161)/60,0)</f>
        <v>4</v>
      </c>
      <c r="M161" t="s">
        <v>537</v>
      </c>
    </row>
    <row r="162" spans="1:13">
      <c r="A162" s="327">
        <v>4</v>
      </c>
      <c r="B162" s="266" t="s">
        <v>538</v>
      </c>
      <c r="C162" s="71" t="s">
        <v>78</v>
      </c>
      <c r="D162" s="79">
        <f>3.14*2*2*1*4</f>
        <v>50.24</v>
      </c>
      <c r="E162" s="266">
        <v>0</v>
      </c>
      <c r="F162" s="79">
        <f>D162-E162</f>
        <v>50.24</v>
      </c>
      <c r="G162" s="79">
        <f>VLOOKUP(C162,Table15[],2,FALSE)</f>
        <v>1.2</v>
      </c>
      <c r="H162" s="79">
        <f>F162/G162</f>
        <v>41.866666666666667</v>
      </c>
      <c r="I162" s="266"/>
      <c r="J162" s="266">
        <v>30</v>
      </c>
      <c r="K162" s="266">
        <v>45</v>
      </c>
      <c r="L162" s="43">
        <f>ROUNDUP((K162+H162+I162+J162)/60,0)</f>
        <v>2</v>
      </c>
      <c r="M162" t="s">
        <v>537</v>
      </c>
    </row>
    <row r="163" spans="1:13">
      <c r="A163" s="327">
        <v>5</v>
      </c>
      <c r="B163" s="266" t="s">
        <v>539</v>
      </c>
      <c r="C163" s="71" t="s">
        <v>78</v>
      </c>
      <c r="D163" s="266"/>
      <c r="E163" s="266"/>
      <c r="F163" s="266"/>
      <c r="G163" s="79">
        <f>VLOOKUP(C163,Table15[],2,FALSE)</f>
        <v>1.2</v>
      </c>
      <c r="H163" s="266"/>
      <c r="I163" s="266"/>
      <c r="J163" s="266"/>
      <c r="K163" s="266"/>
      <c r="L163" s="87"/>
    </row>
    <row r="164" spans="1:13">
      <c r="A164" s="327">
        <v>6</v>
      </c>
      <c r="B164" s="266" t="s">
        <v>540</v>
      </c>
      <c r="C164" s="71" t="s">
        <v>70</v>
      </c>
      <c r="D164" s="266"/>
      <c r="E164" s="266"/>
      <c r="F164" s="266"/>
      <c r="G164" s="79">
        <f>VLOOKUP(C164,Table15[],2,FALSE)</f>
        <v>0.2</v>
      </c>
      <c r="H164" s="266"/>
      <c r="I164" s="266"/>
      <c r="J164" s="266"/>
      <c r="K164" s="266"/>
      <c r="L164" s="87"/>
    </row>
    <row r="165" spans="1:13">
      <c r="A165" s="327">
        <v>7</v>
      </c>
      <c r="B165" s="266" t="s">
        <v>541</v>
      </c>
      <c r="C165" s="71" t="s">
        <v>70</v>
      </c>
      <c r="D165" s="266"/>
      <c r="E165" s="266"/>
      <c r="F165" s="266"/>
      <c r="G165" s="79">
        <f>VLOOKUP(C165,Table15[],2,FALSE)</f>
        <v>0.2</v>
      </c>
      <c r="H165" s="266"/>
      <c r="I165" s="266"/>
      <c r="J165" s="266"/>
      <c r="K165" s="266"/>
      <c r="L165" s="87"/>
    </row>
    <row r="166" spans="1:13">
      <c r="A166" s="337"/>
      <c r="B166" s="266"/>
      <c r="C166" s="71"/>
      <c r="D166" s="266"/>
      <c r="E166" s="266"/>
      <c r="F166" s="266"/>
      <c r="G166" s="266"/>
      <c r="H166" s="266"/>
      <c r="I166" s="266"/>
      <c r="J166" s="266"/>
      <c r="K166" s="266"/>
      <c r="L166" s="87"/>
    </row>
    <row r="167" spans="1:13">
      <c r="A167" s="337"/>
      <c r="B167" s="266"/>
      <c r="C167" s="71"/>
      <c r="D167" s="266"/>
      <c r="E167" s="266"/>
      <c r="F167" s="266"/>
      <c r="G167" s="266"/>
      <c r="H167" s="266"/>
      <c r="I167" s="266"/>
      <c r="J167" s="266"/>
      <c r="K167" s="266"/>
      <c r="L167" s="87"/>
    </row>
    <row r="168" spans="1:13">
      <c r="A168" s="337"/>
      <c r="B168" s="266"/>
      <c r="C168" s="71"/>
      <c r="D168" s="266"/>
      <c r="E168" s="266"/>
      <c r="F168" s="266"/>
      <c r="G168" s="266"/>
      <c r="H168" s="266"/>
      <c r="I168" s="266"/>
      <c r="J168" s="266"/>
      <c r="K168" s="266"/>
      <c r="L168" s="87"/>
    </row>
    <row r="169" spans="1:13">
      <c r="A169" s="337"/>
      <c r="B169" s="266"/>
      <c r="C169" s="71"/>
      <c r="D169" s="266"/>
      <c r="E169" s="266"/>
      <c r="F169" s="266"/>
      <c r="G169" s="266"/>
      <c r="H169" s="266"/>
      <c r="I169" s="266"/>
      <c r="J169" s="266"/>
      <c r="K169" s="266"/>
      <c r="L169" s="87"/>
    </row>
    <row r="170" spans="1:13">
      <c r="A170" s="337"/>
      <c r="B170" s="266"/>
      <c r="C170" s="71"/>
      <c r="D170" s="266"/>
      <c r="E170" s="266"/>
      <c r="F170" s="266"/>
      <c r="G170" s="266"/>
      <c r="H170" s="266"/>
      <c r="I170" s="266"/>
      <c r="J170" s="266"/>
      <c r="K170" s="266"/>
      <c r="L170" s="87"/>
    </row>
    <row r="171" spans="1:13">
      <c r="A171" s="337"/>
      <c r="B171" s="266"/>
      <c r="C171" s="71"/>
      <c r="D171" s="266"/>
      <c r="E171" s="266"/>
      <c r="F171" s="266"/>
      <c r="G171" s="266"/>
      <c r="H171" s="266"/>
      <c r="I171" s="266"/>
      <c r="J171" s="266"/>
      <c r="K171" s="266"/>
      <c r="L171" s="87"/>
    </row>
    <row r="172" spans="1:13">
      <c r="A172" s="337"/>
      <c r="B172" s="266"/>
      <c r="C172" s="71"/>
      <c r="D172" s="266"/>
      <c r="E172" s="266"/>
      <c r="F172" s="266"/>
      <c r="G172" s="266"/>
      <c r="H172" s="266"/>
      <c r="I172" s="266"/>
      <c r="J172" s="266"/>
      <c r="K172" s="266"/>
      <c r="L172" s="87"/>
    </row>
    <row r="173" spans="1:13">
      <c r="A173" s="337"/>
      <c r="B173" s="266"/>
      <c r="C173" s="71"/>
      <c r="D173" s="266"/>
      <c r="E173" s="266"/>
      <c r="F173" s="266"/>
      <c r="G173" s="266"/>
      <c r="H173" s="266"/>
      <c r="I173" s="266"/>
      <c r="J173" s="266"/>
      <c r="K173" s="266"/>
      <c r="L173" s="87"/>
    </row>
    <row r="174" spans="1:13">
      <c r="A174" s="348"/>
      <c r="B174" s="80"/>
      <c r="C174" s="80"/>
      <c r="D174" s="80"/>
      <c r="E174" s="80"/>
      <c r="F174" s="80"/>
      <c r="G174" s="80"/>
      <c r="H174" s="80"/>
      <c r="I174" s="80"/>
      <c r="J174" s="80"/>
      <c r="K174" s="80"/>
      <c r="L174" s="88"/>
    </row>
  </sheetData>
  <mergeCells count="9">
    <mergeCell ref="A78:B78"/>
    <mergeCell ref="A21:B21"/>
    <mergeCell ref="A157:B157"/>
    <mergeCell ref="A2:B2"/>
    <mergeCell ref="A59:B59"/>
    <mergeCell ref="A138:B138"/>
    <mergeCell ref="A118:B118"/>
    <mergeCell ref="A40:B40"/>
    <mergeCell ref="A97:B97"/>
  </mergeCells>
  <dataValidations count="10">
    <dataValidation type="list" showInputMessage="1" showErrorMessage="1" sqref="C46:C56 C67:C75 C84:C94 C109:C114 C130:C135 C147:C154 C166:C173">
      <formula1>$U$4:$U$42</formula1>
    </dataValidation>
    <dataValidation type="list" showInputMessage="1" showErrorMessage="1" sqref="C23:C37">
      <formula1>$I$3:$I$17</formula1>
    </dataValidation>
    <dataValidation type="list" showInputMessage="1" showErrorMessage="1" sqref="C42:C45">
      <formula1>$I$3:$I$17</formula1>
    </dataValidation>
    <dataValidation type="list" showInputMessage="1" showErrorMessage="1" sqref="C62:C64">
      <formula1>$I$3:$I$17</formula1>
    </dataValidation>
    <dataValidation type="list" showInputMessage="1" showErrorMessage="1" sqref="C65:C66">
      <formula1>$I$3:$I$17</formula1>
    </dataValidation>
    <dataValidation type="list" showInputMessage="1" showErrorMessage="1" sqref="C80:C83">
      <formula1>$I$3:$I$17</formula1>
    </dataValidation>
    <dataValidation type="list" showInputMessage="1" showErrorMessage="1" sqref="C99:C108">
      <formula1>$I$3:$I$17</formula1>
    </dataValidation>
    <dataValidation type="list" showInputMessage="1" showErrorMessage="1" sqref="C120:C129">
      <formula1>$I$3:$I$17</formula1>
    </dataValidation>
    <dataValidation type="list" showInputMessage="1" showErrorMessage="1" sqref="C140:C146">
      <formula1>$I$3:$I$17</formula1>
    </dataValidation>
    <dataValidation type="list" showInputMessage="1" showErrorMessage="1" sqref="C159:C165">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92D050"/>
  </sheetPr>
  <dimension ref="A1:L34"/>
  <sheetViews>
    <sheetView topLeftCell="A7" workbookViewId="0">
      <selection activeCell="F7" sqref="F7"/>
    </sheetView>
  </sheetViews>
  <sheetFormatPr defaultColWidth="9" defaultRowHeight="14.5"/>
  <cols>
    <col min="1" max="1" width="16.36328125" style="352" customWidth="1"/>
    <col min="2" max="2" width="14.453125" style="352" customWidth="1"/>
    <col min="3" max="3" width="10.90625" style="352" customWidth="1"/>
    <col min="5" max="5" width="12" style="352" customWidth="1"/>
    <col min="6" max="6" width="11.26953125" style="352" bestFit="1" customWidth="1"/>
    <col min="7" max="7" width="13.90625" style="352" customWidth="1"/>
    <col min="8" max="8" width="15.26953125" style="352" customWidth="1"/>
    <col min="9" max="9" width="10.6328125" style="352" customWidth="1"/>
    <col min="11" max="11" width="10.90625" style="352" customWidth="1"/>
  </cols>
  <sheetData>
    <row r="1" spans="1:12">
      <c r="A1" s="6" t="s">
        <v>542</v>
      </c>
    </row>
    <row r="2" spans="1:12" ht="29" customHeight="1">
      <c r="A2" s="7" t="s">
        <v>543</v>
      </c>
      <c r="B2" s="7" t="s">
        <v>544</v>
      </c>
      <c r="C2" s="7" t="s">
        <v>545</v>
      </c>
      <c r="D2" s="8"/>
      <c r="E2" s="9" t="s">
        <v>546</v>
      </c>
      <c r="F2" s="10" t="s">
        <v>544</v>
      </c>
      <c r="G2" s="11" t="s">
        <v>547</v>
      </c>
      <c r="H2" s="12" t="s">
        <v>548</v>
      </c>
      <c r="I2" s="11" t="s">
        <v>549</v>
      </c>
      <c r="J2" s="22" t="s">
        <v>550</v>
      </c>
    </row>
    <row r="3" spans="1:12">
      <c r="A3" s="13"/>
      <c r="B3" s="13"/>
      <c r="C3" s="13"/>
      <c r="D3" s="8"/>
      <c r="E3" s="5">
        <f>VLOOKUP(F3+60,B4:C21,1)</f>
        <v>325</v>
      </c>
      <c r="F3" s="14">
        <f>H3*J3</f>
        <v>268.86400000000003</v>
      </c>
      <c r="G3" s="14" t="s">
        <v>547</v>
      </c>
      <c r="H3" s="14">
        <f>VLOOKUP('Input-Output'!B9,Table1113[#All],3,FALSE)</f>
        <v>4.0000000000000001E-3</v>
      </c>
      <c r="I3" s="14" t="s">
        <v>549</v>
      </c>
      <c r="J3" s="14">
        <f>I8*'Input-Output'!B8*'Input-Output'!B6</f>
        <v>67216</v>
      </c>
    </row>
    <row r="4" spans="1:12" ht="16.5" customHeight="1">
      <c r="A4" s="15">
        <v>1</v>
      </c>
      <c r="B4" s="16">
        <v>60</v>
      </c>
      <c r="C4" s="17">
        <v>450</v>
      </c>
      <c r="D4" s="17"/>
    </row>
    <row r="5" spans="1:12">
      <c r="A5" s="15">
        <v>2</v>
      </c>
      <c r="B5" s="16">
        <v>80</v>
      </c>
      <c r="C5" s="17">
        <v>450</v>
      </c>
      <c r="D5" s="17"/>
      <c r="E5" s="552" t="s">
        <v>551</v>
      </c>
      <c r="F5" s="553"/>
      <c r="G5" s="553"/>
      <c r="H5" s="553"/>
      <c r="I5" s="554"/>
    </row>
    <row r="6" spans="1:12">
      <c r="A6" s="15">
        <v>3</v>
      </c>
      <c r="B6" s="16">
        <v>130</v>
      </c>
      <c r="C6" s="17">
        <v>510</v>
      </c>
      <c r="D6" s="17"/>
      <c r="E6" s="18" t="s">
        <v>281</v>
      </c>
      <c r="F6" s="18">
        <f>VLOOKUP(E3,B4:C21,2,FALSE)</f>
        <v>750</v>
      </c>
      <c r="G6" s="18"/>
      <c r="H6" s="18" t="s">
        <v>552</v>
      </c>
      <c r="I6" s="18">
        <f>'Input-Output'!B12</f>
        <v>19.399999999999999</v>
      </c>
    </row>
    <row r="7" spans="1:12">
      <c r="A7" s="15">
        <v>4</v>
      </c>
      <c r="B7" s="16">
        <v>150</v>
      </c>
      <c r="C7" s="17">
        <v>560</v>
      </c>
      <c r="D7" s="17"/>
      <c r="E7" s="18" t="s">
        <v>553</v>
      </c>
      <c r="F7" s="318">
        <f>I6*I7/(I8*3600)</f>
        <v>107.77777777777777</v>
      </c>
      <c r="G7" s="18"/>
      <c r="H7" s="18" t="s">
        <v>554</v>
      </c>
      <c r="I7" s="18">
        <f>'Input-Output'!B11</f>
        <v>20000</v>
      </c>
    </row>
    <row r="8" spans="1:12" ht="29" customHeight="1">
      <c r="A8" s="15">
        <v>5</v>
      </c>
      <c r="B8" s="16">
        <v>180</v>
      </c>
      <c r="C8" s="17">
        <v>560</v>
      </c>
      <c r="D8" s="17"/>
      <c r="E8" s="19" t="s">
        <v>555</v>
      </c>
      <c r="F8" s="421">
        <f>F7*F6</f>
        <v>80833.333333333328</v>
      </c>
      <c r="G8" s="18"/>
      <c r="H8" s="18" t="s">
        <v>318</v>
      </c>
      <c r="I8" s="18">
        <f>'Input-Output'!B10</f>
        <v>1</v>
      </c>
    </row>
    <row r="9" spans="1:12">
      <c r="A9" s="15">
        <v>6</v>
      </c>
      <c r="B9" s="16">
        <v>200</v>
      </c>
      <c r="C9" s="17">
        <v>730</v>
      </c>
      <c r="D9" s="17"/>
    </row>
    <row r="10" spans="1:12">
      <c r="A10" s="15">
        <v>7</v>
      </c>
      <c r="B10" s="16">
        <v>220</v>
      </c>
      <c r="C10" s="17">
        <v>740</v>
      </c>
      <c r="D10" s="17"/>
    </row>
    <row r="11" spans="1:12">
      <c r="A11" s="15">
        <v>8</v>
      </c>
      <c r="B11" s="16">
        <v>250</v>
      </c>
      <c r="C11" s="17">
        <v>740</v>
      </c>
      <c r="D11" s="17"/>
      <c r="F11" s="314"/>
    </row>
    <row r="12" spans="1:12">
      <c r="A12" s="15">
        <v>9</v>
      </c>
      <c r="B12" s="16">
        <v>300</v>
      </c>
      <c r="C12" s="17">
        <v>750</v>
      </c>
      <c r="D12" s="17"/>
    </row>
    <row r="13" spans="1:12">
      <c r="A13" s="15">
        <v>10</v>
      </c>
      <c r="B13" s="16">
        <v>325</v>
      </c>
      <c r="C13" s="17">
        <v>750</v>
      </c>
      <c r="D13" s="17"/>
    </row>
    <row r="14" spans="1:12">
      <c r="A14" s="15">
        <v>11</v>
      </c>
      <c r="B14" s="16">
        <v>350</v>
      </c>
      <c r="C14" s="17">
        <v>810</v>
      </c>
      <c r="D14" s="17"/>
    </row>
    <row r="15" spans="1:12">
      <c r="A15" s="15">
        <v>12</v>
      </c>
      <c r="B15" s="16">
        <v>420</v>
      </c>
      <c r="C15" s="17">
        <v>990</v>
      </c>
      <c r="D15" s="17"/>
      <c r="L15" s="23"/>
    </row>
    <row r="16" spans="1:12">
      <c r="A16" s="15">
        <v>13</v>
      </c>
      <c r="B16" s="16">
        <v>450</v>
      </c>
      <c r="C16" s="17">
        <v>990</v>
      </c>
      <c r="D16" s="17"/>
    </row>
    <row r="17" spans="1:4">
      <c r="A17" s="15">
        <v>14</v>
      </c>
      <c r="B17" s="16">
        <v>500</v>
      </c>
      <c r="C17" s="17">
        <v>1140</v>
      </c>
      <c r="D17" s="17"/>
    </row>
    <row r="18" spans="1:4">
      <c r="A18" s="15">
        <v>15</v>
      </c>
      <c r="B18" s="16">
        <v>550</v>
      </c>
      <c r="C18" s="20">
        <v>1380</v>
      </c>
      <c r="D18" s="17"/>
    </row>
    <row r="19" spans="1:4">
      <c r="A19" s="15">
        <v>16</v>
      </c>
      <c r="B19" s="16">
        <v>600</v>
      </c>
      <c r="C19" s="20">
        <v>1380</v>
      </c>
      <c r="D19" s="17"/>
    </row>
    <row r="20" spans="1:4">
      <c r="A20" s="15">
        <v>17</v>
      </c>
      <c r="B20" s="16">
        <v>650</v>
      </c>
      <c r="C20" s="20">
        <v>1380</v>
      </c>
      <c r="D20" s="17"/>
    </row>
    <row r="21" spans="1:4">
      <c r="A21" s="15">
        <v>18</v>
      </c>
      <c r="B21" s="16">
        <v>850</v>
      </c>
      <c r="C21" s="20">
        <v>2100</v>
      </c>
      <c r="D21" s="17"/>
    </row>
    <row r="26" spans="1:4">
      <c r="A26" s="21" t="s">
        <v>236</v>
      </c>
      <c r="B26" s="21" t="s">
        <v>128</v>
      </c>
      <c r="C26" s="21" t="s">
        <v>556</v>
      </c>
    </row>
    <row r="27" spans="1:4">
      <c r="A27" s="21" t="str">
        <f>Database!A20</f>
        <v>PS</v>
      </c>
      <c r="B27" s="21">
        <f>Database!B20</f>
        <v>136</v>
      </c>
      <c r="C27" s="21">
        <f>Database!C20/100</f>
        <v>3.2000000000000002E-3</v>
      </c>
    </row>
    <row r="28" spans="1:4">
      <c r="A28" s="21" t="str">
        <f>Database!A21</f>
        <v>PE</v>
      </c>
      <c r="B28" s="21">
        <f>Database!B21</f>
        <v>161</v>
      </c>
      <c r="C28" s="21">
        <f>Database!C21/100</f>
        <v>3.2000000000000002E-3</v>
      </c>
    </row>
    <row r="29" spans="1:4">
      <c r="A29" s="21" t="str">
        <f>Database!A22</f>
        <v>PP</v>
      </c>
      <c r="B29" s="21">
        <f>Database!B22</f>
        <v>139</v>
      </c>
      <c r="C29" s="21">
        <f>Database!C22/100</f>
        <v>3.2000000000000002E-3</v>
      </c>
    </row>
    <row r="30" spans="1:4">
      <c r="A30" s="21" t="str">
        <f>Database!A23</f>
        <v>ABS</v>
      </c>
      <c r="B30" s="21">
        <f>Database!B23</f>
        <v>210</v>
      </c>
      <c r="C30" s="21">
        <f>Database!C23/100</f>
        <v>4.0000000000000001E-3</v>
      </c>
    </row>
    <row r="31" spans="1:4">
      <c r="A31" s="21" t="str">
        <f>Database!A24</f>
        <v>PA-unfilled-dupont</v>
      </c>
      <c r="B31" s="21">
        <f>Database!B24</f>
        <v>481</v>
      </c>
      <c r="C31" s="21">
        <f>Database!C24/100</f>
        <v>6.8999999999999999E-3</v>
      </c>
    </row>
    <row r="32" spans="1:4">
      <c r="A32" s="21" t="str">
        <f>Database!A25</f>
        <v>POM</v>
      </c>
      <c r="B32" s="21">
        <f>Database!B25</f>
        <v>300</v>
      </c>
      <c r="C32" s="21">
        <f>Database!C25/100</f>
        <v>6.8999999999999999E-3</v>
      </c>
    </row>
    <row r="33" spans="1:3">
      <c r="A33" s="21" t="str">
        <f>Database!A26</f>
        <v>Glass fiber-Plain</v>
      </c>
      <c r="B33" s="21">
        <f>Database!B26</f>
        <v>220</v>
      </c>
      <c r="C33" s="21">
        <f>Database!C26/100</f>
        <v>6.8999999999999999E-3</v>
      </c>
    </row>
    <row r="34" spans="1:3">
      <c r="A34" s="21" t="str">
        <f>Database!A27</f>
        <v>Nylon-srf</v>
      </c>
      <c r="B34" s="21">
        <f>Database!B27</f>
        <v>257</v>
      </c>
      <c r="C34" s="21">
        <f>Database!C27/100</f>
        <v>7.1999999999999998E-3</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E15"/>
  <sheetViews>
    <sheetView workbookViewId="0">
      <selection activeCell="H16" sqref="H16"/>
    </sheetView>
  </sheetViews>
  <sheetFormatPr defaultColWidth="9" defaultRowHeight="14.5"/>
  <cols>
    <col min="1" max="1" width="24.90625" style="352" customWidth="1"/>
    <col min="2" max="2" width="27.08984375" style="352" customWidth="1"/>
  </cols>
  <sheetData>
    <row r="1" spans="1:5">
      <c r="A1" s="1" t="s">
        <v>557</v>
      </c>
      <c r="B1" s="2" t="str">
        <f>'Input-Output'!B9</f>
        <v>ABS</v>
      </c>
    </row>
    <row r="2" spans="1:5">
      <c r="A2" s="1" t="s">
        <v>558</v>
      </c>
      <c r="B2" s="1">
        <f>VLOOKUP(B1,Table11[[Part Material]:[Price/kg]],2,FALSE)</f>
        <v>210</v>
      </c>
      <c r="D2" t="s">
        <v>559</v>
      </c>
    </row>
    <row r="3" spans="1:5">
      <c r="A3" s="1" t="s">
        <v>560</v>
      </c>
      <c r="B3" s="1">
        <f>((('Input-Output'!B7*'Input-Output'!B14)/1000)*VLOOKUP(B1,Table11[#All],4,FALSE))/1000</f>
        <v>5.7482240000000004E-2</v>
      </c>
      <c r="D3">
        <f>B9*8*0.9</f>
        <v>1202.4742268041239</v>
      </c>
      <c r="E3" t="s">
        <v>561</v>
      </c>
    </row>
    <row r="4" spans="1:5">
      <c r="A4" s="1" t="s">
        <v>562</v>
      </c>
      <c r="B4" s="1">
        <f>B3*B2</f>
        <v>12.071270400000001</v>
      </c>
    </row>
    <row r="5" spans="1:5">
      <c r="A5" s="1" t="s">
        <v>563</v>
      </c>
      <c r="B5" s="1">
        <f>'Input-Output'!B10</f>
        <v>1</v>
      </c>
    </row>
    <row r="6" spans="1:5">
      <c r="A6" s="1" t="s">
        <v>281</v>
      </c>
      <c r="B6" s="1">
        <f>'Tonnage '!F6</f>
        <v>750</v>
      </c>
    </row>
    <row r="7" spans="1:5">
      <c r="A7" s="1" t="s">
        <v>564</v>
      </c>
      <c r="B7" s="1">
        <f>'Input-Output'!B12</f>
        <v>19.399999999999999</v>
      </c>
    </row>
    <row r="8" spans="1:5">
      <c r="A8" s="1" t="s">
        <v>544</v>
      </c>
      <c r="B8" s="1">
        <f>'Tonnage '!E3</f>
        <v>325</v>
      </c>
    </row>
    <row r="9" spans="1:5">
      <c r="A9" s="1" t="s">
        <v>565</v>
      </c>
      <c r="B9" s="1">
        <f>(3600/B7)*B5*0.9</f>
        <v>167.01030927835055</v>
      </c>
    </row>
    <row r="10" spans="1:5">
      <c r="A10" s="1" t="s">
        <v>566</v>
      </c>
      <c r="B10" s="3">
        <f>B6/B9</f>
        <v>4.4907407407407396</v>
      </c>
    </row>
    <row r="11" spans="1:5">
      <c r="A11" s="1" t="s">
        <v>567</v>
      </c>
      <c r="B11" s="3">
        <f>B10+B4</f>
        <v>16.56201114074074</v>
      </c>
    </row>
    <row r="12" spans="1:5">
      <c r="A12" s="1" t="s">
        <v>568</v>
      </c>
      <c r="B12" s="3">
        <f>11%*B11</f>
        <v>1.8218212254814814</v>
      </c>
    </row>
    <row r="13" spans="1:5">
      <c r="A13" s="1" t="s">
        <v>225</v>
      </c>
      <c r="B13" s="3">
        <f>B11+B12</f>
        <v>18.383832366222222</v>
      </c>
    </row>
    <row r="14" spans="1:5">
      <c r="A14" s="1" t="s">
        <v>228</v>
      </c>
      <c r="B14" s="266">
        <f>'Input-Output'!B11</f>
        <v>20000</v>
      </c>
    </row>
    <row r="15" spans="1:5">
      <c r="A15" s="4" t="s">
        <v>230</v>
      </c>
      <c r="B15" s="5">
        <f>B14*B13</f>
        <v>367676.64732444444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WEBSITE</vt:lpstr>
      <vt:lpstr>Instructions</vt:lpstr>
      <vt:lpstr>Mould Costing</vt:lpstr>
      <vt:lpstr>Infographics</vt:lpstr>
      <vt:lpstr>INJ. MOULDING ESTIMATION</vt:lpstr>
      <vt:lpstr>Database</vt:lpstr>
      <vt:lpstr>Input-Output</vt:lpstr>
      <vt:lpstr>No of Cavity</vt:lpstr>
      <vt:lpstr>COMPLEXITY</vt:lpstr>
      <vt:lpstr>Guide Pillar</vt:lpstr>
      <vt:lpstr>Mould Layout</vt:lpstr>
      <vt:lpstr>Core &amp; Ejector Plate</vt:lpstr>
      <vt:lpstr>Machining Time</vt:lpstr>
      <vt:lpstr>Tonnage </vt:lpstr>
      <vt:lpstr>Part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Gyan (CP/Hosur/TVSMotor)</dc:creator>
  <cp:lastModifiedBy>Dev Gyan Priyadarshi</cp:lastModifiedBy>
  <cp:lastPrinted>2023-06-15T06:02:32Z</cp:lastPrinted>
  <dcterms:created xsi:type="dcterms:W3CDTF">2023-05-22T09:32:00Z</dcterms:created>
  <dcterms:modified xsi:type="dcterms:W3CDTF">2023-07-11T06:20:35Z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0x0101005373BB68379DF747BF3B48BE896DED2D</vt:lpwstr>
  </property>
  <property fmtid="{D5CDD505-2E9C-101B-9397-08002B2CF9AE}" pid="3" name="ICV">
    <vt:lpwstr>6DC3F2F5242B4ACD8CECDDE87FF81580</vt:lpwstr>
  </property>
  <property fmtid="{D5CDD505-2E9C-101B-9397-08002B2CF9AE}" pid="4" name="KSOProductBuildVer">
    <vt:lpwstr>1033-11.2.0.11537</vt:lpwstr>
  </property>
</Properties>
</file>