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worksheets/sheet5.xml" ContentType="application/vnd.openxmlformats-officedocument.spreadsheetml.workshee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drawings/drawing3.xml" ContentType="application/vnd.openxmlformats-officedocument.drawing+xml"/>
  <Override PartName="/xl/worksheets/sheet8.xml" ContentType="application/vnd.openxmlformats-officedocument.spreadsheetml.worksheet+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worksheets/sheet9.xml" ContentType="application/vnd.openxmlformats-officedocument.spreadsheetml.worksheet+xml"/>
  <Override PartName="/xl/tables/table8.xml" ContentType="application/vnd.openxmlformats-officedocument.spreadsheetml.table+xml"/>
  <Override PartName="/xl/tables/table9.xml" ContentType="application/vnd.openxmlformats-officedocument.spreadsheetml.table+xml"/>
  <Override PartName="/xl/worksheets/sheet10.xml" ContentType="application/vnd.openxmlformats-officedocument.spreadsheetml.worksheet+xml"/>
  <Override PartName="/xl/drawings/drawing4.xml" ContentType="application/vnd.openxmlformats-officedocument.drawing+xml"/>
  <Override PartName="/xl/worksheets/sheet11.xml" ContentType="application/vnd.openxmlformats-officedocument.spreadsheetml.worksheet+xml"/>
  <Override PartName="/xl/tables/table10.xml" ContentType="application/vnd.openxmlformats-officedocument.spreadsheetml.table+xml"/>
  <Override PartName="/xl/worksheets/sheet12.xml" ContentType="application/vnd.openxmlformats-officedocument.spreadsheetml.worksheet+xml"/>
  <Override PartName="/xl/worksheets/sheet13.xml" ContentType="application/vnd.openxmlformats-officedocument.spreadsheetml.worksheet+xml"/>
  <Override PartName="/xl/drawings/drawing5.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worksheets/sheet16.xml" ContentType="application/vnd.openxmlformats-officedocument.spreadsheetml.worksheet+xml"/>
  <Override PartName="/xl/tables/table20.xml" ContentType="application/vnd.openxmlformats-officedocument.spreadsheetml.table+xml"/>
  <Override PartName="/xl/worksheets/sheet1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0" autoFilterDateGrouping="1"/>
  </bookViews>
  <sheets>
    <sheet name="Website" sheetId="1" state="visible" r:id="rId1"/>
    <sheet name="Instructions" sheetId="2" state="visible" r:id="rId2"/>
    <sheet name="DASHBOARD" sheetId="3" state="visible" r:id="rId3"/>
    <sheet name="Sheet1" sheetId="4" state="visible" r:id="rId4"/>
    <sheet name="Mould Costing" sheetId="5" state="visible" r:id="rId5"/>
    <sheet name="Infographics" sheetId="6" state="visible" r:id="rId6"/>
    <sheet name="INJ. MOULDING ESTIMATION" sheetId="7" state="visible" r:id="rId7"/>
    <sheet name="Database" sheetId="8" state="visible" r:id="rId8"/>
    <sheet name="Input-Output" sheetId="9" state="visible" r:id="rId9"/>
    <sheet name="No of Cavity" sheetId="10" state="visible" r:id="rId10"/>
    <sheet name="COMPLEXITY" sheetId="11" state="visible" r:id="rId11"/>
    <sheet name="Guide Pillar" sheetId="12" state="visible" r:id="rId12"/>
    <sheet name="Mould Layout" sheetId="13" state="visible" r:id="rId13"/>
    <sheet name="Core &amp; Ejector Plate" sheetId="14" state="visible" r:id="rId14"/>
    <sheet name="Machining Time" sheetId="15" state="visible" r:id="rId15"/>
    <sheet name="Tonnage " sheetId="16" state="visible" r:id="rId16"/>
    <sheet name="Part Cost" sheetId="17" state="visible" r:id="rId17"/>
  </sheets>
  <definedNames>
    <definedName name="solver_eng" localSheetId="6" hidden="1">1</definedName>
    <definedName name="solver_lin" localSheetId="6" hidden="1">0</definedName>
    <definedName name="solver_neg" localSheetId="6" hidden="1">1</definedName>
    <definedName name="solver_num" localSheetId="6" hidden="1">0</definedName>
    <definedName name="solver_opt" localSheetId="6" hidden="1">'INJ. MOULDING ESTIMATION'!$I$12</definedName>
    <definedName name="solver_typ" localSheetId="6" hidden="1">1</definedName>
    <definedName name="solver_val" localSheetId="6" hidden="1">0</definedName>
    <definedName name="solver_ver" localSheetId="6" hidden="1">3</definedName>
    <definedName name="solver_adj" localSheetId="8" hidden="1">'Input-Output'!$B$11</definedName>
    <definedName name="solver_cvg" localSheetId="8" hidden="1">0.0001</definedName>
    <definedName name="solver_drv" localSheetId="8" hidden="1">1</definedName>
    <definedName name="solver_eng" localSheetId="8" hidden="1">1</definedName>
    <definedName name="solver_est" localSheetId="8" hidden="1">1</definedName>
    <definedName name="solver_itr" localSheetId="8" hidden="1">2147483647</definedName>
    <definedName name="solver_lhs1" localSheetId="8" hidden="1">'Input-Output'!$B$11</definedName>
    <definedName name="solver_lhs2" localSheetId="8" hidden="1">'Input-Output'!$E$22</definedName>
    <definedName name="solver_mip" localSheetId="8" hidden="1">2147483647</definedName>
    <definedName name="solver_mni" localSheetId="8" hidden="1">30</definedName>
    <definedName name="solver_mrt" localSheetId="8" hidden="1">0.075</definedName>
    <definedName name="solver_msl" localSheetId="8" hidden="1">2</definedName>
    <definedName name="solver_neg" localSheetId="8" hidden="1">1</definedName>
    <definedName name="solver_nod" localSheetId="8" hidden="1">2147483647</definedName>
    <definedName name="solver_num" localSheetId="8" hidden="1">2</definedName>
    <definedName name="solver_nwt" localSheetId="8" hidden="1">1</definedName>
    <definedName name="solver_opt" localSheetId="8" hidden="1">'Input-Output'!$E$22</definedName>
    <definedName name="solver_pre" localSheetId="8" hidden="1">0.000001</definedName>
    <definedName name="solver_rbv" localSheetId="8" hidden="1">1</definedName>
    <definedName name="solver_rel1" localSheetId="8" hidden="1">4</definedName>
    <definedName name="solver_rel2" localSheetId="8" hidden="1">1</definedName>
    <definedName name="solver_rhs1" localSheetId="8" hidden="1">"integer"</definedName>
    <definedName name="solver_rhs2" localSheetId="8" hidden="1">'Input-Output'!$E$20</definedName>
    <definedName name="solver_rlx" localSheetId="8" hidden="1">2</definedName>
    <definedName name="solver_rsd" localSheetId="8" hidden="1">0</definedName>
    <definedName name="solver_scl" localSheetId="8" hidden="1">1</definedName>
    <definedName name="solver_sho" localSheetId="8" hidden="1">2</definedName>
    <definedName name="solver_ssz" localSheetId="8" hidden="1">100</definedName>
    <definedName name="solver_tim" localSheetId="8" hidden="1">2147483647</definedName>
    <definedName name="solver_tol" localSheetId="8" hidden="1">0.01</definedName>
    <definedName name="solver_typ" localSheetId="8" hidden="1">1</definedName>
    <definedName name="solver_val" localSheetId="8" hidden="1">0</definedName>
    <definedName name="solver_ver" localSheetId="8" hidden="1">3</definedName>
    <definedName name="solver_eng" localSheetId="16" hidden="1">2</definedName>
    <definedName name="solver_neg" localSheetId="16" hidden="1">1</definedName>
    <definedName name="solver_num" localSheetId="16" hidden="1">0</definedName>
    <definedName name="solver_opt" localSheetId="16" hidden="1">'Part Cost'!$B$15</definedName>
    <definedName name="solver_typ" localSheetId="16" hidden="1">2</definedName>
    <definedName name="solver_val" localSheetId="16" hidden="1">0</definedName>
    <definedName name="solver_ver" localSheetId="16" hidden="1">3</definedName>
  </definedNames>
  <calcPr calcId="162913" fullCalcOnLoad="1"/>
</workbook>
</file>

<file path=xl/styles.xml><?xml version="1.0" encoding="utf-8"?>
<styleSheet xmlns="http://schemas.openxmlformats.org/spreadsheetml/2006/main">
  <numFmts count="14">
    <numFmt numFmtId="164" formatCode="0_ "/>
    <numFmt numFmtId="165" formatCode="_ &quot;₹&quot;\ * #,##0_ ;_ &quot;₹&quot;\ * \-#,##0_ ;_ &quot;₹&quot;\ * &quot;-&quot;??_ ;_ @_ "/>
    <numFmt numFmtId="166" formatCode="dd/mm/yyyy\,hh:mm:ss"/>
    <numFmt numFmtId="167" formatCode="_(* #,##0.0_);_(* \(#,##0.0\);_(* &quot;-&quot;??_);_(@_)"/>
    <numFmt numFmtId="168" formatCode="_(* #,##0_);_(* \(#,##0\);_(* &quot;-&quot;??_);_(@_)"/>
    <numFmt numFmtId="169" formatCode="_ * #,##0.00_ ;_ * \-#,##0.00_ ;_ * &quot;-&quot;??_ ;_ @_ "/>
    <numFmt numFmtId="170" formatCode="0.0%"/>
    <numFmt numFmtId="171" formatCode="0.000%"/>
    <numFmt numFmtId="172" formatCode="_ &quot;₹&quot;\ * #,##0.00_ ;_ &quot;₹&quot;\ * \-#,##0.00_ ;_ &quot;₹&quot;\ * &quot;-&quot;??_ ;_ @_ "/>
    <numFmt numFmtId="173" formatCode="_ [$₹-4009]\ * #,##0_ ;_ [$₹-4009]\ * \-#,##0_ ;_ [$₹-4009]\ * &quot;-&quot;??_ ;_ @_ "/>
    <numFmt numFmtId="174" formatCode="0.0"/>
    <numFmt numFmtId="175" formatCode="0.000"/>
    <numFmt numFmtId="176" formatCode="dd/mm/yyyy\ hh:mm:ss"/>
    <numFmt numFmtId="177" formatCode="dd/mm/yy\,hh:mm:ss"/>
  </numFmts>
  <fonts count="56">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theme="7" tint="-0.249977111117893"/>
      <sz val="11"/>
      <scheme val="minor"/>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Arial"/>
      <family val="2"/>
      <color rgb="FF000000"/>
      <sz val="22"/>
    </font>
    <font>
      <name val="Ebrima"/>
      <b val="1"/>
      <color rgb="FFFF0000"/>
      <sz val="24"/>
    </font>
    <font>
      <name val="Ebrima"/>
      <b val="1"/>
      <sz val="28"/>
    </font>
    <font>
      <name val="Ebrima"/>
      <color rgb="FFFF0000"/>
      <sz val="24"/>
    </font>
    <font>
      <name val="Ebrima"/>
      <b val="1"/>
      <sz val="48"/>
    </font>
    <font>
      <name val="Calibri"/>
      <family val="2"/>
      <color theme="1"/>
      <sz val="26"/>
      <scheme val="minor"/>
    </font>
  </fonts>
  <fills count="38">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
      <patternFill patternType="solid">
        <fgColor theme="9" tint="0.7999816888943144"/>
        <bgColor indexed="64"/>
      </patternFill>
    </fill>
    <fill>
      <patternFill patternType="solid">
        <fgColor theme="9" tint="0.3999755851924192"/>
        <bgColor indexed="64"/>
      </patternFill>
    </fill>
  </fills>
  <borders count="10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thin">
        <color indexed="64"/>
      </left>
      <right style="thin">
        <color indexed="64"/>
      </right>
      <top style="medium">
        <color indexed="64"/>
      </top>
      <bottom style="thin">
        <color indexed="64"/>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auto="1"/>
      </left>
      <right/>
      <top style="medium">
        <color auto="1"/>
      </top>
      <bottom style="thin">
        <color indexed="64"/>
      </bottom>
      <diagonal/>
    </border>
    <border>
      <left style="thin">
        <color auto="1"/>
      </left>
      <right/>
      <top/>
      <bottom style="thin">
        <color indexed="64"/>
      </bottom>
      <diagonal/>
    </border>
    <border>
      <left/>
      <right style="thin">
        <color auto="1"/>
      </right>
      <top style="medium">
        <color indexed="64"/>
      </top>
      <bottom style="thin">
        <color auto="1"/>
      </bottom>
      <diagonal/>
    </border>
    <border>
      <left style="medium">
        <color auto="1"/>
      </left>
      <right style="thin">
        <color indexed="64"/>
      </right>
      <top style="medium">
        <color auto="1"/>
      </top>
      <bottom style="medium">
        <color indexed="64"/>
      </bottom>
      <diagonal/>
    </border>
    <border>
      <left/>
      <right style="thin">
        <color indexed="64"/>
      </right>
      <top style="medium">
        <color auto="1"/>
      </top>
      <bottom/>
      <diagonal/>
    </border>
    <border>
      <left style="medium">
        <color auto="1"/>
      </left>
      <right/>
      <top/>
      <bottom style="medium">
        <color indexed="64"/>
      </bottom>
      <diagonal/>
    </border>
    <border>
      <left style="thin">
        <color indexed="64"/>
      </left>
      <right/>
      <top/>
      <bottom/>
      <diagonal/>
    </border>
    <border>
      <left style="thin">
        <color indexed="64"/>
      </left>
      <right style="thin">
        <color indexed="64"/>
      </right>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right style="thin">
        <color auto="1"/>
      </right>
      <top style="medium">
        <color indexed="64"/>
      </top>
      <bottom/>
      <diagonal/>
    </border>
    <border>
      <left/>
      <right style="medium">
        <color indexed="64"/>
      </right>
      <top/>
      <bottom/>
      <diagonal/>
    </border>
    <border>
      <left/>
      <right style="medium">
        <color indexed="64"/>
      </right>
      <top style="thin">
        <color auto="1"/>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3" fillId="0" borderId="0"/>
    <xf numFmtId="44" fontId="43" fillId="0" borderId="0"/>
    <xf numFmtId="9" fontId="43" fillId="0" borderId="0"/>
    <xf numFmtId="0" fontId="43" fillId="32" borderId="0"/>
    <xf numFmtId="0" fontId="16" fillId="8" borderId="4"/>
    <xf numFmtId="0" fontId="11" fillId="0" borderId="0"/>
    <xf numFmtId="0" fontId="43" fillId="29" borderId="0"/>
    <xf numFmtId="43" fontId="43" fillId="0" borderId="0"/>
    <xf numFmtId="43" fontId="11" fillId="0" borderId="0"/>
  </cellStyleXfs>
  <cellXfs count="639">
    <xf numFmtId="0" fontId="0" fillId="0" borderId="0" pivotButton="0" quotePrefix="0" xfId="0"/>
    <xf numFmtId="0" fontId="11" fillId="0" borderId="1" pivotButton="0" quotePrefix="0" xfId="0"/>
    <xf numFmtId="0" fontId="11" fillId="0" borderId="1" applyAlignment="1" pivotButton="0" quotePrefix="0" xfId="0">
      <alignment horizontal="center"/>
    </xf>
    <xf numFmtId="2" fontId="11" fillId="0" borderId="1" pivotButton="0" quotePrefix="0" xfId="0"/>
    <xf numFmtId="0" fontId="11" fillId="2" borderId="1" pivotButton="0" quotePrefix="0" xfId="0"/>
    <xf numFmtId="0" fontId="0" fillId="2" borderId="1" pivotButton="0" quotePrefix="0" xfId="0"/>
    <xf numFmtId="0" fontId="12" fillId="0" borderId="0" applyAlignment="1" pivotButton="0" quotePrefix="0" xfId="0">
      <alignment horizontal="left"/>
    </xf>
    <xf numFmtId="0" fontId="13" fillId="3" borderId="2" applyAlignment="1" pivotButton="0" quotePrefix="0" xfId="0">
      <alignment horizontal="center" vertical="center" wrapText="1"/>
    </xf>
    <xf numFmtId="0" fontId="14"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3" fillId="5" borderId="1" applyAlignment="1" pivotButton="0" quotePrefix="0" xfId="4">
      <alignment horizontal="center" vertical="center"/>
    </xf>
    <xf numFmtId="0" fontId="0" fillId="5" borderId="1" applyAlignment="1" pivotButton="0" quotePrefix="0" xfId="4">
      <alignment horizontal="center" vertical="center" wrapText="1"/>
    </xf>
    <xf numFmtId="0" fontId="13" fillId="3" borderId="3" applyAlignment="1" pivotButton="0" quotePrefix="0" xfId="0">
      <alignment horizontal="center" vertical="center" wrapText="1"/>
    </xf>
    <xf numFmtId="0" fontId="43" fillId="6" borderId="1" applyAlignment="1" pivotButton="0" quotePrefix="0" xfId="4">
      <alignment horizontal="center" vertical="center"/>
    </xf>
    <xf numFmtId="0" fontId="14" fillId="7" borderId="1" applyAlignment="1" pivotButton="0" quotePrefix="0" xfId="0">
      <alignment horizontal="center"/>
    </xf>
    <xf numFmtId="0" fontId="13" fillId="7" borderId="1" applyAlignment="1" pivotButton="0" quotePrefix="0" xfId="0">
      <alignment horizontal="center"/>
    </xf>
    <xf numFmtId="0" fontId="15" fillId="7" borderId="1" pivotButton="0" quotePrefix="0" xfId="0"/>
    <xf numFmtId="0" fontId="16" fillId="8" borderId="4" pivotButton="0" quotePrefix="0" xfId="5"/>
    <xf numFmtId="0" fontId="16" fillId="8" borderId="4" applyAlignment="1" pivotButton="0" quotePrefix="0" xfId="5">
      <alignment wrapText="1"/>
    </xf>
    <xf numFmtId="4" fontId="15" fillId="7" borderId="1" pivotButton="0" quotePrefix="0" xfId="0"/>
    <xf numFmtId="0" fontId="43"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9" fillId="0" borderId="6" applyAlignment="1" pivotButton="0" quotePrefix="0" xfId="0">
      <alignment vertical="center"/>
    </xf>
    <xf numFmtId="0" fontId="20" fillId="11" borderId="3" applyAlignment="1" applyProtection="1" pivotButton="0" quotePrefix="0" xfId="0">
      <alignment vertical="center"/>
      <protection locked="0" hidden="0"/>
    </xf>
    <xf numFmtId="0" fontId="19" fillId="0" borderId="3" applyAlignment="1" pivotButton="0" quotePrefix="0" xfId="0">
      <alignment horizontal="center" vertical="center"/>
    </xf>
    <xf numFmtId="0" fontId="19" fillId="0" borderId="3" applyAlignment="1" pivotButton="0" quotePrefix="0" xfId="0">
      <alignment horizontal="center" vertical="center" wrapText="1"/>
    </xf>
    <xf numFmtId="0" fontId="0" fillId="0" borderId="7" applyAlignment="1" pivotButton="0" quotePrefix="0" xfId="0">
      <alignment vertical="center" wrapText="1"/>
    </xf>
    <xf numFmtId="0" fontId="11" fillId="12" borderId="1" applyAlignment="1" applyProtection="1" pivotButton="0" quotePrefix="0" xfId="0">
      <alignment wrapText="1"/>
      <protection locked="0" hidden="0"/>
    </xf>
    <xf numFmtId="0" fontId="11"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1" fillId="9" borderId="1" applyAlignment="1" applyProtection="1" pivotButton="0" quotePrefix="0" xfId="0">
      <alignment wrapText="1"/>
      <protection locked="0" hidden="0"/>
    </xf>
    <xf numFmtId="0" fontId="11"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1"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1" fillId="11" borderId="3" applyProtection="1" pivotButton="0" quotePrefix="0" xfId="0">
      <protection locked="0" hidden="0"/>
    </xf>
    <xf numFmtId="0" fontId="11"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9"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9" fillId="17" borderId="1" applyAlignment="1" pivotButton="0" quotePrefix="0" xfId="0">
      <alignment vertical="center" wrapText="1"/>
    </xf>
    <xf numFmtId="0" fontId="19" fillId="17" borderId="1" applyAlignment="1" pivotButton="0" quotePrefix="0" xfId="0">
      <alignment horizontal="center" vertical="center" wrapText="1"/>
    </xf>
    <xf numFmtId="0" fontId="0" fillId="17" borderId="1" pivotButton="0" quotePrefix="0" xfId="0"/>
    <xf numFmtId="0" fontId="23"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1" fillId="0" borderId="9" applyAlignment="1" pivotButton="0" quotePrefix="0" xfId="0">
      <alignment horizontal="left" vertical="center"/>
    </xf>
    <xf numFmtId="0" fontId="0" fillId="0" borderId="1" applyAlignment="1" pivotButton="0" quotePrefix="0" xfId="0">
      <alignment vertical="center"/>
    </xf>
    <xf numFmtId="0" fontId="22" fillId="0" borderId="9" applyAlignment="1" pivotButton="0" quotePrefix="0" xfId="0">
      <alignment horizontal="left" vertical="center"/>
    </xf>
    <xf numFmtId="0" fontId="0" fillId="17" borderId="1" applyAlignment="1" pivotButton="0" quotePrefix="0" xfId="0">
      <alignment vertical="center"/>
    </xf>
    <xf numFmtId="1" fontId="19" fillId="0" borderId="13" applyAlignment="1" pivotButton="0" quotePrefix="0" xfId="0">
      <alignment vertical="center"/>
    </xf>
    <xf numFmtId="2" fontId="19" fillId="0" borderId="0" applyAlignment="1" pivotButton="0" quotePrefix="0" xfId="0">
      <alignment horizontal="center" vertical="center"/>
    </xf>
    <xf numFmtId="0" fontId="19" fillId="18" borderId="6" applyAlignment="1" pivotButton="0" quotePrefix="0" xfId="0">
      <alignment horizontal="center" vertical="center"/>
    </xf>
    <xf numFmtId="0" fontId="19" fillId="18" borderId="3" applyAlignment="1" pivotButton="0" quotePrefix="0" xfId="0">
      <alignment horizontal="center" vertical="center"/>
    </xf>
    <xf numFmtId="0" fontId="19"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9"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9"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4"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5"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6" fillId="0" borderId="17" applyAlignment="1" pivotButton="0" quotePrefix="0" xfId="0">
      <alignment vertical="center"/>
    </xf>
    <xf numFmtId="0" fontId="0" fillId="23" borderId="1" applyAlignment="1" pivotButton="0" quotePrefix="0" xfId="0">
      <alignment horizontal="right"/>
    </xf>
    <xf numFmtId="0" fontId="19" fillId="0" borderId="0" applyAlignment="1" pivotButton="0" quotePrefix="0" xfId="0">
      <alignment horizontal="right" vertical="center"/>
    </xf>
    <xf numFmtId="2" fontId="28"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8" fillId="0" borderId="0" applyAlignment="1" pivotButton="0" quotePrefix="0" xfId="0">
      <alignment horizontal="right"/>
    </xf>
    <xf numFmtId="0" fontId="0" fillId="0" borderId="0" applyAlignment="1" pivotButton="0" quotePrefix="0" xfId="0">
      <alignment horizontal="right"/>
    </xf>
    <xf numFmtId="0" fontId="22" fillId="0" borderId="0" pivotButton="0" quotePrefix="0" xfId="0"/>
    <xf numFmtId="2" fontId="22"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9" fillId="0" borderId="0" applyAlignment="1" pivotButton="0" quotePrefix="0" xfId="0">
      <alignment horizontal="center" vertical="center"/>
    </xf>
    <xf numFmtId="0" fontId="19" fillId="0" borderId="1" applyAlignment="1" pivotButton="0" quotePrefix="0" xfId="0">
      <alignment vertical="center"/>
    </xf>
    <xf numFmtId="0" fontId="29" fillId="0" borderId="0" applyAlignment="1" pivotButton="0" quotePrefix="0" xfId="0">
      <alignment horizontal="center"/>
    </xf>
    <xf numFmtId="0" fontId="0" fillId="20" borderId="1" applyAlignment="1" pivotButton="0" quotePrefix="0" xfId="0">
      <alignment vertical="center"/>
    </xf>
    <xf numFmtId="0" fontId="29"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9" fillId="10" borderId="1" pivotButton="0" quotePrefix="0" xfId="0"/>
    <xf numFmtId="9" fontId="19" fillId="10" borderId="1" pivotButton="0" quotePrefix="0" xfId="0"/>
    <xf numFmtId="2" fontId="19" fillId="10" borderId="1" pivotButton="0" quotePrefix="0" xfId="0"/>
    <xf numFmtId="2" fontId="0" fillId="10" borderId="1" pivotButton="0" quotePrefix="0" xfId="0"/>
    <xf numFmtId="1" fontId="0" fillId="10" borderId="1" pivotButton="0" quotePrefix="0" xfId="0"/>
    <xf numFmtId="0" fontId="32" fillId="26" borderId="1" applyAlignment="1" pivotButton="0" quotePrefix="0" xfId="0">
      <alignment vertical="center" wrapText="1"/>
    </xf>
    <xf numFmtId="0" fontId="32" fillId="26" borderId="1" applyAlignment="1" pivotButton="0" quotePrefix="0" xfId="0">
      <alignment horizontal="center" vertical="center" wrapText="1"/>
    </xf>
    <xf numFmtId="2" fontId="19" fillId="18" borderId="1" pivotButton="0" quotePrefix="0" xfId="0"/>
    <xf numFmtId="0" fontId="19"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6" fillId="27" borderId="4" applyAlignment="1" pivotButton="0" quotePrefix="0" xfId="5">
      <alignment horizontal="center"/>
    </xf>
    <xf numFmtId="0" fontId="16" fillId="25" borderId="4" applyAlignment="1" pivotButton="0" quotePrefix="0" xfId="5">
      <alignment horizontal="center" vertical="center"/>
    </xf>
    <xf numFmtId="0" fontId="16"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3" fillId="29" borderId="1" pivotButton="0" quotePrefix="0" xfId="7"/>
    <xf numFmtId="2" fontId="0" fillId="0" borderId="0" applyAlignment="1" pivotButton="0" quotePrefix="0" xfId="0">
      <alignment horizontal="right" vertical="center"/>
    </xf>
    <xf numFmtId="2" fontId="43"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3" fillId="30" borderId="7" pivotButton="0" quotePrefix="0" xfId="0"/>
    <xf numFmtId="0" fontId="33" fillId="30" borderId="10" pivotButton="0" quotePrefix="0" xfId="0"/>
    <xf numFmtId="0" fontId="34" fillId="0" borderId="0" pivotButton="0" quotePrefix="0" xfId="0"/>
    <xf numFmtId="0" fontId="35" fillId="0" borderId="0" pivotButton="0" quotePrefix="0" xfId="0"/>
    <xf numFmtId="0" fontId="34"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9" fillId="11" borderId="6" applyAlignment="1" pivotButton="0" quotePrefix="0" xfId="0">
      <alignment horizontal="center" vertical="center"/>
    </xf>
    <xf numFmtId="0" fontId="19"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6" fillId="0" borderId="1" pivotButton="0" quotePrefix="0" xfId="0"/>
    <xf numFmtId="0" fontId="37" fillId="0" borderId="32" pivotButton="0" quotePrefix="0" xfId="0"/>
    <xf numFmtId="0" fontId="11" fillId="14" borderId="1" pivotButton="0" quotePrefix="0" xfId="0"/>
    <xf numFmtId="2" fontId="0" fillId="14" borderId="1" pivotButton="0" quotePrefix="0" xfId="0"/>
    <xf numFmtId="0" fontId="21" fillId="0" borderId="1" pivotButton="0" quotePrefix="0" xfId="0"/>
    <xf numFmtId="0" fontId="36" fillId="0" borderId="1" applyAlignment="1" pivotButton="0" quotePrefix="0" xfId="0">
      <alignment horizontal="center"/>
    </xf>
    <xf numFmtId="0" fontId="0" fillId="0" borderId="0" applyAlignment="1" pivotButton="0" quotePrefix="0" xfId="0">
      <alignment wrapText="1"/>
    </xf>
    <xf numFmtId="0" fontId="28" fillId="0" borderId="1" pivotButton="0" quotePrefix="0" xfId="0"/>
    <xf numFmtId="0" fontId="21" fillId="0" borderId="32" pivotButton="0" quotePrefix="0" xfId="0"/>
    <xf numFmtId="0" fontId="21" fillId="0" borderId="31" pivotButton="0" quotePrefix="0" xfId="0"/>
    <xf numFmtId="0" fontId="0" fillId="32" borderId="31" pivotButton="0" quotePrefix="0" xfId="0"/>
    <xf numFmtId="0" fontId="0" fillId="32" borderId="1" pivotButton="0" quotePrefix="0" xfId="0"/>
    <xf numFmtId="0" fontId="37" fillId="32" borderId="32" pivotButton="0" quotePrefix="0" xfId="0"/>
    <xf numFmtId="0" fontId="0" fillId="0" borderId="28" pivotButton="0" quotePrefix="0" xfId="0"/>
    <xf numFmtId="0" fontId="37"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8" fillId="16" borderId="39" applyAlignment="1" pivotButton="0" quotePrefix="0" xfId="0">
      <alignment vertical="center"/>
    </xf>
    <xf numFmtId="9" fontId="23"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9" fillId="7" borderId="0" pivotButton="0" quotePrefix="0" xfId="0"/>
    <xf numFmtId="0" fontId="40" fillId="7" borderId="0" pivotButton="0" quotePrefix="0" xfId="0"/>
    <xf numFmtId="0" fontId="41" fillId="7" borderId="0" pivotButton="0" quotePrefix="0" xfId="0"/>
    <xf numFmtId="0" fontId="42" fillId="7" borderId="0" pivotButton="0" quotePrefix="0" xfId="0"/>
    <xf numFmtId="0" fontId="19" fillId="0" borderId="5" applyAlignment="1" pivotButton="0" quotePrefix="0" xfId="0">
      <alignment horizontal="center" vertical="center" wrapText="1"/>
    </xf>
    <xf numFmtId="1" fontId="0" fillId="0" borderId="13" pivotButton="0" quotePrefix="0" xfId="0"/>
    <xf numFmtId="0" fontId="10" fillId="0" borderId="0" pivotButton="0" quotePrefix="0" xfId="0"/>
    <xf numFmtId="0" fontId="44" fillId="7" borderId="0" applyAlignment="1" pivotButton="0" quotePrefix="0" xfId="0">
      <alignment horizontal="left" vertical="center" wrapText="1"/>
    </xf>
    <xf numFmtId="0" fontId="44" fillId="7" borderId="17" applyAlignment="1" pivotButton="0" quotePrefix="0" xfId="0">
      <alignment horizontal="left" vertical="center" wrapText="1"/>
    </xf>
    <xf numFmtId="0" fontId="44" fillId="7" borderId="21" applyAlignment="1" pivotButton="0" quotePrefix="0" xfId="0">
      <alignment horizontal="left" vertical="center" wrapText="1"/>
    </xf>
    <xf numFmtId="0" fontId="44" fillId="7" borderId="17" applyAlignment="1" pivotButton="0" quotePrefix="0" xfId="0">
      <alignment horizontal="left" vertical="top" wrapText="1"/>
    </xf>
    <xf numFmtId="0" fontId="44" fillId="7" borderId="0" applyAlignment="1" pivotButton="0" quotePrefix="0" xfId="0">
      <alignment horizontal="left" vertical="top" wrapText="1"/>
    </xf>
    <xf numFmtId="0" fontId="44" fillId="7" borderId="21" applyAlignment="1" pivotButton="0" quotePrefix="0" xfId="0">
      <alignment horizontal="left" vertical="top" wrapText="1"/>
    </xf>
    <xf numFmtId="0" fontId="21" fillId="7" borderId="38" applyAlignment="1" pivotButton="0" quotePrefix="0" xfId="0">
      <alignment horizontal="center" vertical="center"/>
    </xf>
    <xf numFmtId="0" fontId="9" fillId="0" borderId="0" pivotButton="0" quotePrefix="0" xfId="0"/>
    <xf numFmtId="0" fontId="8" fillId="0" borderId="0" applyAlignment="1" pivotButton="0" quotePrefix="0" xfId="0">
      <alignment vertical="center"/>
    </xf>
    <xf numFmtId="0" fontId="19" fillId="17" borderId="10" applyAlignment="1" pivotButton="0" quotePrefix="0" xfId="0">
      <alignment horizontal="center" vertical="center" wrapText="1"/>
    </xf>
    <xf numFmtId="1" fontId="0" fillId="7" borderId="1" applyAlignment="1" pivotButton="0" quotePrefix="0" xfId="0">
      <alignment horizontal="center"/>
    </xf>
    <xf numFmtId="0" fontId="46" fillId="0" borderId="0" pivotButton="0" quotePrefix="0" xfId="0"/>
    <xf numFmtId="0" fontId="48" fillId="0" borderId="21" pivotButton="0" quotePrefix="0" xfId="6"/>
    <xf numFmtId="0" fontId="49" fillId="0" borderId="17" applyAlignment="1" pivotButton="0" quotePrefix="0" xfId="6">
      <alignment horizontal="center"/>
    </xf>
    <xf numFmtId="0" fontId="49" fillId="0" borderId="15" applyAlignment="1" pivotButton="0" quotePrefix="0" xfId="6">
      <alignment horizontal="left" vertical="center"/>
    </xf>
    <xf numFmtId="0" fontId="48" fillId="0" borderId="16" pivotButton="0" quotePrefix="0" xfId="6"/>
    <xf numFmtId="0" fontId="49" fillId="0" borderId="28" applyAlignment="1" pivotButton="0" quotePrefix="0" xfId="6">
      <alignment horizontal="center" vertical="center"/>
    </xf>
    <xf numFmtId="0" fontId="48" fillId="0" borderId="42" applyAlignment="1" pivotButton="0" quotePrefix="0" xfId="6">
      <alignment horizontal="center"/>
    </xf>
    <xf numFmtId="0" fontId="48" fillId="0" borderId="3" pivotButton="0" quotePrefix="0" xfId="6"/>
    <xf numFmtId="0" fontId="48" fillId="0" borderId="31" applyAlignment="1" pivotButton="0" quotePrefix="0" xfId="6">
      <alignment horizontal="center"/>
    </xf>
    <xf numFmtId="0" fontId="48" fillId="0" borderId="1" pivotButton="0" quotePrefix="0" xfId="6"/>
    <xf numFmtId="1" fontId="48" fillId="0" borderId="1" applyAlignment="1" pivotButton="0" quotePrefix="0" xfId="6">
      <alignment horizontal="center"/>
    </xf>
    <xf numFmtId="0" fontId="48" fillId="7" borderId="1" pivotButton="0" quotePrefix="0" xfId="6"/>
    <xf numFmtId="1" fontId="48" fillId="0" borderId="21" pivotButton="0" quotePrefix="0" xfId="6"/>
    <xf numFmtId="0" fontId="48" fillId="7" borderId="2" pivotButton="0" quotePrefix="0" xfId="6"/>
    <xf numFmtId="0" fontId="48" fillId="0" borderId="2" pivotButton="0" quotePrefix="0" xfId="6"/>
    <xf numFmtId="0" fontId="48" fillId="0" borderId="2" applyAlignment="1" pivotButton="0" quotePrefix="0" xfId="6">
      <alignment horizontal="center" vertical="center"/>
    </xf>
    <xf numFmtId="0" fontId="49" fillId="0" borderId="40" applyAlignment="1" pivotButton="0" quotePrefix="0" xfId="6">
      <alignment horizontal="center"/>
    </xf>
    <xf numFmtId="0" fontId="49" fillId="0" borderId="21" pivotButton="0" quotePrefix="0" xfId="6"/>
    <xf numFmtId="0" fontId="48" fillId="0" borderId="17" applyAlignment="1" pivotButton="0" quotePrefix="0" xfId="6">
      <alignment horizontal="center"/>
    </xf>
    <xf numFmtId="0" fontId="49" fillId="0" borderId="17" applyAlignment="1" pivotButton="0" quotePrefix="0" xfId="6">
      <alignment horizontal="left"/>
    </xf>
    <xf numFmtId="0" fontId="49" fillId="0" borderId="7" applyAlignment="1" pivotButton="0" quotePrefix="0" xfId="6">
      <alignment horizontal="center"/>
    </xf>
    <xf numFmtId="0" fontId="49" fillId="0" borderId="11" applyAlignment="1" pivotButton="0" quotePrefix="0" xfId="6">
      <alignment horizontal="center"/>
    </xf>
    <xf numFmtId="0" fontId="48" fillId="0" borderId="36" applyAlignment="1" pivotButton="0" quotePrefix="0" xfId="6">
      <alignment horizontal="center"/>
    </xf>
    <xf numFmtId="0" fontId="48" fillId="0" borderId="32" applyAlignment="1" pivotButton="0" quotePrefix="0" xfId="6">
      <alignment horizontal="center"/>
    </xf>
    <xf numFmtId="0" fontId="48" fillId="0" borderId="0" pivotButton="0" quotePrefix="0" xfId="6"/>
    <xf numFmtId="0" fontId="49" fillId="0" borderId="0" pivotButton="0" quotePrefix="0" xfId="6"/>
    <xf numFmtId="0" fontId="48" fillId="0" borderId="16" applyAlignment="1" pivotButton="0" quotePrefix="0" xfId="6">
      <alignment horizontal="center"/>
    </xf>
    <xf numFmtId="0" fontId="48" fillId="0" borderId="19" applyAlignment="1" pivotButton="0" quotePrefix="0" xfId="6">
      <alignment horizontal="center"/>
    </xf>
    <xf numFmtId="0" fontId="49" fillId="0" borderId="25" pivotButton="0" quotePrefix="0" xfId="6"/>
    <xf numFmtId="0" fontId="49" fillId="0" borderId="28" pivotButton="0" quotePrefix="0" xfId="6"/>
    <xf numFmtId="0" fontId="0" fillId="34" borderId="0" pivotButton="0" quotePrefix="0" xfId="0"/>
    <xf numFmtId="0" fontId="7" fillId="34" borderId="0" pivotButton="0" quotePrefix="0" xfId="0"/>
    <xf numFmtId="0" fontId="0" fillId="34" borderId="0" applyAlignment="1" pivotButton="0" quotePrefix="0" xfId="0">
      <alignment vertical="center"/>
    </xf>
    <xf numFmtId="0" fontId="7" fillId="0" borderId="7" pivotButton="0" quotePrefix="0" xfId="0"/>
    <xf numFmtId="1" fontId="48" fillId="7" borderId="3" applyAlignment="1" pivotButton="0" quotePrefix="0" xfId="6">
      <alignment horizontal="center"/>
    </xf>
    <xf numFmtId="0" fontId="49"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9" fillId="0" borderId="19" applyAlignment="1" pivotButton="0" quotePrefix="0" xfId="6">
      <alignment vertical="center"/>
    </xf>
    <xf numFmtId="0" fontId="49" fillId="0" borderId="19" applyAlignment="1" pivotButton="0" quotePrefix="0" xfId="6">
      <alignment horizontal="center" vertical="center"/>
    </xf>
    <xf numFmtId="0" fontId="48" fillId="0" borderId="1" applyAlignment="1" pivotButton="0" quotePrefix="0" xfId="6">
      <alignment horizontal="right" vertical="center"/>
    </xf>
    <xf numFmtId="0" fontId="49" fillId="0" borderId="1" pivotButton="0" quotePrefix="0" xfId="6"/>
    <xf numFmtId="0" fontId="49" fillId="0" borderId="20" applyAlignment="1" pivotButton="0" quotePrefix="0" xfId="6">
      <alignment horizontal="center"/>
    </xf>
    <xf numFmtId="0" fontId="0" fillId="0" borderId="25" pivotButton="0" quotePrefix="0" xfId="0"/>
    <xf numFmtId="0" fontId="49" fillId="0" borderId="25" applyAlignment="1" pivotButton="0" quotePrefix="0" xfId="6">
      <alignment horizontal="center"/>
    </xf>
    <xf numFmtId="14" fontId="49" fillId="0" borderId="30" pivotButton="0" quotePrefix="0" xfId="6"/>
    <xf numFmtId="0" fontId="49" fillId="0" borderId="31" pivotButton="0" quotePrefix="0" xfId="6"/>
    <xf numFmtId="0" fontId="49" fillId="7" borderId="32" pivotButton="0" quotePrefix="0" xfId="6"/>
    <xf numFmtId="0" fontId="49" fillId="0" borderId="27" applyAlignment="1" pivotButton="0" quotePrefix="0" xfId="6">
      <alignment horizontal="center"/>
    </xf>
    <xf numFmtId="0" fontId="49" fillId="0" borderId="28" applyAlignment="1" pivotButton="0" quotePrefix="0" xfId="6">
      <alignment horizontal="left"/>
    </xf>
    <xf numFmtId="0" fontId="49" fillId="0" borderId="56" applyAlignment="1" pivotButton="0" quotePrefix="0" xfId="6">
      <alignment horizontal="center" vertical="center"/>
    </xf>
    <xf numFmtId="0" fontId="48" fillId="0" borderId="1" applyAlignment="1" pivotButton="0" quotePrefix="0" xfId="6">
      <alignment horizontal="center" wrapText="1"/>
    </xf>
    <xf numFmtId="0" fontId="48" fillId="0" borderId="1" applyAlignment="1" pivotButton="0" quotePrefix="0" xfId="6">
      <alignment horizontal="center" vertical="center" wrapText="1"/>
    </xf>
    <xf numFmtId="0" fontId="21" fillId="0" borderId="0" applyAlignment="1" pivotButton="0" quotePrefix="0" xfId="0">
      <alignment horizontal="center" vertical="center"/>
    </xf>
    <xf numFmtId="0" fontId="48" fillId="0" borderId="0" applyAlignment="1" pivotButton="0" quotePrefix="0" xfId="6">
      <alignment horizontal="left" vertical="center"/>
    </xf>
    <xf numFmtId="0" fontId="48" fillId="0" borderId="0" applyAlignment="1" pivotButton="0" quotePrefix="0" xfId="6">
      <alignment horizontal="center" vertical="center"/>
    </xf>
    <xf numFmtId="0" fontId="50" fillId="0" borderId="21" applyAlignment="1" pivotButton="0" quotePrefix="0" xfId="6">
      <alignment horizontal="left" readingOrder="1"/>
    </xf>
    <xf numFmtId="0" fontId="48" fillId="0" borderId="0" applyAlignment="1" pivotButton="0" quotePrefix="0" xfId="6">
      <alignment horizontal="center"/>
    </xf>
    <xf numFmtId="0" fontId="49" fillId="0" borderId="0" applyAlignment="1" pivotButton="0" quotePrefix="0" xfId="6">
      <alignment horizontal="center"/>
    </xf>
    <xf numFmtId="0" fontId="48" fillId="0" borderId="0" applyAlignment="1" pivotButton="0" quotePrefix="0" xfId="6">
      <alignment horizontal="left"/>
    </xf>
    <xf numFmtId="0" fontId="48" fillId="0" borderId="31" applyAlignment="1" pivotButton="0" quotePrefix="0" xfId="6">
      <alignment horizontal="center" vertical="center"/>
    </xf>
    <xf numFmtId="0" fontId="49" fillId="0" borderId="0" applyAlignment="1" pivotButton="0" quotePrefix="0" xfId="6">
      <alignment horizontal="left"/>
    </xf>
    <xf numFmtId="0" fontId="49" fillId="0" borderId="0" applyAlignment="1" pivotButton="0" quotePrefix="0" xfId="6">
      <alignment horizontal="center" vertical="center"/>
    </xf>
    <xf numFmtId="0" fontId="49" fillId="0" borderId="0" applyAlignment="1" pivotButton="0" quotePrefix="0" xfId="6">
      <alignment horizontal="center" vertical="top"/>
    </xf>
    <xf numFmtId="0" fontId="48" fillId="0" borderId="53" pivotButton="0" quotePrefix="0" xfId="6"/>
    <xf numFmtId="1" fontId="48" fillId="0" borderId="10" applyAlignment="1" pivotButton="0" quotePrefix="0" xfId="9">
      <alignment horizontal="center" vertical="center"/>
    </xf>
    <xf numFmtId="14" fontId="49" fillId="0" borderId="20" pivotButton="0" quotePrefix="0" xfId="6"/>
    <xf numFmtId="0" fontId="49" fillId="0" borderId="21" applyAlignment="1" pivotButton="0" quotePrefix="0" xfId="6">
      <alignment horizontal="center"/>
    </xf>
    <xf numFmtId="0" fontId="48" fillId="0" borderId="21" applyAlignment="1" pivotButton="0" quotePrefix="0" xfId="6">
      <alignment horizontal="center"/>
    </xf>
    <xf numFmtId="0" fontId="49" fillId="7" borderId="21" pivotButton="0" quotePrefix="0" xfId="6"/>
    <xf numFmtId="0" fontId="51" fillId="0" borderId="0" applyAlignment="1" pivotButton="0" quotePrefix="0" xfId="6">
      <alignment horizontal="center"/>
    </xf>
    <xf numFmtId="1" fontId="48" fillId="7" borderId="8" applyAlignment="1" pivotButton="0" quotePrefix="0" xfId="6">
      <alignment horizontal="right"/>
    </xf>
    <xf numFmtId="1" fontId="48" fillId="0" borderId="10" applyAlignment="1" pivotButton="0" quotePrefix="0" xfId="6">
      <alignment horizontal="right"/>
    </xf>
    <xf numFmtId="9" fontId="48" fillId="7" borderId="3" applyAlignment="1" pivotButton="0" quotePrefix="0" xfId="3">
      <alignment horizontal="right"/>
    </xf>
    <xf numFmtId="9" fontId="49" fillId="0" borderId="57" applyAlignment="1" pivotButton="0" quotePrefix="0" xfId="3">
      <alignment horizontal="center"/>
    </xf>
    <xf numFmtId="0" fontId="49" fillId="0" borderId="34" applyAlignment="1" pivotButton="0" quotePrefix="0" xfId="6">
      <alignment horizontal="center" vertical="center"/>
    </xf>
    <xf numFmtId="9" fontId="48" fillId="0" borderId="61" applyAlignment="1" pivotButton="0" quotePrefix="0" xfId="3">
      <alignment horizontal="center"/>
    </xf>
    <xf numFmtId="10" fontId="48" fillId="0" borderId="61" applyAlignment="1" pivotButton="0" quotePrefix="0" xfId="3">
      <alignment horizontal="center"/>
    </xf>
    <xf numFmtId="0" fontId="49" fillId="0" borderId="20" applyAlignment="1" pivotButton="0" quotePrefix="0" xfId="6">
      <alignment vertical="center"/>
    </xf>
    <xf numFmtId="0" fontId="5" fillId="0" borderId="0" applyAlignment="1" pivotButton="0" quotePrefix="0" xfId="0">
      <alignment horizontal="left"/>
    </xf>
    <xf numFmtId="0" fontId="38" fillId="0" borderId="0" applyAlignment="1" pivotButton="0" quotePrefix="0" xfId="0">
      <alignment vertical="center"/>
    </xf>
    <xf numFmtId="0" fontId="5" fillId="0" borderId="0" pivotButton="0" quotePrefix="0" xfId="0"/>
    <xf numFmtId="9" fontId="48" fillId="7" borderId="8" applyAlignment="1" pivotButton="0" quotePrefix="0" xfId="3">
      <alignment horizontal="right"/>
    </xf>
    <xf numFmtId="0" fontId="49" fillId="0" borderId="62" applyAlignment="1" pivotButton="0" quotePrefix="0" xfId="6">
      <alignment horizontal="center"/>
    </xf>
    <xf numFmtId="9" fontId="48" fillId="7" borderId="1" applyAlignment="1" pivotButton="0" quotePrefix="0" xfId="3">
      <alignment horizontal="right"/>
    </xf>
    <xf numFmtId="1" fontId="16" fillId="8" borderId="4" pivotButton="0" quotePrefix="0" xfId="5"/>
    <xf numFmtId="1" fontId="49" fillId="0" borderId="28" applyAlignment="1" pivotButton="0" quotePrefix="0" xfId="6">
      <alignment horizontal="left"/>
    </xf>
    <xf numFmtId="0" fontId="4" fillId="0" borderId="1" applyAlignment="1" pivotButton="0" quotePrefix="0" xfId="0">
      <alignment horizontal="center" vertical="center"/>
    </xf>
    <xf numFmtId="0" fontId="0" fillId="17" borderId="0" pivotButton="0" quotePrefix="0" xfId="0"/>
    <xf numFmtId="10" fontId="0" fillId="0" borderId="0" pivotButton="0" quotePrefix="0" xfId="0"/>
    <xf numFmtId="0" fontId="3" fillId="0" borderId="0" pivotButton="0" quotePrefix="0" xfId="0"/>
    <xf numFmtId="9" fontId="48" fillId="0" borderId="0" applyAlignment="1" pivotButton="0" quotePrefix="0" xfId="3">
      <alignment horizontal="left" vertical="center"/>
    </xf>
    <xf numFmtId="0" fontId="22" fillId="17" borderId="1" pivotButton="0" quotePrefix="0" xfId="0"/>
    <xf numFmtId="9" fontId="22" fillId="0" borderId="0" pivotButton="0" quotePrefix="0" xfId="0"/>
    <xf numFmtId="0" fontId="22" fillId="0" borderId="1" pivotButton="0" quotePrefix="0" xfId="0"/>
    <xf numFmtId="0" fontId="22" fillId="36" borderId="1" pivotButton="0" quotePrefix="0" xfId="0"/>
    <xf numFmtId="9" fontId="22" fillId="36" borderId="1" pivotButton="0" quotePrefix="0" xfId="0"/>
    <xf numFmtId="10" fontId="22" fillId="36" borderId="1" pivotButton="0" quotePrefix="0" xfId="0"/>
    <xf numFmtId="0" fontId="22" fillId="37" borderId="1" pivotButton="0" quotePrefix="0" xfId="0"/>
    <xf numFmtId="9" fontId="22" fillId="37" borderId="1" pivotButton="0" quotePrefix="0" xfId="0"/>
    <xf numFmtId="10" fontId="22" fillId="37" borderId="1" pivotButton="0" quotePrefix="0" xfId="0"/>
    <xf numFmtId="0" fontId="22" fillId="33" borderId="1" pivotButton="0" quotePrefix="0" xfId="0"/>
    <xf numFmtId="9" fontId="22" fillId="33" borderId="1" pivotButton="0" quotePrefix="0" xfId="0"/>
    <xf numFmtId="10" fontId="22" fillId="33" borderId="1" pivotButton="0" quotePrefix="0" xfId="0"/>
    <xf numFmtId="2" fontId="0" fillId="0" borderId="0" pivotButton="0" quotePrefix="0" xfId="3"/>
    <xf numFmtId="0" fontId="48" fillId="0" borderId="52" applyAlignment="1" pivotButton="0" quotePrefix="0" xfId="6">
      <alignment horizontal="center"/>
    </xf>
    <xf numFmtId="0" fontId="49" fillId="0" borderId="52" applyAlignment="1" pivotButton="0" quotePrefix="0" xfId="6">
      <alignment horizontal="center"/>
    </xf>
    <xf numFmtId="0" fontId="0" fillId="0" borderId="0" applyAlignment="1" pivotButton="0" quotePrefix="0" xfId="0">
      <alignment horizontal="center" vertic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9"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28" fillId="0" borderId="32" pivotButton="0" quotePrefix="0" xfId="0"/>
    <xf numFmtId="2" fontId="36" fillId="0" borderId="1" pivotButton="0" quotePrefix="0" xfId="0"/>
    <xf numFmtId="164" fontId="0" fillId="9" borderId="1" applyAlignment="1" pivotButton="0" quotePrefix="0" xfId="0">
      <alignment horizontal="center" vertical="center"/>
    </xf>
    <xf numFmtId="165" fontId="0" fillId="0" borderId="0" pivotButton="0" quotePrefix="0" xfId="0"/>
    <xf numFmtId="165" fontId="0" fillId="0" borderId="0" pivotButton="0" quotePrefix="0" xfId="2"/>
    <xf numFmtId="166" fontId="0" fillId="0" borderId="0" pivotButton="0" quotePrefix="0" xfId="0"/>
    <xf numFmtId="165" fontId="23" fillId="16" borderId="40" applyAlignment="1" pivotButton="0" quotePrefix="0" xfId="2">
      <alignment vertical="center"/>
    </xf>
    <xf numFmtId="165" fontId="16" fillId="8" borderId="4" pivotButton="0" quotePrefix="0" xfId="2"/>
    <xf numFmtId="0" fontId="2" fillId="0" borderId="0" pivotButton="0" quotePrefix="0" xfId="0"/>
    <xf numFmtId="0" fontId="0" fillId="0" borderId="16" pivotButton="0" quotePrefix="0" xfId="0"/>
    <xf numFmtId="0" fontId="0" fillId="0" borderId="20" pivotButton="0" quotePrefix="0" xfId="0"/>
    <xf numFmtId="0" fontId="0" fillId="0" borderId="18" pivotButton="0" quotePrefix="0" xfId="0"/>
    <xf numFmtId="0" fontId="0" fillId="0" borderId="19" pivotButton="0" quotePrefix="0" xfId="0"/>
    <xf numFmtId="0" fontId="0" fillId="0" borderId="22" pivotButton="0" quotePrefix="0" xfId="0"/>
    <xf numFmtId="0" fontId="0" fillId="0" borderId="7" pivotButton="0" quotePrefix="0" xfId="0"/>
    <xf numFmtId="0" fontId="0" fillId="0" borderId="6" pivotButton="0" quotePrefix="0" xfId="0"/>
    <xf numFmtId="0" fontId="0" fillId="0" borderId="21" pivotButton="0" quotePrefix="0" xfId="0"/>
    <xf numFmtId="0" fontId="49" fillId="0" borderId="25" applyAlignment="1" pivotButton="0" quotePrefix="0" xfId="6">
      <alignment horizontal="center" vertical="center"/>
    </xf>
    <xf numFmtId="0" fontId="0" fillId="0" borderId="3" pivotButton="0" quotePrefix="0" xfId="0"/>
    <xf numFmtId="0" fontId="48" fillId="0" borderId="3" applyAlignment="1" pivotButton="0" quotePrefix="0" xfId="6">
      <alignment horizontal="center"/>
    </xf>
    <xf numFmtId="0" fontId="48" fillId="0" borderId="1" applyAlignment="1" pivotButton="0" quotePrefix="0" xfId="6">
      <alignment horizontal="center"/>
    </xf>
    <xf numFmtId="0" fontId="0" fillId="0" borderId="13" pivotButton="0" quotePrefix="0" xfId="0"/>
    <xf numFmtId="0" fontId="51" fillId="0" borderId="2" applyAlignment="1" pivotButton="0" quotePrefix="0" xfId="6">
      <alignment horizontal="center"/>
    </xf>
    <xf numFmtId="0" fontId="0" fillId="0" borderId="11" pivotButton="0" quotePrefix="0" xfId="0"/>
    <xf numFmtId="0" fontId="48" fillId="0" borderId="2" applyAlignment="1" pivotButton="0" quotePrefix="0" xfId="6">
      <alignment horizontal="center"/>
    </xf>
    <xf numFmtId="0" fontId="49" fillId="0" borderId="55" applyAlignment="1" pivotButton="0" quotePrefix="0" xfId="6">
      <alignment horizontal="center" vertical="center"/>
    </xf>
    <xf numFmtId="0" fontId="48" fillId="0" borderId="53" applyAlignment="1" pivotButton="0" quotePrefix="0" xfId="6">
      <alignment horizontal="center"/>
    </xf>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19" fillId="0" borderId="1" applyAlignment="1" pivotButton="0" quotePrefix="0" xfId="0">
      <alignment horizontal="center" vertical="center" wrapText="1"/>
    </xf>
    <xf numFmtId="0" fontId="0" fillId="17" borderId="1" applyAlignment="1" pivotButton="0" quotePrefix="0" xfId="0">
      <alignment horizontal="center" vertical="center"/>
    </xf>
    <xf numFmtId="2" fontId="19" fillId="13" borderId="1" applyAlignment="1" pivotButton="0" quotePrefix="0" xfId="0">
      <alignment horizontal="center" vertical="center"/>
    </xf>
    <xf numFmtId="0" fontId="31" fillId="26" borderId="1" applyAlignment="1" pivotButton="0" quotePrefix="0" xfId="0">
      <alignment horizontal="center" vertical="center" wrapText="1"/>
    </xf>
    <xf numFmtId="0" fontId="19" fillId="10" borderId="1" applyAlignment="1" pivotButton="0" quotePrefix="0" xfId="0">
      <alignment horizontal="center" vertical="center"/>
    </xf>
    <xf numFmtId="0" fontId="0" fillId="0" borderId="0" applyAlignment="1" pivotButton="0" quotePrefix="0" xfId="0">
      <alignment horizontal="center"/>
    </xf>
    <xf numFmtId="0" fontId="0" fillId="10" borderId="1" applyAlignment="1" pivotButton="0" quotePrefix="0" xfId="0">
      <alignment horizontal="center"/>
    </xf>
    <xf numFmtId="0" fontId="0" fillId="0" borderId="1" applyAlignment="1" pivotButton="0" quotePrefix="0" xfId="0">
      <alignment horizontal="center"/>
    </xf>
    <xf numFmtId="0" fontId="19" fillId="0" borderId="0" applyAlignment="1" pivotButton="0" quotePrefix="0" xfId="0">
      <alignment horizontal="left" vertical="center"/>
    </xf>
    <xf numFmtId="1" fontId="1" fillId="0" borderId="0" pivotButton="0" quotePrefix="0" xfId="0"/>
    <xf numFmtId="167" fontId="49" fillId="0" borderId="33" applyAlignment="1" pivotButton="0" quotePrefix="0" xfId="9">
      <alignment horizontal="left"/>
    </xf>
    <xf numFmtId="167" fontId="49" fillId="0" borderId="22" applyAlignment="1" pivotButton="0" quotePrefix="0" xfId="9">
      <alignment horizontal="left"/>
    </xf>
    <xf numFmtId="167" fontId="48" fillId="0" borderId="0" applyAlignment="1" pivotButton="0" quotePrefix="0" xfId="9">
      <alignment horizontal="center" vertical="center"/>
    </xf>
    <xf numFmtId="167" fontId="48" fillId="0" borderId="20" applyAlignment="1" pivotButton="0" quotePrefix="0" xfId="9">
      <alignment horizontal="center"/>
    </xf>
    <xf numFmtId="167" fontId="49" fillId="0" borderId="30" applyAlignment="1" pivotButton="0" quotePrefix="0" xfId="9">
      <alignment horizontal="center" vertical="center"/>
    </xf>
    <xf numFmtId="167" fontId="49" fillId="0" borderId="52" applyAlignment="1" pivotButton="0" quotePrefix="0" xfId="9">
      <alignment horizontal="center" vertical="center"/>
    </xf>
    <xf numFmtId="167" fontId="49" fillId="0" borderId="33" applyAlignment="1" pivotButton="0" quotePrefix="0" xfId="9">
      <alignment horizontal="center" vertical="center"/>
    </xf>
    <xf numFmtId="168" fontId="48" fillId="0" borderId="8" applyAlignment="1" pivotButton="0" quotePrefix="0" xfId="9">
      <alignment horizontal="center"/>
    </xf>
    <xf numFmtId="168" fontId="48" fillId="0" borderId="10" applyAlignment="1" pivotButton="0" quotePrefix="0" xfId="6">
      <alignment horizontal="right"/>
    </xf>
    <xf numFmtId="168" fontId="48" fillId="0" borderId="1" applyAlignment="1" pivotButton="0" quotePrefix="0" xfId="9">
      <alignment horizontal="center"/>
    </xf>
    <xf numFmtId="168" fontId="48" fillId="0" borderId="5" applyAlignment="1" pivotButton="0" quotePrefix="0" xfId="9">
      <alignment horizontal="center"/>
    </xf>
    <xf numFmtId="168" fontId="48" fillId="0" borderId="2" applyAlignment="1" pivotButton="0" quotePrefix="0" xfId="9">
      <alignment horizontal="center"/>
    </xf>
    <xf numFmtId="167" fontId="49" fillId="0" borderId="41" applyAlignment="1" pivotButton="0" quotePrefix="0" xfId="9">
      <alignment horizontal="center"/>
    </xf>
    <xf numFmtId="167" fontId="48" fillId="0" borderId="0" applyAlignment="1" pivotButton="0" quotePrefix="0" xfId="9">
      <alignment horizontal="center"/>
    </xf>
    <xf numFmtId="167" fontId="49" fillId="0" borderId="10" applyAlignment="1" pivotButton="0" quotePrefix="0" xfId="9">
      <alignment horizontal="center"/>
    </xf>
    <xf numFmtId="167" fontId="49" fillId="0" borderId="35" applyAlignment="1" pivotButton="0" quotePrefix="0" xfId="9">
      <alignment horizontal="center"/>
    </xf>
    <xf numFmtId="167" fontId="49" fillId="0" borderId="12" applyAlignment="1" pivotButton="0" quotePrefix="0" xfId="9">
      <alignment horizontal="center"/>
    </xf>
    <xf numFmtId="167" fontId="49" fillId="0" borderId="60" applyAlignment="1" pivotButton="0" quotePrefix="0" xfId="9">
      <alignment horizontal="center"/>
    </xf>
    <xf numFmtId="169" fontId="48" fillId="0" borderId="1" applyAlignment="1" pivotButton="0" quotePrefix="0" xfId="6">
      <alignment horizontal="center"/>
    </xf>
    <xf numFmtId="168" fontId="48" fillId="0" borderId="10" applyAlignment="1" pivotButton="0" quotePrefix="0" xfId="9">
      <alignment horizontal="center"/>
    </xf>
    <xf numFmtId="170" fontId="48" fillId="0" borderId="61" applyAlignment="1" pivotButton="0" quotePrefix="0" xfId="3">
      <alignment horizontal="center"/>
    </xf>
    <xf numFmtId="171" fontId="48" fillId="0" borderId="61" applyAlignment="1" pivotButton="0" quotePrefix="0" xfId="3">
      <alignment horizontal="center"/>
    </xf>
    <xf numFmtId="167" fontId="49" fillId="0" borderId="54" applyAlignment="1" pivotButton="0" quotePrefix="0" xfId="9">
      <alignment horizontal="center"/>
    </xf>
    <xf numFmtId="168" fontId="49" fillId="0" borderId="53" applyAlignment="1" pivotButton="0" quotePrefix="0" xfId="9">
      <alignment horizontal="center"/>
    </xf>
    <xf numFmtId="168" fontId="49" fillId="0" borderId="60" applyAlignment="1" pivotButton="0" quotePrefix="0" xfId="9">
      <alignment horizontal="center"/>
    </xf>
    <xf numFmtId="167" fontId="49" fillId="0" borderId="0" applyAlignment="1" pivotButton="0" quotePrefix="0" xfId="9">
      <alignment horizontal="center"/>
    </xf>
    <xf numFmtId="168" fontId="49" fillId="0" borderId="0" applyAlignment="1" pivotButton="0" quotePrefix="0" xfId="9">
      <alignment horizontal="left" vertical="center"/>
    </xf>
    <xf numFmtId="168" fontId="49" fillId="0" borderId="0" applyAlignment="1" pivotButton="0" quotePrefix="0" xfId="9">
      <alignment horizontal="right" vertical="center"/>
    </xf>
    <xf numFmtId="168" fontId="49" fillId="0" borderId="17" applyAlignment="1" pivotButton="0" quotePrefix="0" xfId="9">
      <alignment horizontal="center"/>
    </xf>
    <xf numFmtId="167" fontId="49" fillId="0" borderId="57" applyAlignment="1" pivotButton="0" quotePrefix="0" xfId="9">
      <alignment horizontal="center"/>
    </xf>
    <xf numFmtId="168" fontId="52" fillId="17" borderId="21" applyAlignment="1" pivotButton="0" quotePrefix="0" xfId="9">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72" fontId="0" fillId="0" borderId="0" pivotButton="0" quotePrefix="0" xfId="2"/>
    <xf numFmtId="172" fontId="45" fillId="7" borderId="41" applyAlignment="1" pivotButton="0" quotePrefix="0" xfId="0">
      <alignment vertical="center"/>
    </xf>
    <xf numFmtId="172" fontId="0" fillId="0" borderId="0" pivotButton="0" quotePrefix="0" xfId="0"/>
    <xf numFmtId="173" fontId="0" fillId="0" borderId="3" pivotButton="0" quotePrefix="0" xfId="0"/>
    <xf numFmtId="172" fontId="21" fillId="7" borderId="41" applyAlignment="1" pivotButton="0" quotePrefix="0" xfId="0">
      <alignment vertical="center"/>
    </xf>
    <xf numFmtId="173" fontId="0" fillId="0" borderId="1" pivotButton="0" quotePrefix="0" xfId="0"/>
    <xf numFmtId="173" fontId="21" fillId="7" borderId="1" pivotButton="0" quotePrefix="0" xfId="0"/>
    <xf numFmtId="173" fontId="0" fillId="0" borderId="28" pivotButton="0" quotePrefix="0" xfId="0"/>
    <xf numFmtId="173" fontId="21" fillId="7" borderId="28" pivotButton="0" quotePrefix="0" xfId="0"/>
    <xf numFmtId="174" fontId="32" fillId="26" borderId="1" applyAlignment="1" pivotButton="0" quotePrefix="0" xfId="0">
      <alignment horizontal="center" vertical="center" wrapText="1"/>
    </xf>
    <xf numFmtId="175" fontId="0" fillId="20" borderId="1" applyAlignment="1" pivotButton="0" quotePrefix="0" xfId="0">
      <alignment vertical="center"/>
    </xf>
    <xf numFmtId="174" fontId="0" fillId="7" borderId="1" applyAlignment="1" pivotButton="0" quotePrefix="0" xfId="0">
      <alignment horizontal="center"/>
    </xf>
    <xf numFmtId="175" fontId="0" fillId="0" borderId="0" applyAlignment="1" pivotButton="0" quotePrefix="0" xfId="0">
      <alignment horizontal="center"/>
    </xf>
    <xf numFmtId="2" fontId="0" fillId="32" borderId="1" pivotButton="0" quotePrefix="0" xfId="0"/>
    <xf numFmtId="0" fontId="48" fillId="0" borderId="1" applyAlignment="1" pivotButton="0" quotePrefix="0" xfId="6">
      <alignment horizontal="center"/>
    </xf>
    <xf numFmtId="0" fontId="0" fillId="0" borderId="7" pivotButton="0" quotePrefix="0" xfId="0"/>
    <xf numFmtId="9" fontId="48" fillId="0" borderId="1" applyAlignment="1" pivotButton="0" quotePrefix="0" xfId="3">
      <alignment horizontal="center"/>
    </xf>
    <xf numFmtId="0" fontId="0" fillId="0" borderId="9" pivotButton="0" quotePrefix="0" xfId="0"/>
    <xf numFmtId="0" fontId="49" fillId="0" borderId="1" applyAlignment="1" pivotButton="0" quotePrefix="0" xfId="6">
      <alignment horizontal="center"/>
    </xf>
    <xf numFmtId="9" fontId="48" fillId="7" borderId="65" applyAlignment="1" pivotButton="0" quotePrefix="0" xfId="3">
      <alignment horizontal="center"/>
    </xf>
    <xf numFmtId="0" fontId="0" fillId="0" borderId="55" pivotButton="0" quotePrefix="0" xfId="0"/>
    <xf numFmtId="0" fontId="49" fillId="0" borderId="18" applyAlignment="1" pivotButton="0" quotePrefix="0" xfId="6">
      <alignment horizontal="center"/>
    </xf>
    <xf numFmtId="0" fontId="0" fillId="0" borderId="19" pivotButton="0" quotePrefix="0" xfId="0"/>
    <xf numFmtId="0" fontId="49" fillId="0" borderId="55" applyAlignment="1" pivotButton="0" quotePrefix="0" xfId="6">
      <alignment horizontal="center" vertical="center"/>
    </xf>
    <xf numFmtId="0" fontId="49" fillId="0" borderId="25" applyAlignment="1" pivotButton="0" quotePrefix="0" xfId="6">
      <alignment horizontal="center" vertical="center"/>
    </xf>
    <xf numFmtId="0" fontId="0" fillId="0" borderId="16" pivotButton="0" quotePrefix="0" xfId="0"/>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 pivotButton="0" quotePrefix="0" xfId="0"/>
    <xf numFmtId="1" fontId="49" fillId="0" borderId="19" applyAlignment="1" pivotButton="0" quotePrefix="0" xfId="6">
      <alignment horizontal="center" vertical="center"/>
    </xf>
    <xf numFmtId="0" fontId="48" fillId="0" borderId="2" applyAlignment="1" pivotButton="0" quotePrefix="0" xfId="6">
      <alignment horizontal="center"/>
    </xf>
    <xf numFmtId="0" fontId="0" fillId="0" borderId="11" pivotButton="0" quotePrefix="0" xfId="0"/>
    <xf numFmtId="0" fontId="49"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1" pivotButton="0" quotePrefix="0" xfId="0"/>
    <xf numFmtId="0" fontId="0" fillId="0" borderId="22" pivotButton="0" quotePrefix="0" xfId="0"/>
    <xf numFmtId="0" fontId="53" fillId="35" borderId="89" applyAlignment="1" pivotButton="0" quotePrefix="0" xfId="6">
      <alignment horizontal="right" vertical="center"/>
    </xf>
    <xf numFmtId="0" fontId="0" fillId="0" borderId="90" pivotButton="0" quotePrefix="0" xfId="0"/>
    <xf numFmtId="0" fontId="48" fillId="0" borderId="3" applyAlignment="1" pivotButton="0" quotePrefix="0" xfId="6">
      <alignment horizontal="center"/>
    </xf>
    <xf numFmtId="0" fontId="51" fillId="0" borderId="2" applyAlignment="1" pivotButton="0" quotePrefix="0" xfId="6">
      <alignment horizontal="center"/>
    </xf>
    <xf numFmtId="0" fontId="48" fillId="0" borderId="22" applyAlignment="1" pivotButton="0" quotePrefix="0" xfId="6">
      <alignment horizontal="center" vertical="center"/>
    </xf>
    <xf numFmtId="9" fontId="48" fillId="0" borderId="1" applyAlignment="1" pivotButton="0" quotePrefix="0" xfId="6">
      <alignment horizontal="center"/>
    </xf>
    <xf numFmtId="168" fontId="48" fillId="0" borderId="51" applyAlignment="1" pivotButton="0" quotePrefix="0" xfId="6">
      <alignment horizontal="center"/>
    </xf>
    <xf numFmtId="0" fontId="0" fillId="0" borderId="51" pivotButton="0" quotePrefix="0" xfId="0"/>
    <xf numFmtId="0" fontId="49" fillId="0" borderId="50" applyAlignment="1" pivotButton="0" quotePrefix="0" xfId="6">
      <alignment horizontal="center" vertical="center" wrapText="1"/>
    </xf>
    <xf numFmtId="0" fontId="0" fillId="0" borderId="74" pivotButton="0" quotePrefix="0" xfId="0"/>
    <xf numFmtId="1" fontId="48" fillId="7" borderId="65" applyAlignment="1" pivotButton="0" quotePrefix="0" xfId="6">
      <alignment horizontal="center"/>
    </xf>
    <xf numFmtId="0" fontId="49" fillId="0" borderId="76" applyAlignment="1" pivotButton="0" quotePrefix="0" xfId="6">
      <alignment horizontal="left" vertical="center"/>
    </xf>
    <xf numFmtId="0" fontId="0" fillId="0" borderId="77" pivotButton="0" quotePrefix="0" xfId="0"/>
    <xf numFmtId="0" fontId="0" fillId="0" borderId="78" pivotButton="0" quotePrefix="0" xfId="0"/>
    <xf numFmtId="0" fontId="0" fillId="0" borderId="79" pivotButton="0" quotePrefix="0" xfId="0"/>
    <xf numFmtId="0" fontId="0" fillId="0" borderId="80" pivotButton="0" quotePrefix="0" xfId="0"/>
    <xf numFmtId="0" fontId="0" fillId="0" borderId="58" pivotButton="0" quotePrefix="0" xfId="0"/>
    <xf numFmtId="0" fontId="49" fillId="0" borderId="18" applyAlignment="1" pivotButton="0" quotePrefix="0" xfId="6">
      <alignment horizontal="left" vertical="center" wrapText="1"/>
    </xf>
    <xf numFmtId="168" fontId="49" fillId="17" borderId="75" applyAlignment="1" pivotButton="0" quotePrefix="0" xfId="9">
      <alignment horizontal="center" vertical="center"/>
    </xf>
    <xf numFmtId="0" fontId="0" fillId="0" borderId="20" pivotButton="0" quotePrefix="0" xfId="0"/>
    <xf numFmtId="0" fontId="0" fillId="0" borderId="18" pivotButton="0" quotePrefix="0" xfId="0"/>
    <xf numFmtId="168" fontId="49" fillId="0" borderId="57" applyAlignment="1" pivotButton="0" quotePrefix="0" xfId="9">
      <alignment horizontal="center"/>
    </xf>
    <xf numFmtId="0" fontId="0" fillId="0" borderId="54" pivotButton="0" quotePrefix="0" xfId="0"/>
    <xf numFmtId="0" fontId="49" fillId="0" borderId="24" applyAlignment="1" pivotButton="0" quotePrefix="0" xfId="6">
      <alignment horizontal="center" vertical="center"/>
    </xf>
    <xf numFmtId="0" fontId="0" fillId="0" borderId="71" pivotButton="0" quotePrefix="0" xfId="0"/>
    <xf numFmtId="0" fontId="0" fillId="0" borderId="42" pivotButton="0" quotePrefix="0" xfId="0"/>
    <xf numFmtId="0" fontId="48" fillId="0" borderId="66" applyAlignment="1" pivotButton="0" quotePrefix="0" xfId="6">
      <alignment horizontal="center"/>
    </xf>
    <xf numFmtId="0" fontId="0" fillId="0" borderId="53" pivotButton="0" quotePrefix="0" xfId="0"/>
    <xf numFmtId="0" fontId="0" fillId="0" borderId="67" pivotButton="0" quotePrefix="0" xfId="0"/>
    <xf numFmtId="0" fontId="49" fillId="17" borderId="82" applyAlignment="1" pivotButton="0" quotePrefix="0" xfId="6">
      <alignment horizontal="center" vertical="center"/>
    </xf>
    <xf numFmtId="168" fontId="49" fillId="0" borderId="3" applyAlignment="1" pivotButton="0" quotePrefix="0" xfId="9">
      <alignment horizontal="left" vertical="center"/>
    </xf>
    <xf numFmtId="0" fontId="48" fillId="0" borderId="39" applyAlignment="1" pivotButton="0" quotePrefix="0" xfId="6">
      <alignment horizontal="center"/>
    </xf>
    <xf numFmtId="0" fontId="0" fillId="0" borderId="59" pivotButton="0" quotePrefix="0" xfId="0"/>
    <xf numFmtId="0" fontId="48" fillId="0" borderId="54" applyAlignment="1" pivotButton="0" quotePrefix="0" xfId="6">
      <alignment horizontal="center"/>
    </xf>
    <xf numFmtId="0" fontId="0" fillId="0" borderId="68" pivotButton="0" quotePrefix="0" xfId="0"/>
    <xf numFmtId="0" fontId="0" fillId="0" borderId="3" pivotButton="0" quotePrefix="0" xfId="0"/>
    <xf numFmtId="168" fontId="52" fillId="17" borderId="69" applyAlignment="1" pivotButton="0" quotePrefix="0" xfId="9">
      <alignment horizontal="center" vertical="center"/>
    </xf>
    <xf numFmtId="168" fontId="49" fillId="0" borderId="1" applyAlignment="1" pivotButton="0" quotePrefix="0" xfId="9">
      <alignment horizontal="left" vertical="center"/>
    </xf>
    <xf numFmtId="168" fontId="49" fillId="0" borderId="1" applyAlignment="1" pivotButton="0" quotePrefix="0" xfId="9">
      <alignment horizontal="right" vertical="center"/>
    </xf>
    <xf numFmtId="0" fontId="49" fillId="0" borderId="57" applyAlignment="1" pivotButton="0" quotePrefix="0" xfId="6">
      <alignment horizontal="center"/>
    </xf>
    <xf numFmtId="9" fontId="48" fillId="0" borderId="3" applyAlignment="1" pivotButton="0" quotePrefix="0" xfId="6">
      <alignment horizontal="center"/>
    </xf>
    <xf numFmtId="0" fontId="48" fillId="0" borderId="53" applyAlignment="1" pivotButton="0" quotePrefix="0" xfId="6">
      <alignment horizontal="center"/>
    </xf>
    <xf numFmtId="0" fontId="48" fillId="0" borderId="57" applyAlignment="1" pivotButton="0" quotePrefix="0" xfId="6">
      <alignment horizontal="center"/>
    </xf>
    <xf numFmtId="0" fontId="47" fillId="0" borderId="75" applyAlignment="1" pivotButton="0" quotePrefix="0" xfId="6">
      <alignment horizontal="center" vertical="center"/>
    </xf>
    <xf numFmtId="0" fontId="49" fillId="0" borderId="72" applyAlignment="1" pivotButton="0" quotePrefix="0" xfId="6">
      <alignment horizontal="center" vertical="center"/>
    </xf>
    <xf numFmtId="0" fontId="0" fillId="0" borderId="73" pivotButton="0" quotePrefix="0" xfId="0"/>
    <xf numFmtId="0" fontId="0" fillId="0" borderId="70" pivotButton="0" quotePrefix="0" xfId="0"/>
    <xf numFmtId="0" fontId="54" fillId="32" borderId="24" applyAlignment="1" pivotButton="0" quotePrefix="0" xfId="6">
      <alignment horizontal="center" vertical="center"/>
    </xf>
    <xf numFmtId="0" fontId="48" fillId="0" borderId="69" applyAlignment="1" pivotButton="0" quotePrefix="0" xfId="6">
      <alignment horizontal="center" wrapText="1"/>
    </xf>
    <xf numFmtId="0" fontId="0" fillId="0" borderId="21" pivotButton="0" quotePrefix="0" xfId="0"/>
    <xf numFmtId="176" fontId="53" fillId="35" borderId="91" applyAlignment="1" pivotButton="0" quotePrefix="0" xfId="6">
      <alignment horizontal="left" vertical="center"/>
    </xf>
    <xf numFmtId="0" fontId="49" fillId="0" borderId="25" applyAlignment="1" pivotButton="0" quotePrefix="0" xfId="6">
      <alignment horizontal="center" vertical="top" wrapText="1"/>
    </xf>
    <xf numFmtId="0" fontId="3" fillId="0" borderId="0" applyAlignment="1" pivotButton="0" quotePrefix="0" xfId="0">
      <alignment horizontal="center" vertical="center"/>
    </xf>
    <xf numFmtId="0" fontId="0" fillId="0" borderId="10" applyAlignment="1" pivotButton="0" quotePrefix="0" xfId="0">
      <alignment horizontal="left" vertical="center"/>
    </xf>
    <xf numFmtId="0" fontId="18" fillId="0" borderId="5" applyAlignment="1" pivotButton="0" quotePrefix="0" xfId="0">
      <alignment horizontal="center" vertical="center"/>
    </xf>
    <xf numFmtId="0" fontId="0" fillId="0" borderId="1" applyAlignment="1" pivotButton="0" quotePrefix="0" xfId="0">
      <alignment horizontal="center" vertical="center"/>
    </xf>
    <xf numFmtId="0" fontId="22" fillId="15" borderId="1" applyAlignment="1" pivotButton="0" quotePrefix="0" xfId="0">
      <alignment horizontal="center" vertical="center"/>
    </xf>
    <xf numFmtId="0" fontId="0" fillId="17" borderId="1" applyAlignment="1" pivotButton="0" quotePrefix="0" xfId="0">
      <alignment horizontal="center" vertical="center"/>
    </xf>
    <xf numFmtId="0" fontId="18" fillId="0" borderId="1" applyAlignment="1" pivotButton="0" quotePrefix="0" xfId="0">
      <alignment horizontal="center" vertical="center"/>
    </xf>
    <xf numFmtId="0" fontId="19" fillId="0" borderId="1" applyAlignment="1" pivotButton="0" quotePrefix="0" xfId="0">
      <alignment horizontal="left" vertical="center"/>
    </xf>
    <xf numFmtId="0" fontId="0" fillId="0" borderId="1" applyAlignment="1" pivotButton="0" quotePrefix="0" xfId="0">
      <alignment horizontal="left" vertical="center"/>
    </xf>
    <xf numFmtId="0" fontId="17" fillId="10" borderId="0" applyAlignment="1" pivotButton="0" quotePrefix="0" xfId="0">
      <alignment horizontal="center"/>
    </xf>
    <xf numFmtId="0" fontId="0" fillId="0" borderId="9" applyAlignment="1" pivotButton="0" quotePrefix="0" xfId="0">
      <alignment horizontal="center"/>
    </xf>
    <xf numFmtId="0" fontId="19" fillId="0" borderId="1" applyAlignment="1" pivotButton="0" quotePrefix="0" xfId="0">
      <alignment horizontal="center" vertical="center" wrapText="1"/>
    </xf>
    <xf numFmtId="0" fontId="19" fillId="13" borderId="1" applyAlignment="1" pivotButton="0" quotePrefix="0" xfId="0">
      <alignment horizontal="center" vertical="center"/>
    </xf>
    <xf numFmtId="2" fontId="19" fillId="13" borderId="1" applyAlignment="1" pivotButton="0" quotePrefix="0" xfId="0">
      <alignment horizontal="center" vertical="center"/>
    </xf>
    <xf numFmtId="0" fontId="0" fillId="17" borderId="1" applyAlignment="1" pivotButton="0" quotePrefix="0" xfId="0">
      <alignment horizontal="left" vertical="center"/>
    </xf>
    <xf numFmtId="0" fontId="19" fillId="17" borderId="1" applyAlignment="1" pivotButton="0" quotePrefix="0" xfId="0">
      <alignment horizontal="center" vertical="center"/>
    </xf>
    <xf numFmtId="0" fontId="6" fillId="0" borderId="10" applyAlignment="1" pivotButton="0" quotePrefix="0" xfId="0">
      <alignment horizontal="left" vertical="center"/>
    </xf>
    <xf numFmtId="0" fontId="0" fillId="14" borderId="1" applyAlignment="1" pivotButton="0" quotePrefix="0" xfId="0">
      <alignment horizontal="center" vertical="center"/>
    </xf>
    <xf numFmtId="0" fontId="19" fillId="17" borderId="7" applyAlignment="1" pivotButton="0" quotePrefix="0" xfId="0">
      <alignment horizontal="center" vertical="center" wrapText="1"/>
    </xf>
    <xf numFmtId="0" fontId="55" fillId="9" borderId="92" applyAlignment="1" pivotButton="0" quotePrefix="0" xfId="0">
      <alignment horizontal="center" vertical="center"/>
    </xf>
    <xf numFmtId="0" fontId="0" fillId="0" borderId="93" pivotButton="0" quotePrefix="0" xfId="0"/>
    <xf numFmtId="0" fontId="0" fillId="0" borderId="94" pivotButton="0" quotePrefix="0" xfId="0"/>
    <xf numFmtId="0" fontId="8" fillId="0" borderId="34" applyAlignment="1" pivotButton="0" quotePrefix="0" xfId="0">
      <alignment horizontal="center" vertical="center"/>
    </xf>
    <xf numFmtId="0" fontId="0" fillId="0" borderId="83" pivotButton="0" quotePrefix="0" xfId="0"/>
    <xf numFmtId="0" fontId="0" fillId="0" borderId="61" pivotButton="0" quotePrefix="0" xfId="0"/>
    <xf numFmtId="0" fontId="21" fillId="7" borderId="20" applyAlignment="1" pivotButton="0" quotePrefix="0" xfId="0">
      <alignment horizontal="center"/>
    </xf>
    <xf numFmtId="177" fontId="46" fillId="0" borderId="0" applyAlignment="1" pivotButton="0" quotePrefix="0" xfId="0">
      <alignment horizontal="center"/>
    </xf>
    <xf numFmtId="0" fontId="19" fillId="18" borderId="1" applyAlignment="1" pivotButton="0" quotePrefix="0" xfId="0">
      <alignment horizontal="center" vertical="center" wrapText="1"/>
    </xf>
    <xf numFmtId="0" fontId="0" fillId="11" borderId="1" applyAlignment="1" pivotButton="0" quotePrefix="0" xfId="0">
      <alignment horizontal="center" vertical="center"/>
    </xf>
    <xf numFmtId="0" fontId="30" fillId="0" borderId="1" applyAlignment="1" pivotButton="0" quotePrefix="0" xfId="0">
      <alignment horizontal="left" vertical="center" readingOrder="1"/>
    </xf>
    <xf numFmtId="0" fontId="31" fillId="26" borderId="1" applyAlignment="1" pivotButton="0" quotePrefix="0" xfId="0">
      <alignment horizontal="center" vertical="center" wrapText="1"/>
    </xf>
    <xf numFmtId="0" fontId="19" fillId="0" borderId="1" applyAlignment="1" pivotButton="0" quotePrefix="0" xfId="0">
      <alignment horizontal="center" vertical="center"/>
    </xf>
    <xf numFmtId="0" fontId="0" fillId="2" borderId="1" applyAlignment="1" pivotButton="0" quotePrefix="0" xfId="0">
      <alignment horizontal="center" vertical="center"/>
    </xf>
    <xf numFmtId="0" fontId="10"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19" fillId="7" borderId="84" applyAlignment="1" pivotButton="0" quotePrefix="0" xfId="0">
      <alignment horizontal="left" vertical="center"/>
    </xf>
    <xf numFmtId="0" fontId="0" fillId="0" borderId="46" pivotButton="0" quotePrefix="0" xfId="0"/>
    <xf numFmtId="0" fontId="44" fillId="7" borderId="86" applyAlignment="1" pivotButton="0" quotePrefix="0" xfId="0">
      <alignment horizontal="left" vertical="top" wrapText="1"/>
    </xf>
    <xf numFmtId="0" fontId="0" fillId="0" borderId="47" pivotButton="0" quotePrefix="0" xfId="0"/>
    <xf numFmtId="0" fontId="18" fillId="7" borderId="85" applyAlignment="1" pivotButton="0" quotePrefix="0" xfId="0">
      <alignment horizontal="center" vertical="center"/>
    </xf>
    <xf numFmtId="0" fontId="0" fillId="0" borderId="44" pivotButton="0" quotePrefix="0" xfId="0"/>
    <xf numFmtId="0" fontId="0" fillId="0" borderId="45" pivotButton="0" quotePrefix="0" xfId="0"/>
    <xf numFmtId="0" fontId="19"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9" fillId="16" borderId="0" applyAlignment="1" pivotButton="0" quotePrefix="0" xfId="0">
      <alignment horizontal="center"/>
    </xf>
    <xf numFmtId="0" fontId="0" fillId="0" borderId="0" applyAlignment="1" pivotButton="0" quotePrefix="0" xfId="0">
      <alignment horizontal="center"/>
    </xf>
    <xf numFmtId="0" fontId="27" fillId="0" borderId="1" applyAlignment="1" pivotButton="0" quotePrefix="0" xfId="0">
      <alignment horizontal="center"/>
    </xf>
    <xf numFmtId="0" fontId="0" fillId="0" borderId="1" applyAlignment="1" pivotButton="0" quotePrefix="0" xfId="0">
      <alignment horizontal="center"/>
    </xf>
    <xf numFmtId="0" fontId="0" fillId="13" borderId="1" applyAlignment="1" pivotButton="0" quotePrefix="0" xfId="0">
      <alignment horizontal="center" wrapText="1"/>
    </xf>
    <xf numFmtId="0" fontId="19" fillId="20" borderId="1" applyAlignment="1" pivotButton="0" quotePrefix="0" xfId="0">
      <alignment horizontal="center"/>
    </xf>
    <xf numFmtId="0" fontId="0" fillId="13" borderId="1" applyAlignment="1" pivotButton="0" quotePrefix="0" xfId="0">
      <alignment horizontal="center" vertical="center"/>
    </xf>
    <xf numFmtId="0" fontId="19" fillId="19" borderId="1" applyAlignment="1" pivotButton="0" quotePrefix="0" xfId="0">
      <alignment horizontal="center"/>
    </xf>
    <xf numFmtId="0" fontId="19" fillId="11" borderId="1" applyAlignment="1" pivotButton="0" quotePrefix="0" xfId="0">
      <alignment horizontal="center"/>
    </xf>
    <xf numFmtId="0" fontId="19" fillId="0" borderId="0" applyAlignment="1" pivotButton="0" quotePrefix="0" xfId="0">
      <alignment horizontal="left" vertical="center"/>
    </xf>
    <xf numFmtId="0" fontId="16" fillId="8" borderId="4" applyAlignment="1" pivotButton="0" quotePrefix="0" xfId="5">
      <alignment horizontal="center"/>
    </xf>
    <xf numFmtId="0" fontId="0" fillId="0" borderId="87" pivotButton="0" quotePrefix="0" xfId="0"/>
    <xf numFmtId="0" fontId="0" fillId="0" borderId="88" pivotButton="0" quotePrefix="0" xfId="0"/>
    <xf numFmtId="176" fontId="53" fillId="35" borderId="91" applyAlignment="1" pivotButton="0" quotePrefix="0" xfId="6">
      <alignment horizontal="left" vertical="center"/>
    </xf>
    <xf numFmtId="167" fontId="49" fillId="0" borderId="33" applyAlignment="1" pivotButton="0" quotePrefix="0" xfId="9">
      <alignment horizontal="left"/>
    </xf>
    <xf numFmtId="167" fontId="49" fillId="0" borderId="22" applyAlignment="1" pivotButton="0" quotePrefix="0" xfId="9">
      <alignment horizontal="left"/>
    </xf>
    <xf numFmtId="167" fontId="48" fillId="0" borderId="0" applyAlignment="1" pivotButton="0" quotePrefix="0" xfId="9">
      <alignment horizontal="center" vertical="center"/>
    </xf>
    <xf numFmtId="167" fontId="48" fillId="0" borderId="20" applyAlignment="1" pivotButton="0" quotePrefix="0" xfId="9">
      <alignment horizontal="center"/>
    </xf>
    <xf numFmtId="167" fontId="49" fillId="0" borderId="30" applyAlignment="1" pivotButton="0" quotePrefix="0" xfId="9">
      <alignment horizontal="center" vertical="center"/>
    </xf>
    <xf numFmtId="167" fontId="49" fillId="0" borderId="52" applyAlignment="1" pivotButton="0" quotePrefix="0" xfId="9">
      <alignment horizontal="center" vertical="center"/>
    </xf>
    <xf numFmtId="167" fontId="49" fillId="0" borderId="33" applyAlignment="1" pivotButton="0" quotePrefix="0" xfId="9">
      <alignment horizontal="center" vertical="center"/>
    </xf>
    <xf numFmtId="168" fontId="48" fillId="0" borderId="8" applyAlignment="1" pivotButton="0" quotePrefix="0" xfId="9">
      <alignment horizontal="center"/>
    </xf>
    <xf numFmtId="168" fontId="48" fillId="0" borderId="10" applyAlignment="1" pivotButton="0" quotePrefix="0" xfId="6">
      <alignment horizontal="right"/>
    </xf>
    <xf numFmtId="168" fontId="48" fillId="0" borderId="1" applyAlignment="1" pivotButton="0" quotePrefix="0" xfId="9">
      <alignment horizontal="center"/>
    </xf>
    <xf numFmtId="168" fontId="48" fillId="0" borderId="5" applyAlignment="1" pivotButton="0" quotePrefix="0" xfId="9">
      <alignment horizontal="center"/>
    </xf>
    <xf numFmtId="168" fontId="48" fillId="0" borderId="2" applyAlignment="1" pivotButton="0" quotePrefix="0" xfId="9">
      <alignment horizontal="center"/>
    </xf>
    <xf numFmtId="167" fontId="49" fillId="0" borderId="41" applyAlignment="1" pivotButton="0" quotePrefix="0" xfId="9">
      <alignment horizontal="center"/>
    </xf>
    <xf numFmtId="167" fontId="48" fillId="0" borderId="0" applyAlignment="1" pivotButton="0" quotePrefix="0" xfId="9">
      <alignment horizontal="center"/>
    </xf>
    <xf numFmtId="167" fontId="49" fillId="0" borderId="10" applyAlignment="1" pivotButton="0" quotePrefix="0" xfId="9">
      <alignment horizontal="center"/>
    </xf>
    <xf numFmtId="167" fontId="49" fillId="0" borderId="35" applyAlignment="1" pivotButton="0" quotePrefix="0" xfId="9">
      <alignment horizontal="center"/>
    </xf>
    <xf numFmtId="167" fontId="49" fillId="0" borderId="12" applyAlignment="1" pivotButton="0" quotePrefix="0" xfId="9">
      <alignment horizontal="center"/>
    </xf>
    <xf numFmtId="167" fontId="49" fillId="0" borderId="60" applyAlignment="1" pivotButton="0" quotePrefix="0" xfId="9">
      <alignment horizontal="center"/>
    </xf>
    <xf numFmtId="169" fontId="48" fillId="0" borderId="1" applyAlignment="1" pivotButton="0" quotePrefix="0" xfId="6">
      <alignment horizontal="center"/>
    </xf>
    <xf numFmtId="168" fontId="48" fillId="0" borderId="10" applyAlignment="1" pivotButton="0" quotePrefix="0" xfId="9">
      <alignment horizontal="center"/>
    </xf>
    <xf numFmtId="170" fontId="48" fillId="0" borderId="61" applyAlignment="1" pivotButton="0" quotePrefix="0" xfId="3">
      <alignment horizontal="center"/>
    </xf>
    <xf numFmtId="171" fontId="48" fillId="0" borderId="61" applyAlignment="1" pivotButton="0" quotePrefix="0" xfId="3">
      <alignment horizontal="center"/>
    </xf>
    <xf numFmtId="167" fontId="49" fillId="0" borderId="54" applyAlignment="1" pivotButton="0" quotePrefix="0" xfId="9">
      <alignment horizontal="center"/>
    </xf>
    <xf numFmtId="168" fontId="49" fillId="0" borderId="53" applyAlignment="1" pivotButton="0" quotePrefix="0" xfId="9">
      <alignment horizontal="center"/>
    </xf>
    <xf numFmtId="168" fontId="49" fillId="0" borderId="60" applyAlignment="1" pivotButton="0" quotePrefix="0" xfId="9">
      <alignment horizontal="center"/>
    </xf>
    <xf numFmtId="167" fontId="49" fillId="0" borderId="0" applyAlignment="1" pivotButton="0" quotePrefix="0" xfId="9">
      <alignment horizontal="center"/>
    </xf>
    <xf numFmtId="168" fontId="49" fillId="0" borderId="3" applyAlignment="1" pivotButton="0" quotePrefix="0" xfId="9">
      <alignment horizontal="left" vertical="center"/>
    </xf>
    <xf numFmtId="168" fontId="49" fillId="0" borderId="0" applyAlignment="1" pivotButton="0" quotePrefix="0" xfId="9">
      <alignment horizontal="left" vertical="center"/>
    </xf>
    <xf numFmtId="168" fontId="49" fillId="0" borderId="1" applyAlignment="1" pivotButton="0" quotePrefix="0" xfId="9">
      <alignment horizontal="left" vertical="center"/>
    </xf>
    <xf numFmtId="168" fontId="49" fillId="0" borderId="1" applyAlignment="1" pivotButton="0" quotePrefix="0" xfId="9">
      <alignment horizontal="right" vertical="center"/>
    </xf>
    <xf numFmtId="168" fontId="49" fillId="0" borderId="0" applyAlignment="1" pivotButton="0" quotePrefix="0" xfId="9">
      <alignment horizontal="right" vertical="center"/>
    </xf>
    <xf numFmtId="168" fontId="49" fillId="0" borderId="57" applyAlignment="1" pivotButton="0" quotePrefix="0" xfId="9">
      <alignment horizontal="center"/>
    </xf>
    <xf numFmtId="168" fontId="49" fillId="0" borderId="17" applyAlignment="1" pivotButton="0" quotePrefix="0" xfId="9">
      <alignment horizontal="center"/>
    </xf>
    <xf numFmtId="167" fontId="49" fillId="0" borderId="57" applyAlignment="1" pivotButton="0" quotePrefix="0" xfId="9">
      <alignment horizontal="center"/>
    </xf>
    <xf numFmtId="168" fontId="49" fillId="17" borderId="75" applyAlignment="1" pivotButton="0" quotePrefix="0" xfId="9">
      <alignment horizontal="center" vertical="center"/>
    </xf>
    <xf numFmtId="168" fontId="52" fillId="17" borderId="69" applyAlignment="1" pivotButton="0" quotePrefix="0" xfId="9">
      <alignment horizontal="center" vertical="center"/>
    </xf>
    <xf numFmtId="168" fontId="52" fillId="17" borderId="21" applyAlignment="1" pivotButton="0" quotePrefix="0" xfId="9">
      <alignment horizontal="center" vertical="center"/>
    </xf>
    <xf numFmtId="168" fontId="48" fillId="0" borderId="51" applyAlignment="1" pivotButton="0" quotePrefix="0" xfId="6">
      <alignment horizontal="center"/>
    </xf>
    <xf numFmtId="164" fontId="0" fillId="9" borderId="1" applyAlignment="1" pivotButton="0" quotePrefix="0" xfId="0">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65" fontId="0" fillId="0" borderId="0" pivotButton="0" quotePrefix="0" xfId="0"/>
    <xf numFmtId="165" fontId="0" fillId="0" borderId="0" pivotButton="0" quotePrefix="0" xfId="2"/>
    <xf numFmtId="166" fontId="0" fillId="0" borderId="0" pivotButton="0" quotePrefix="0" xfId="0"/>
    <xf numFmtId="172" fontId="0" fillId="0" borderId="0" pivotButton="0" quotePrefix="0" xfId="2"/>
    <xf numFmtId="165" fontId="23" fillId="16" borderId="40" applyAlignment="1" pivotButton="0" quotePrefix="0" xfId="2">
      <alignment vertical="center"/>
    </xf>
    <xf numFmtId="172" fontId="45" fillId="7" borderId="41" applyAlignment="1" pivotButton="0" quotePrefix="0" xfId="0">
      <alignment vertical="center"/>
    </xf>
    <xf numFmtId="172" fontId="0" fillId="0" borderId="0" pivotButton="0" quotePrefix="0" xfId="0"/>
    <xf numFmtId="173" fontId="0" fillId="0" borderId="3" pivotButton="0" quotePrefix="0" xfId="0"/>
    <xf numFmtId="172" fontId="21" fillId="7" borderId="41" applyAlignment="1" pivotButton="0" quotePrefix="0" xfId="0">
      <alignment vertical="center"/>
    </xf>
    <xf numFmtId="173" fontId="0" fillId="0" borderId="1" pivotButton="0" quotePrefix="0" xfId="0"/>
    <xf numFmtId="173" fontId="21" fillId="7" borderId="1" pivotButton="0" quotePrefix="0" xfId="0"/>
    <xf numFmtId="173" fontId="0" fillId="0" borderId="28" pivotButton="0" quotePrefix="0" xfId="0"/>
    <xf numFmtId="173" fontId="21" fillId="7" borderId="28" pivotButton="0" quotePrefix="0" xfId="0"/>
    <xf numFmtId="177" fontId="46" fillId="0" borderId="0" applyAlignment="1" pivotButton="0" quotePrefix="0" xfId="0">
      <alignment horizontal="center"/>
    </xf>
    <xf numFmtId="174" fontId="32" fillId="26" borderId="1" applyAlignment="1" pivotButton="0" quotePrefix="0" xfId="0">
      <alignment horizontal="center" vertical="center" wrapText="1"/>
    </xf>
    <xf numFmtId="175" fontId="0" fillId="20" borderId="1" applyAlignment="1" pivotButton="0" quotePrefix="0" xfId="0">
      <alignment vertical="center"/>
    </xf>
    <xf numFmtId="174" fontId="0" fillId="7" borderId="1" applyAlignment="1" pivotButton="0" quotePrefix="0" xfId="0">
      <alignment horizontal="center"/>
    </xf>
    <xf numFmtId="175" fontId="0" fillId="0" borderId="0" applyAlignment="1" pivotButton="0" quotePrefix="0" xfId="0">
      <alignment horizontal="center"/>
    </xf>
    <xf numFmtId="165" fontId="16"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82">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4" formatCode="0.0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dxf>
    <dxf>
      <font>
        <name val="Calibri"/>
        <strike val="0"/>
        <outline val="0"/>
        <shadow val="0"/>
        <color auto="1"/>
        <sz val="11"/>
        <vertAlign val="baseline"/>
        <scheme val="minor"/>
      </font>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E2EFDA"/>
          <bgColor rgb="FF000000"/>
        </patternFill>
      </fill>
    </dxf>
    <dxf>
      <font>
        <name val="Calibri"/>
        <strike val="0"/>
        <outline val="0"/>
        <shadow val="0"/>
        <color auto="1"/>
        <sz val="11"/>
        <vertAlign val="baseline"/>
        <scheme val="minor"/>
      </font>
    </dxf>
    <dxf>
      <font>
        <name val="Calibri"/>
        <strike val="0"/>
        <outline val="0"/>
        <shadow val="0"/>
        <color auto="1"/>
        <sz val="11"/>
        <vertAlign val="baseline"/>
        <scheme val="minor"/>
      </font>
      <fill>
        <patternFill patternType="solid">
          <fgColor indexed="64"/>
          <bgColor rgb="FFFFFF00"/>
        </patternFill>
      </fill>
      <border>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spc="100" baseline="0">
                <a:solidFill>
                  <a:schemeClr val="lt1">
                    <a:lumMod val="95000"/>
                  </a:schemeClr>
                </a:solidFill>
                <a:latin typeface="+mn-lt"/>
                <a:ea typeface="+mn-ea"/>
                <a:cs typeface="+mn-cs"/>
              </a:defRPr>
            </a:pPr>
            <a:r>
              <a:rPr lang="en-IN"/>
              <a:t>Cost</a:t>
            </a:r>
            <a:r>
              <a:rPr lang="en-IN" baseline="0"/>
              <a:t xml:space="preserve"> % vs Components</a:t>
            </a:r>
            <a:endParaRPr lang="en-IN"/>
          </a:p>
        </rich>
      </tx>
      <overlay val="0"/>
      <spPr>
        <a:noFill/>
        <a:ln>
          <a:noFill/>
          <a:prstDash val="solid"/>
        </a:ln>
      </spPr>
    </title>
    <plotArea>
      <layout/>
      <barChart>
        <barDir val="col"/>
        <grouping val="stacked"/>
        <varyColors val="0"/>
        <ser>
          <idx val="0"/>
          <order val="0"/>
          <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spPr>
          <invertIfNegative val="0"/>
          <errBars>
            <errBarType val="both"/>
            <errValType val="stdErr"/>
            <noEndCap val="0"/>
            <spPr>
              <a:noFill/>
              <a:ln w="9525" cap="flat" cmpd="sng" algn="ctr">
                <a:solidFill>
                  <a:schemeClr val="lt1">
                    <a:lumMod val="95000"/>
                  </a:schemeClr>
                </a:solidFill>
                <a:prstDash val="solid"/>
                <a:round/>
              </a:ln>
            </spPr>
          </errBars>
          <cat>
            <strRef>
              <f>Sheet1!$B$3:$B$32</f>
              <strCache>
                <ptCount val="30"/>
                <pt idx="0">
                  <v xml:space="preserve">CORE </v>
                </pt>
                <pt idx="1">
                  <v>CAVITY</v>
                </pt>
                <pt idx="2">
                  <v>MOULD BASE</v>
                </pt>
                <pt idx="3">
                  <v>HRS</v>
                </pt>
                <pt idx="4">
                  <v>SPACER BLOCK</v>
                </pt>
                <pt idx="5">
                  <v>EJECTOR PLATE</v>
                </pt>
                <pt idx="6">
                  <v>CLAMPING PLATE</v>
                </pt>
                <pt idx="7">
                  <v>STANDARD ITEMS</v>
                </pt>
                <pt idx="8">
                  <v>TEXTURING</v>
                </pt>
                <pt idx="9">
                  <v>HARDENING + POLISHING</v>
                </pt>
                <pt idx="10">
                  <v>ELECTRODES</v>
                </pt>
                <pt idx="11">
                  <v>OTHER PARTS</v>
                </pt>
                <pt idx="12">
                  <v>Surface Grinding</v>
                </pt>
                <pt idx="13">
                  <v>Conv Milling - Facing</v>
                </pt>
                <pt idx="14">
                  <v>CNC Milling</v>
                </pt>
                <pt idx="15">
                  <v>CNC Lathe</v>
                </pt>
                <pt idx="16">
                  <v>Radial Drilling - Hole drilling</v>
                </pt>
                <pt idx="17">
                  <v>CNC EDM</v>
                </pt>
                <pt idx="18">
                  <v>Radial Drilling - Reaming / Tapping</v>
                </pt>
                <pt idx="19">
                  <v>Conv Milling - End Milling</v>
                </pt>
                <pt idx="20">
                  <v>Gun Drilling</v>
                </pt>
                <pt idx="21">
                  <v>Bench Work</v>
                </pt>
                <pt idx="22">
                  <v>Conv Lathe - Facing / Turning</v>
                </pt>
                <pt idx="23">
                  <v>Cylindrical Grinding</v>
                </pt>
                <pt idx="24">
                  <v>Pillar Drilling</v>
                </pt>
                <pt idx="25">
                  <v>NC EDM</v>
                </pt>
                <pt idx="26">
                  <v>Wirecut EDM</v>
                </pt>
                <pt idx="27">
                  <v>Jig Boring</v>
                </pt>
                <pt idx="28">
                  <v>Design Cost</v>
                </pt>
                <pt idx="29">
                  <v>Other Cost</v>
                </pt>
              </strCache>
            </strRef>
          </cat>
          <val>
            <numRef>
              <f>Sheet1!$K$3:$K$30</f>
              <numCache>
                <formatCode>0.00%</formatCode>
                <ptCount val="28"/>
                <pt idx="0">
                  <v>0.0626287801493782</v>
                </pt>
                <pt idx="1">
                  <v>0.06065540172160171</v>
                </pt>
                <pt idx="2">
                  <v>0.04774647259762918</v>
                </pt>
                <pt idx="3">
                  <v>0.02921601804692904</v>
                </pt>
                <pt idx="4">
                  <v>0.02817158844125876</v>
                </pt>
                <pt idx="5">
                  <v>0.01733004648371832</v>
                </pt>
                <pt idx="6">
                  <v>0.01725944756186448</v>
                </pt>
                <pt idx="7">
                  <v>0.0130194682065769</v>
                </pt>
                <pt idx="8">
                  <v>0.009428084218349807</v>
                </pt>
                <pt idx="9">
                  <v>0.00749216582982858</v>
                </pt>
                <pt idx="10">
                  <v>0.005835642885079172</v>
                </pt>
                <pt idx="11">
                  <v>0.004289953103861945</v>
                </pt>
                <pt idx="12">
                  <v>0.1071118005309912</v>
                </pt>
                <pt idx="13">
                  <v>0.09710510492384292</v>
                </pt>
                <pt idx="14">
                  <v>0.0790462070987081</v>
                </pt>
                <pt idx="15">
                  <v>0.06319560003915922</v>
                </pt>
                <pt idx="16">
                  <v>0.01698801741636077</v>
                </pt>
                <pt idx="17">
                  <v>0.009899575567172823</v>
                </pt>
                <pt idx="18">
                  <v>0.006302986336531307</v>
                </pt>
                <pt idx="19">
                  <v>0.00328709948955393</v>
                </pt>
                <pt idx="20">
                  <v>0.002296332430178012</v>
                </pt>
                <pt idx="21">
                  <v>0.001963430520525124</v>
                </pt>
                <pt idx="22">
                  <v>0</v>
                </pt>
                <pt idx="23">
                  <v>0</v>
                </pt>
                <pt idx="24">
                  <v>0</v>
                </pt>
                <pt idx="25">
                  <v>0</v>
                </pt>
                <pt idx="26">
                  <v>0</v>
                </pt>
                <pt idx="27">
                  <v>0</v>
                </pt>
              </numCache>
            </numRef>
          </val>
        </ser>
        <dLbls>
          <showLegendKey val="0"/>
          <showVal val="0"/>
          <showCatName val="0"/>
          <showSerName val="0"/>
          <showPercent val="0"/>
          <showBubbleSize val="0"/>
        </dLbls>
        <gapWidth val="150"/>
        <overlap val="100"/>
        <axId val="1943646880"/>
        <axId val="1943637312"/>
      </barChart>
      <catAx>
        <axId val="1943646880"/>
        <scaling>
          <orientation val="minMax"/>
        </scaling>
        <delete val="0"/>
        <axPos val="b"/>
        <numFmt formatCode="General" sourceLinked="1"/>
        <majorTickMark val="none"/>
        <minorTickMark val="none"/>
        <tickLblPos val="nextTo"/>
        <spPr>
          <a:noFill/>
          <a:ln w="12700" cap="flat" cmpd="sng" algn="ctr">
            <a:solidFill>
              <a:schemeClr val="lt1">
                <a:alpha val="54000"/>
                <a:lumMod val="95000"/>
              </a:schemeClr>
            </a:solidFill>
            <a:prstDash val="solid"/>
            <a:round/>
          </a:ln>
        </spPr>
        <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r>
              <a:t>None</a:t>
            </a:r>
            <a:endParaRPr lang="en-US"/>
          </a:p>
        </txPr>
        <crossAx val="1943637312"/>
        <crosses val="autoZero"/>
        <auto val="1"/>
        <lblAlgn val="ctr"/>
        <lblOffset val="100"/>
        <noMultiLvlLbl val="0"/>
      </catAx>
      <valAx>
        <axId val="1943637312"/>
        <scaling>
          <orientation val="minMax"/>
        </scaling>
        <delete val="0"/>
        <axPos val="l"/>
        <majorGridlines>
          <spPr>
            <a:ln w="9525" cap="flat" cmpd="sng" algn="ctr">
              <a:solidFill>
                <a:schemeClr val="lt1">
                  <a:alpha val="10000"/>
                  <a:lumMod val="9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r>
              <a:t>None</a:t>
            </a:r>
            <a:endParaRPr lang="en-US"/>
          </a:p>
        </txPr>
        <crossAx val="1943646880"/>
        <crosses val="autoZero"/>
        <crossBetween val="between"/>
      </valAx>
    </plotArea>
    <plotVisOnly val="1"/>
    <dispBlanksAs val="gap"/>
  </chart>
  <spPr>
    <a:gradFill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prstDash val="soli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0.1858747571399975</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0.2430648222540248</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0.2370791183774564</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0.03136810211091381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0.1199949835046251</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0.04515627163747877</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0.01301239973167023</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0.04925146157343418</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0.07053853196051908</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0.004659551709880244</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0.2560699508158326</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0.009992973690373956</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0.270122570067921</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0.04684206417362792</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0.01873682566945117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0.006245608556483723</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0.1686314310250605</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0.1873682566945117</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0.02997892107112187</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0.006011398235615583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97860</v>
                </pt>
                <pt idx="1">
                  <v>214612.9203544564</v>
                </pt>
                <pt idx="2">
                  <v>224157.5</v>
                </pt>
                <pt idx="3">
                  <v>85694.825</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0.3277072339017237</v>
                </pt>
                <pt idx="1">
                  <v>0.3594224147575846</v>
                </pt>
                <pt idx="2">
                  <v>0.01694832840296519</v>
                </pt>
                <pt idx="3">
                  <v>0.001603436935001437</v>
                </pt>
                <pt idx="4">
                  <v>0</v>
                </pt>
                <pt idx="5">
                  <v>0.1569123384592406</v>
                </pt>
                <pt idx="6">
                  <v>0</v>
                </pt>
                <pt idx="7">
                  <v>0.008017184675007186</v>
                </pt>
                <pt idx="8">
                  <v>0</v>
                </pt>
                <pt idx="9">
                  <v>0.1293890628684773</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7.xml><?xml version="1.0" encoding="utf-8"?>
<chartSpace xmlns:a="http://schemas.openxmlformats.org/drawingml/2006/main" xmlns="http://schemas.openxmlformats.org/drawingml/2006/chart">
  <chart>
    <title>
      <tx>
        <rich>
          <a:bodyPr/>
          <a:lstStyle/>
          <a:p>
            <a:r>
              <a:rPr lang="en-IN"/>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427.4335930061532</v>
                </pt>
                <pt idx="1">
                  <v>427.4335930061532</v>
                </pt>
                <pt idx="2">
                  <v>677.4335930061532</v>
                </pt>
                <pt idx="3">
                  <v>927.4335930061532</v>
                </pt>
                <pt idx="4">
                  <v>677.4335930061532</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 Type="http://schemas.openxmlformats.org/officeDocument/2006/relationships/chart" Target="/xl/charts/chart3.xml" Id="rId2" /><Relationship Type="http://schemas.openxmlformats.org/officeDocument/2006/relationships/chart" Target="/xl/charts/chart4.xml" Id="rId3"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_rels/drawing5.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22224</colOff>
      <row>36</row>
      <rowOff>25400</rowOff>
    </from>
    <to>
      <col>13</col>
      <colOff>95250</colOff>
      <row>59</row>
      <rowOff>19050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tables/table1.xml><?xml version="1.0" encoding="utf-8"?>
<table xmlns="http://schemas.openxmlformats.org/spreadsheetml/2006/main" id="1" name="Table5" displayName="Table5" ref="B2:K33" headerRowCount="1" totalsRowCount="1" headerRowDxfId="181" dataDxfId="180">
  <autoFilter ref="B2:K32"/>
  <sortState ref="B3:K32">
    <sortCondition sortBy="cellColor" ref="K2:K32" dxfId="179"/>
  </sortState>
  <tableColumns count="10">
    <tableColumn id="1" name="Cost Component" dataDxfId="178" totalsRowDxfId="177"/>
    <tableColumn id="2" name="1" totalsRowFunction="custom" dataDxfId="176" totalsRowDxfId="175">
      <totalsRowFormula>SUM(Table5[1])</totalsRowFormula>
    </tableColumn>
    <tableColumn id="3" name="2" totalsRowFunction="custom" dataDxfId="174" totalsRowDxfId="173">
      <totalsRowFormula>SUM(Table5[2])</totalsRowFormula>
    </tableColumn>
    <tableColumn id="4" name="3" totalsRowFunction="custom" dataDxfId="172" totalsRowDxfId="171">
      <totalsRowFormula>SUM(Table5[3])</totalsRowFormula>
    </tableColumn>
    <tableColumn id="5" name="4" totalsRowFunction="custom" dataDxfId="170" totalsRowDxfId="169">
      <totalsRowFormula>SUM(Table5[4])</totalsRowFormula>
    </tableColumn>
    <tableColumn id="6" name="5" totalsRowFunction="custom" dataDxfId="168" totalsRowDxfId="167">
      <totalsRowFormula>SUM(Table5[5])</totalsRowFormula>
    </tableColumn>
    <tableColumn id="7" name="6" totalsRowFunction="custom" dataDxfId="166" totalsRowDxfId="165">
      <totalsRowFormula>SUM(Table5[6])</totalsRowFormula>
    </tableColumn>
    <tableColumn id="8" name="7" totalsRowFunction="custom" dataDxfId="164" totalsRowDxfId="163">
      <totalsRowFormula>SUM(Table5[7])</totalsRowFormula>
    </tableColumn>
    <tableColumn id="9" name="8" totalsRowFunction="custom" dataDxfId="162" totalsRowDxfId="161">
      <totalsRowFormula>SUM(Table5[8])</totalsRowFormula>
    </tableColumn>
    <tableColumn id="11" name="Average contribution" totalsRowFunction="custom" dataDxfId="160" totalsRowDxfId="159">
      <totalsRowFormula>SUM(Table5[Average contribution])</totalsRowFormula>
    </tableColumn>
  </tableColumns>
  <tableStyleInfo name="TableStyleLight11" showFirstColumn="0" showLastColumn="0" showRowStripes="1" showColumnStripes="0"/>
</table>
</file>

<file path=xl/tables/table2.xml><?xml version="1.0" encoding="utf-8"?>
<table xmlns="http://schemas.openxmlformats.org/spreadsheetml/2006/main" id="2"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3.xml><?xml version="1.0" encoding="utf-8"?>
<table xmlns="http://schemas.openxmlformats.org/spreadsheetml/2006/main" id="3"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4.xml><?xml version="1.0" encoding="utf-8"?>
<table xmlns="http://schemas.openxmlformats.org/spreadsheetml/2006/main" id="4"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5.xml><?xml version="1.0" encoding="utf-8"?>
<table xmlns="http://schemas.openxmlformats.org/spreadsheetml/2006/main" id="5"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128">
      <calculatedColumnFormula>Table1[[#This Row],[Total]]</calculatedColumnFormula>
    </tableColumn>
    <tableColumn id="5" name="RM cost" dataDxfId="127"/>
    <tableColumn id="6" name="Extra cost" dataDxfId="126"/>
    <tableColumn id="7" name="Total" dataDxfId="125"/>
  </tableColumns>
  <tableStyleInfo name="TableStyleLight8" showFirstColumn="0" showLastColumn="0" showRowStripes="1" showColumnStripes="0"/>
</table>
</file>

<file path=xl/tables/table6.xml><?xml version="1.0" encoding="utf-8"?>
<table xmlns="http://schemas.openxmlformats.org/spreadsheetml/2006/main" id="6" name="Table11" displayName="Table11" ref="A19:E27" headerRowCount="1" totalsRowShown="0">
  <autoFilter ref="A19:E27"/>
  <tableColumns count="5">
    <tableColumn id="1" name="Part Material" dataDxfId="124"/>
    <tableColumn id="2" name="Price/kg" dataDxfId="123"/>
    <tableColumn id="3" name="Tonnage Constant(/cm2)" dataDxfId="122"/>
    <tableColumn id="4" name="Density" dataDxfId="121"/>
    <tableColumn id="5" name="Young modulus" dataDxfId="120"/>
  </tableColumns>
  <tableStyleInfo name="TableStyleMedium4" showFirstColumn="0" showLastColumn="0" showRowStripes="1" showColumnStripes="0"/>
</table>
</file>

<file path=xl/tables/table7.xml><?xml version="1.0" encoding="utf-8"?>
<table xmlns="http://schemas.openxmlformats.org/spreadsheetml/2006/main" id="7" name="Table15" displayName="Table15" ref="I2:L17" headerRowCount="1" totalsRowShown="0">
  <autoFilter ref="I2:L17"/>
  <tableColumns count="4">
    <tableColumn id="1" name="Machining Process" dataDxfId="119"/>
    <tableColumn id="2" name="MRR in cm3/min" dataDxfId="118"/>
    <tableColumn id="3" name="MHR"/>
    <tableColumn id="4" name="Column1"/>
  </tableColumns>
  <tableStyleInfo name="TableStyleMedium4" showFirstColumn="0" showLastColumn="0" showRowStripes="1" showColumnStripes="0"/>
</table>
</file>

<file path=xl/tables/table8.xml><?xml version="1.0" encoding="utf-8"?>
<table xmlns="http://schemas.openxmlformats.org/spreadsheetml/2006/main" id="8" name="Table7" displayName="Table7" ref="A1:C17" headerRowCount="1" totalsRowShown="0">
  <autoFilter ref="A1:C17"/>
  <tableColumns count="3">
    <tableColumn id="1" name="Part " dataDxfId="117"/>
    <tableColumn id="2" name="Dimensions" dataDxfId="116"/>
    <tableColumn id="3" name="unit" dataDxfId="115"/>
  </tableColumns>
  <tableStyleInfo name="TableStyleLight8" showFirstColumn="0" showLastColumn="0" showRowStripes="1" showColumnStripes="0"/>
</table>
</file>

<file path=xl/tables/table9.xml><?xml version="1.0" encoding="utf-8"?>
<table xmlns="http://schemas.openxmlformats.org/spreadsheetml/2006/main" id="9" name="Table16" displayName="Table16" ref="A18:B24" headerRowCount="1" totalsRowShown="0">
  <autoFilter ref="A18:B24"/>
  <tableColumns count="2">
    <tableColumn id="1" name="Output" dataDxfId="114"/>
    <tableColumn id="2" name="Price" dataDxfId="113"/>
  </tableColumns>
  <tableStyleInfo name="TableStyleMedium14" showFirstColumn="0" showLastColumn="0" showRowStripes="1" showColumnStripes="0"/>
</table>
</file>

<file path=xl/tables/table10.xml><?xml version="1.0" encoding="utf-8"?>
<table xmlns="http://schemas.openxmlformats.org/spreadsheetml/2006/main" id="10" name="Table6" displayName="Table6" ref="A1:B7" headerRowCount="1" totalsRowShown="0">
  <autoFilter ref="A1:B7"/>
  <tableColumns count="2">
    <tableColumn id="1" name="Complexity index"/>
    <tableColumn id="2" name="Complexity factor" dataDxfId="111"/>
  </tableColumns>
  <tableStyleInfo name="TableStyleMedium4" showFirstColumn="0" showLastColumn="0" showRowStripes="1" showColumnStripes="0"/>
</table>
</file>

<file path=xl/tables/table11.xml><?xml version="1.0" encoding="utf-8"?>
<table xmlns="http://schemas.openxmlformats.org/spreadsheetml/2006/main" id="11" name="Table18" displayName="Table18" ref="A3:L19" headerRowCount="1" totalsRowShown="0">
  <autoFilter ref="A3:L19"/>
  <tableColumns count="12">
    <tableColumn id="1" name="Opn No" dataDxfId="110"/>
    <tableColumn id="2" name="Operation Name" dataDxfId="109"/>
    <tableColumn id="3" name="M/c Selected" dataDxfId="108"/>
    <tableColumn id="4" name="Initial Volume in cm3" dataDxfId="107"/>
    <tableColumn id="5" name="Final Volume in cm3" dataDxfId="106"/>
    <tableColumn id="6" name="Material to be removed in cm3" dataDxfId="105"/>
    <tableColumn id="7" name="Standard MRR in cm3 per min" dataDxfId="104"/>
    <tableColumn id="8" name="Cycle Time in Mins" dataDxfId="103"/>
    <tableColumn id="9" name="Programming" dataDxfId="102"/>
    <tableColumn id="10" name="Tool Change Time" dataDxfId="101"/>
    <tableColumn id="11" name="Fixture Set-up time in mins" dataDxfId="100"/>
    <tableColumn id="12" name="M/c Time in Hrs" dataDxfId="99">
      <calculatedColumnFormula>ROUNDUP((K4+H4+I4+J4)/60,0)</calculatedColumnFormula>
    </tableColumn>
  </tableColumns>
  <tableStyleInfo name="TableStyleLight18" showFirstColumn="0" showLastColumn="0" showRowStripes="1" showColumnStripes="0"/>
</table>
</file>

<file path=xl/tables/table12.xml><?xml version="1.0" encoding="utf-8"?>
<table xmlns="http://schemas.openxmlformats.org/spreadsheetml/2006/main" id="12" name="Table19" displayName="Table19" ref="A41:L57" headerRowCount="1" totalsRowShown="0">
  <autoFilter ref="A41:L57"/>
  <tableColumns count="12">
    <tableColumn id="1" name="Opn No" dataDxfId="98"/>
    <tableColumn id="2" name="Operation Name" dataDxfId="97"/>
    <tableColumn id="3" name="M/c Selected" dataDxfId="96"/>
    <tableColumn id="4" name="Initial Volume in cm3" dataDxfId="95"/>
    <tableColumn id="5" name="Final Volume in cm3" dataDxfId="94"/>
    <tableColumn id="6" name="Material to be removed in cm3" dataDxfId="93"/>
    <tableColumn id="7" name="Standard MRR in cm3 per min" dataDxfId="92"/>
    <tableColumn id="8" name="Cycle Time in Mins" dataDxfId="91"/>
    <tableColumn id="9" name="Programming" dataDxfId="90"/>
    <tableColumn id="10" name="Tool Change Time" dataDxfId="89"/>
    <tableColumn id="11" name="Fixture Set-up time in mins" dataDxfId="88"/>
    <tableColumn id="12" name="M/c Time" dataDxfId="87"/>
  </tableColumns>
  <tableStyleInfo name="TableStyleLight11" showFirstColumn="0" showLastColumn="0" showRowStripes="1" showColumnStripes="0"/>
</table>
</file>

<file path=xl/tables/table13.xml><?xml version="1.0" encoding="utf-8"?>
<table xmlns="http://schemas.openxmlformats.org/spreadsheetml/2006/main" id="13" name="Table20" displayName="Table20" ref="A22:L38" headerRowCount="1" totalsRowShown="0">
  <autoFilter ref="A22:L38"/>
  <tableColumns count="12">
    <tableColumn id="1" name="Opn No" dataDxfId="86"/>
    <tableColumn id="2" name="Operation Name" dataDxfId="85"/>
    <tableColumn id="3" name="M/c Selected" dataDxfId="84"/>
    <tableColumn id="4" name="Initial Volume in cm3" dataDxfId="83"/>
    <tableColumn id="5" name="Final Volume in cm3" dataDxfId="82"/>
    <tableColumn id="6" name="Material to be removed in cm3" dataDxfId="81"/>
    <tableColumn id="7" name="Standard MRR in cm3 per min" dataDxfId="80"/>
    <tableColumn id="8" name="Cycle Time in Mins" dataDxfId="79"/>
    <tableColumn id="9" name="Programming" dataDxfId="78"/>
    <tableColumn id="10" name="Tool Change Time" dataDxfId="77"/>
    <tableColumn id="11" name="Fixture Set-up time in mins" dataDxfId="76"/>
    <tableColumn id="12" name="M/c Time in Hrs" dataDxfId="75">
      <calculatedColumnFormula>ROUNDUP((K23+H23+I23+J23)/60,0)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1" displayName="Table21" ref="A60:L76" headerRowCount="1" totalsRowShown="0">
  <autoFilter ref="A60:L76"/>
  <tableColumns count="12">
    <tableColumn id="1" name="Opn No" dataDxfId="74"/>
    <tableColumn id="2" name="Operation Name" dataDxfId="73"/>
    <tableColumn id="3" name="M/c Selected" dataDxfId="72"/>
    <tableColumn id="4" name="Initial Volume in cm3" dataDxfId="71"/>
    <tableColumn id="5" name="Final Volume in cm3" dataDxfId="70"/>
    <tableColumn id="6" name="Material to be removed in cm3" dataDxfId="69">
      <calculatedColumnFormula>D61-E61</calculatedColumnFormula>
    </tableColumn>
    <tableColumn id="7" name="Standard MRR in cm3 per min" dataDxfId="68">
      <calculatedColumnFormula>VLOOKUP(C61,Table15[],2,FALSE)</calculatedColumnFormula>
    </tableColumn>
    <tableColumn id="8" name="Cycle Time in Mins" dataDxfId="67">
      <calculatedColumnFormula>F61/G61</calculatedColumnFormula>
    </tableColumn>
    <tableColumn id="9" name="Programming" dataDxfId="66"/>
    <tableColumn id="10" name="Tool Change Time" dataDxfId="65"/>
    <tableColumn id="11" name="Fixture Set-up time in mins" dataDxfId="64"/>
    <tableColumn id="12" name="M/c Time" dataDxfId="63">
      <calculatedColumnFormula>ROUNDUP((K61+H61+I61+J61)/60,0)</calculatedColumnFormula>
    </tableColumn>
  </tableColumns>
  <tableStyleInfo name="TableStyleLight18" showFirstColumn="0" showLastColumn="0" showRowStripes="1" showColumnStripes="0"/>
</table>
</file>

<file path=xl/tables/table15.xml><?xml version="1.0" encoding="utf-8"?>
<table xmlns="http://schemas.openxmlformats.org/spreadsheetml/2006/main" id="15" name="Table22" displayName="Table22" ref="A79:L95" headerRowCount="1" totalsRowShown="0">
  <autoFilter ref="A79:L95"/>
  <tableColumns count="12">
    <tableColumn id="1" name="Opn No" dataDxfId="62"/>
    <tableColumn id="2" name="Operation Name" dataDxfId="61"/>
    <tableColumn id="3" name="M/c Selected" dataDxfId="60"/>
    <tableColumn id="4" name="Initial Volume in cm3" dataDxfId="59"/>
    <tableColumn id="5" name="Final Volume in cm3" dataDxfId="58"/>
    <tableColumn id="6" name="Material to be removed in m3" dataDxfId="57"/>
    <tableColumn id="7" name="Standard MRR in cm3 per min" dataDxfId="56"/>
    <tableColumn id="8" name="Cycle Time in Mins" dataDxfId="55"/>
    <tableColumn id="9" name="Programming" dataDxfId="54"/>
    <tableColumn id="10" name="Tool Change Time" dataDxfId="53"/>
    <tableColumn id="11" name="Fixture Set-up time in mins" dataDxfId="52"/>
    <tableColumn id="12" name="M/c Time" dataDxfId="51"/>
  </tableColumns>
  <tableStyleInfo name="TableStyleLight18" showFirstColumn="0" showLastColumn="0" showRowStripes="1" showColumnStripes="0"/>
</table>
</file>

<file path=xl/tables/table16.xml><?xml version="1.0" encoding="utf-8"?>
<table xmlns="http://schemas.openxmlformats.org/spreadsheetml/2006/main" id="16" name="Table23" displayName="Table23" ref="A98:L115" headerRowCount="1" totalsRowShown="0">
  <autoFilter ref="A98:L115"/>
  <tableColumns count="12">
    <tableColumn id="1" name="Opn No" dataDxfId="50"/>
    <tableColumn id="2" name="Operation Name" dataDxfId="49"/>
    <tableColumn id="3" name="M/c Selected" dataDxfId="48"/>
    <tableColumn id="4" name="Initial Volume in cm3" dataDxfId="47"/>
    <tableColumn id="5" name="Final Volume in cm3" dataDxfId="46"/>
    <tableColumn id="6" name="Material to be removed in cm3" dataDxfId="45"/>
    <tableColumn id="7" name="Standard MRR in cm3 per min" dataDxfId="44"/>
    <tableColumn id="8" name="Cycle Time in Mins" dataDxfId="43"/>
    <tableColumn id="9" name="Programming" dataDxfId="42"/>
    <tableColumn id="10" name="Tool Change Time" dataDxfId="41"/>
    <tableColumn id="11" name="Fixture Set-up time in mins" dataDxfId="40"/>
    <tableColumn id="12" name="M/c Time" dataDxfId="39"/>
  </tableColumns>
  <tableStyleInfo name="TableStyleLight18" showFirstColumn="0" showLastColumn="0" showRowStripes="1" showColumnStripes="0"/>
</table>
</file>

<file path=xl/tables/table17.xml><?xml version="1.0" encoding="utf-8"?>
<table xmlns="http://schemas.openxmlformats.org/spreadsheetml/2006/main" id="17" name="Table24" displayName="Table24" ref="A119:L136" headerRowCount="1" totalsRowShown="0">
  <autoFilter ref="A119:L136"/>
  <tableColumns count="12">
    <tableColumn id="1" name="Opn No" dataDxfId="38"/>
    <tableColumn id="2" name="Operation Name" dataDxfId="37"/>
    <tableColumn id="3" name="M/c Selected" dataDxfId="36"/>
    <tableColumn id="4" name="Initial Volume in cm3" dataDxfId="35"/>
    <tableColumn id="5" name="Final Volume in cm3" dataDxfId="34"/>
    <tableColumn id="6" name="Material to be removed in cm3" dataDxfId="33"/>
    <tableColumn id="7" name="Standard MRR in icm per min" dataDxfId="32"/>
    <tableColumn id="8" name="Cycle Time in Mins" dataDxfId="31"/>
    <tableColumn id="9" name="Programming" dataDxfId="30"/>
    <tableColumn id="10" name="Tool Change Time" dataDxfId="29"/>
    <tableColumn id="11" name="Fixture Set-up time in mins" dataDxfId="28"/>
    <tableColumn id="12" name="M/c Time" dataDxfId="27"/>
  </tableColumns>
  <tableStyleInfo name="TableStyleLight18" showFirstColumn="0" showLastColumn="0" showRowStripes="1" showColumnStripes="0"/>
</table>
</file>

<file path=xl/tables/table18.xml><?xml version="1.0" encoding="utf-8"?>
<table xmlns="http://schemas.openxmlformats.org/spreadsheetml/2006/main" id="18" name="Table25" displayName="Table25" ref="A139:L155" headerRowCount="1" totalsRowShown="0">
  <autoFilter ref="A139:L155"/>
  <tableColumns count="12">
    <tableColumn id="1" name="Opn No" dataDxfId="26"/>
    <tableColumn id="2" name="Operation Name" dataDxfId="25"/>
    <tableColumn id="3" name="M/c Selected" dataDxfId="24"/>
    <tableColumn id="4" name="Initial Volume in cm3" dataDxfId="23"/>
    <tableColumn id="5" name="Final Volume in cm3" dataDxfId="22"/>
    <tableColumn id="6" name="Material to be removed in cm3" dataDxfId="21"/>
    <tableColumn id="7" name="Standard MRR in cm3 per min" dataDxfId="20"/>
    <tableColumn id="8" name="Cycle Time in Mins" dataDxfId="19"/>
    <tableColumn id="9" name="Programming" dataDxfId="18"/>
    <tableColumn id="10" name="Tool Change Time" dataDxfId="17"/>
    <tableColumn id="11" name="Fixture Set-up time in mins" dataDxfId="16"/>
    <tableColumn id="12" name="M/c Time" dataDxfId="15"/>
  </tableColumns>
  <tableStyleInfo name="TableStyleLight18" showFirstColumn="0" showLastColumn="0" showRowStripes="1" showColumnStripes="0"/>
</table>
</file>

<file path=xl/tables/table19.xml><?xml version="1.0" encoding="utf-8"?>
<table xmlns="http://schemas.openxmlformats.org/spreadsheetml/2006/main" id="19" name="Table26" displayName="Table26" ref="A158:L174" headerRowCount="1" totalsRowShown="0">
  <autoFilter ref="A158:L174"/>
  <tableColumns count="12">
    <tableColumn id="1" name="Opn No" dataDxfId="14"/>
    <tableColumn id="2" name="Operation Name" dataDxfId="13"/>
    <tableColumn id="3" name="M/c Selected" dataDxfId="12"/>
    <tableColumn id="4" name="Initial Volume in cm3" dataDxfId="11"/>
    <tableColumn id="5" name="Final Volume in cm3" dataDxfId="10"/>
    <tableColumn id="6" name="Material to be removed in cm3" dataDxfId="9"/>
    <tableColumn id="7" name="Standard MRR in cm3 per min" dataDxfId="8"/>
    <tableColumn id="8" name="Cycle Time in Mins" dataDxfId="7"/>
    <tableColumn id="9" name="Programming" dataDxfId="6"/>
    <tableColumn id="10" name="Tool Change Time" dataDxfId="5"/>
    <tableColumn id="11" name="Fixture Set-up time in mins" dataDxfId="4"/>
    <tableColumn id="12" name="M/c Time" dataDxfId="3"/>
  </tableColumns>
  <tableStyleInfo name="TableStyleLight18" showFirstColumn="0" showLastColumn="0" showRowStripes="1" showColumnStripes="0"/>
</table>
</file>

<file path=xl/tables/table20.xml><?xml version="1.0" encoding="utf-8"?>
<table xmlns="http://schemas.openxmlformats.org/spreadsheetml/2006/main" id="20" name="Table1113" displayName="Table1113" ref="A26:C34" headerRowCount="1" totalsRowShown="0">
  <autoFilter ref="A26:C34"/>
  <tableColumns count="3">
    <tableColumn id="1" name="Part Material" dataDxfId="2">
      <calculatedColumnFormula>Database!A20</calculatedColumnFormula>
    </tableColumn>
    <tableColumn id="2" name="Price/kg" dataDxfId="1">
      <calculatedColumnFormula>Database!B20</calculatedColumnFormula>
    </tableColumn>
    <tableColumn id="3" name="Tonnage Constant(/mm2)" dataDxfId="0">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drawing" Target="/xl/drawings/drawing1.xml" Id="rId1" /><Relationship Type="http://schemas.openxmlformats.org/officeDocument/2006/relationships/table" Target="/xl/tables/table1.xml" Id="rId2" /></Relationships>
</file>

<file path=xl/worksheets/_rels/sheet5.xml.rels><Relationships xmlns="http://schemas.openxmlformats.org/package/2006/relationships"><Relationship Type="http://schemas.openxmlformats.org/officeDocument/2006/relationships/table" Target="/xl/tables/table2.xml" Id="rId1" /><Relationship Type="http://schemas.openxmlformats.org/officeDocument/2006/relationships/table" Target="/xl/tables/table3.xml" Id="rId2" /><Relationship Type="http://schemas.openxmlformats.org/officeDocument/2006/relationships/table" Target="/xl/tables/table4.xml" Id="rId3"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drawing" Target="/xl/drawings/drawing3.xml" Id="rId1" /></Relationships>
</file>

<file path=xl/worksheets/_rels/sheet8.xml.rels><Relationships xmlns="http://schemas.openxmlformats.org/package/2006/relationships"><Relationship Type="http://schemas.openxmlformats.org/officeDocument/2006/relationships/table" Target="/xl/tables/table5.xml" Id="rId1" /><Relationship Type="http://schemas.openxmlformats.org/officeDocument/2006/relationships/table" Target="/xl/tables/table6.xml" Id="rId2" /><Relationship Type="http://schemas.openxmlformats.org/officeDocument/2006/relationships/table" Target="/xl/tables/table7.xml" Id="rId3" /></Relationships>
</file>

<file path=xl/worksheets/_rels/sheet9.xml.rels><Relationships xmlns="http://schemas.openxmlformats.org/package/2006/relationships"><Relationship Type="http://schemas.openxmlformats.org/officeDocument/2006/relationships/table" Target="/xl/tables/table8.xml" Id="rId1" /><Relationship Type="http://schemas.openxmlformats.org/officeDocument/2006/relationships/table" Target="/xl/tables/table9.xml" Id="rId2" /></Relationships>
</file>

<file path=xl/worksheets/_rels/sheet10.xml.rels><Relationships xmlns="http://schemas.openxmlformats.org/package/2006/relationships"><Relationship Type="http://schemas.openxmlformats.org/officeDocument/2006/relationships/drawing" Target="/xl/drawings/drawing4.xml" Id="rId1" /></Relationships>
</file>

<file path=xl/worksheets/_rels/sheet11.xml.rels><Relationships xmlns="http://schemas.openxmlformats.org/package/2006/relationships"><Relationship Type="http://schemas.openxmlformats.org/officeDocument/2006/relationships/table" Target="/xl/tables/table10.xml" Id="rId1" /></Relationships>
</file>

<file path=xl/worksheets/_rels/sheet13.xml.rels><Relationships xmlns="http://schemas.openxmlformats.org/package/2006/relationships"><Relationship Type="http://schemas.openxmlformats.org/officeDocument/2006/relationships/drawing" Target="/xl/drawings/drawing5.xml" Id="rId1" /></Relationships>
</file>

<file path=xl/worksheets/_rels/sheet15.xml.rels><Relationships xmlns="http://schemas.openxmlformats.org/package/2006/relationships"><Relationship Type="http://schemas.openxmlformats.org/officeDocument/2006/relationships/table" Target="/xl/tables/table11.xml" Id="rId1" /><Relationship Type="http://schemas.openxmlformats.org/officeDocument/2006/relationships/table" Target="/xl/tables/table12.xml" Id="rId2" /><Relationship Type="http://schemas.openxmlformats.org/officeDocument/2006/relationships/table" Target="/xl/tables/table13.xml" Id="rId3" /><Relationship Type="http://schemas.openxmlformats.org/officeDocument/2006/relationships/table" Target="/xl/tables/table14.xml" Id="rId4" /><Relationship Type="http://schemas.openxmlformats.org/officeDocument/2006/relationships/table" Target="/xl/tables/table15.xml" Id="rId5" /><Relationship Type="http://schemas.openxmlformats.org/officeDocument/2006/relationships/table" Target="/xl/tables/table16.xml" Id="rId6" /><Relationship Type="http://schemas.openxmlformats.org/officeDocument/2006/relationships/table" Target="/xl/tables/table17.xml" Id="rId7" /><Relationship Type="http://schemas.openxmlformats.org/officeDocument/2006/relationships/table" Target="/xl/tables/table18.xml" Id="rId8" /><Relationship Type="http://schemas.openxmlformats.org/officeDocument/2006/relationships/table" Target="/xl/tables/table19.xml" Id="rId9" /></Relationships>
</file>

<file path=xl/worksheets/_rels/sheet16.xml.rels><Relationships xmlns="http://schemas.openxmlformats.org/package/2006/relationships"><Relationship Type="http://schemas.openxmlformats.org/officeDocument/2006/relationships/table" Target="/xl/tables/table20.xml" Id="rId1" /></Relationships>
</file>

<file path=xl/worksheets/sheet1.xml><?xml version="1.0" encoding="utf-8"?>
<worksheet xmlns="http://schemas.openxmlformats.org/spreadsheetml/2006/main">
  <sheetPr>
    <outlinePr summaryBelow="1" summaryRight="1"/>
    <pageSetUpPr/>
  </sheetPr>
  <dimension ref="A1:F15"/>
  <sheetViews>
    <sheetView tabSelected="1" workbookViewId="0">
      <selection activeCell="G5" sqref="G5"/>
    </sheetView>
  </sheetViews>
  <sheetFormatPr baseColWidth="8" defaultRowHeight="14.5"/>
  <cols>
    <col width="31.36328125" customWidth="1" style="450" min="1" max="1"/>
    <col width="18.26953125" customWidth="1" style="450" min="6" max="6"/>
  </cols>
  <sheetData>
    <row r="1">
      <c r="A1" t="inlineStr">
        <is>
          <t xml:space="preserve">Length (in mm): </t>
        </is>
      </c>
      <c r="B1" t="inlineStr">
        <is>
          <t>200</t>
        </is>
      </c>
      <c r="F1" s="59">
        <f>INT(DASHBOARD!C9)</f>
        <v/>
      </c>
    </row>
    <row r="2">
      <c r="A2" t="inlineStr">
        <is>
          <t xml:space="preserve">Width (in mm): </t>
        </is>
      </c>
      <c r="B2" t="inlineStr">
        <is>
          <t>100</t>
        </is>
      </c>
      <c r="F2" s="59">
        <f>INT(DASHBOARD!H28)</f>
        <v/>
      </c>
    </row>
    <row r="3">
      <c r="A3" t="inlineStr">
        <is>
          <t xml:space="preserve">Height(in): </t>
        </is>
      </c>
      <c r="B3" t="inlineStr">
        <is>
          <t>80</t>
        </is>
      </c>
      <c r="F3" s="59">
        <f>INT(DASHBOARD!H52)</f>
        <v/>
      </c>
    </row>
    <row r="4">
      <c r="A4" t="inlineStr">
        <is>
          <t xml:space="preserve">Cavity: </t>
        </is>
      </c>
      <c r="B4" t="inlineStr">
        <is>
          <t>1</t>
        </is>
      </c>
      <c r="F4" s="385">
        <f>INT(DASHBOARD!G61)</f>
        <v/>
      </c>
    </row>
    <row r="5">
      <c r="A5" t="inlineStr">
        <is>
          <t xml:space="preserve">Complexity: </t>
        </is>
      </c>
      <c r="B5" t="inlineStr">
        <is>
          <t>2</t>
        </is>
      </c>
      <c r="F5" s="59">
        <f>INT(DASHBOARD!H65)</f>
        <v/>
      </c>
    </row>
    <row r="6">
      <c r="A6" t="inlineStr">
        <is>
          <t xml:space="preserve">Hot Runner: </t>
        </is>
      </c>
      <c r="B6" t="inlineStr">
        <is>
          <t>yes</t>
        </is>
      </c>
    </row>
    <row r="7">
      <c r="A7" s="351" t="inlineStr">
        <is>
          <t>HRS Cost</t>
        </is>
      </c>
      <c r="B7" t="inlineStr">
        <is>
          <t>120000</t>
        </is>
      </c>
    </row>
    <row r="8">
      <c r="A8" t="inlineStr">
        <is>
          <t xml:space="preserve">Mould Flow Analysis: </t>
        </is>
      </c>
      <c r="B8" t="b">
        <v>0</v>
      </c>
    </row>
    <row r="9">
      <c r="A9" t="inlineStr">
        <is>
          <t xml:space="preserve">Texturing: </t>
        </is>
      </c>
      <c r="B9" t="b">
        <v>0</v>
      </c>
    </row>
    <row r="10">
      <c r="A10" t="inlineStr">
        <is>
          <t xml:space="preserve">Heat Treatment: </t>
        </is>
      </c>
      <c r="B10" t="b">
        <v>1</v>
      </c>
    </row>
    <row r="11">
      <c r="A11" t="inlineStr">
        <is>
          <t xml:space="preserve">Polishing: </t>
        </is>
      </c>
      <c r="B11" t="b">
        <v>1</v>
      </c>
    </row>
    <row r="15">
      <c r="A15" t="inlineStr">
        <is>
          <t>       </t>
        </is>
      </c>
    </row>
  </sheetData>
  <pageMargins left="0.7" right="0.7" top="0.75" bottom="0.75" header="0.3" footer="0.3"/>
</worksheet>
</file>

<file path=xl/worksheets/sheet2.xml><?xml version="1.0" encoding="utf-8"?>
<worksheet xmlns="http://schemas.openxmlformats.org/spreadsheetml/2006/main">
  <sheetPr codeName="Sheet8">
    <outlinePr summaryBelow="1" summaryRight="1"/>
    <pageSetUpPr/>
  </sheetPr>
  <dimension ref="A1:A24"/>
  <sheetViews>
    <sheetView workbookViewId="0">
      <selection activeCell="D12" sqref="D12"/>
    </sheetView>
  </sheetViews>
  <sheetFormatPr baseColWidth="8" defaultColWidth="8.7265625" defaultRowHeight="14.5"/>
  <cols>
    <col width="8.7265625" customWidth="1" style="207" min="1" max="3"/>
    <col width="8.7265625" customWidth="1" style="207" min="4" max="16384"/>
  </cols>
  <sheetData>
    <row r="1" ht="21" customHeight="1" s="450">
      <c r="A1" s="208" t="inlineStr">
        <is>
          <t>Assumptions</t>
        </is>
      </c>
    </row>
    <row r="2" ht="21" customHeight="1" s="450">
      <c r="A2" s="208" t="n"/>
    </row>
    <row r="3">
      <c r="A3" s="209" t="inlineStr">
        <is>
          <t>• Overall:</t>
        </is>
      </c>
    </row>
    <row r="4">
      <c r="A4" s="209" t="n"/>
    </row>
    <row r="5">
      <c r="A5" s="210" t="inlineStr">
        <is>
          <t>1.       In relevant cases, an efficiency of 90% is taken into consideration.</t>
        </is>
      </c>
    </row>
    <row r="6">
      <c r="A6" s="210" t="inlineStr">
        <is>
          <t>2.       The complexity of the material has an impact on the raw material selection, machining cost, and design cost of the mould.</t>
        </is>
      </c>
    </row>
    <row r="7">
      <c r="A7" s="210" t="inlineStr">
        <is>
          <t>3.       Typically, a single shift of 8 hours per day is assumed, with one machine in operation. (This can be adjusted in the respective sheets or scenarios.)</t>
        </is>
      </c>
    </row>
    <row r="8">
      <c r="A8" s="210" t="inlineStr">
        <is>
          <t>4.       An overhead profit margin of 10% is accounted for.</t>
        </is>
      </c>
    </row>
    <row r="9">
      <c r="A9" s="210" t="inlineStr">
        <is>
          <t>5.       A service charge of 4% is factored into the calculations.</t>
        </is>
      </c>
    </row>
    <row r="10">
      <c r="A10" s="210" t="n"/>
    </row>
    <row r="11">
      <c r="A11" s="211" t="inlineStr">
        <is>
          <t>·Cavity Calculation:</t>
        </is>
      </c>
    </row>
    <row r="12">
      <c r="A12" s="210" t="n"/>
    </row>
    <row r="13">
      <c r="A13" s="210" t="inlineStr">
        <is>
          <t>1.       The injection and dwelling time for the process is set at a duration of 3 seconds.</t>
        </is>
      </c>
    </row>
    <row r="14">
      <c r="A14" s="210" t="inlineStr">
        <is>
          <t>2.       The cooling time required for the part is contingent upon its thickness and the material from which it is made.</t>
        </is>
      </c>
    </row>
    <row r="15">
      <c r="A15" s="210" t="n"/>
    </row>
    <row r="16">
      <c r="A16" s="211" t="inlineStr">
        <is>
          <t>·Mould Construction:</t>
        </is>
      </c>
    </row>
    <row r="17">
      <c r="A17" s="210" t="n"/>
    </row>
    <row r="18">
      <c r="A18" s="210" t="inlineStr">
        <is>
          <t>1.       The number of cavities in a mould has a direct relationship with the length and width of the mould.</t>
        </is>
      </c>
    </row>
    <row r="19">
      <c r="A19" s="210" t="inlineStr">
        <is>
          <t>2.       The assumed tolerance between the two parts is 50 mm.</t>
        </is>
      </c>
    </row>
    <row r="20">
      <c r="A20" s="210" t="inlineStr">
        <is>
          <t>3.       The engineering properties of materials have been considered based on standard or mean data.</t>
        </is>
      </c>
    </row>
    <row r="21">
      <c r="A21" s="210" t="inlineStr">
        <is>
          <t>4.       Standard and pre-determined materials are used for different parts of the mould, and they can be changed if necessary.</t>
        </is>
      </c>
    </row>
    <row r="22">
      <c r="A22" s="210" t="inlineStr">
        <is>
          <t>5.       Standard rates are applied to standard items.</t>
        </is>
      </c>
    </row>
    <row r="23">
      <c r="A23" s="210" t="inlineStr">
        <is>
          <t>6.       Standard processes are used for the machining of different component of mould.</t>
        </is>
      </c>
    </row>
    <row r="24">
      <c r="A24" s="210" t="n"/>
    </row>
  </sheetData>
  <pageMargins left="0.75" right="0.75" top="1" bottom="1" header="0.5" footer="0.5"/>
</worksheet>
</file>

<file path=xl/worksheets/sheet3.xml><?xml version="1.0" encoding="utf-8"?>
<worksheet xmlns="http://schemas.openxmlformats.org/spreadsheetml/2006/main">
  <sheetPr codeName="Sheet1">
    <outlinePr summaryBelow="1" summaryRight="1"/>
    <pageSetUpPr fitToPage="1"/>
  </sheetPr>
  <dimension ref="A1:J69"/>
  <sheetViews>
    <sheetView zoomScale="25" zoomScaleNormal="48" workbookViewId="0">
      <selection activeCell="E4" sqref="E4"/>
    </sheetView>
  </sheetViews>
  <sheetFormatPr baseColWidth="8" defaultRowHeight="14.5"/>
  <cols>
    <col width="31.90625" customWidth="1" style="450" min="1" max="1"/>
    <col width="67.26953125" customWidth="1" style="450" min="2" max="2"/>
    <col width="52.453125" customWidth="1" style="450" min="3" max="3"/>
    <col width="53.6328125" customWidth="1" style="450" min="4" max="5"/>
    <col width="45.08984375" customWidth="1" style="450" min="6" max="6"/>
    <col width="40.90625" customWidth="1" style="450" min="7" max="8"/>
    <col width="17.81640625" customWidth="1" style="450" min="9" max="9"/>
    <col width="71.90625" customWidth="1" style="450" min="10" max="10"/>
  </cols>
  <sheetData>
    <row r="1" ht="52" customHeight="1" s="450">
      <c r="A1" s="506" t="inlineStr">
        <is>
          <t xml:space="preserve">  TOOLING COST BREAK - UP ESTIMATE          </t>
        </is>
      </c>
      <c r="B1" s="447" t="n"/>
      <c r="C1" s="447" t="n"/>
      <c r="D1" s="447" t="n"/>
      <c r="E1" s="447" t="n"/>
      <c r="F1" s="447" t="n"/>
      <c r="G1" s="447" t="n"/>
      <c r="H1" s="447" t="n"/>
      <c r="I1" s="447" t="n"/>
      <c r="J1" s="482" t="n"/>
    </row>
    <row r="2" ht="52.5" customHeight="1" s="450" thickBot="1">
      <c r="A2" s="483" t="n"/>
      <c r="B2" s="444" t="n"/>
      <c r="C2" s="444" t="n"/>
      <c r="D2" s="444" t="n"/>
      <c r="E2" s="444" t="n"/>
      <c r="F2" s="444" t="n"/>
      <c r="G2" s="444" t="n"/>
      <c r="H2" s="444" t="n"/>
      <c r="I2" s="444" t="n"/>
      <c r="J2" s="462" t="n"/>
    </row>
    <row r="3" ht="35.5" customHeight="1" s="450" thickBot="1">
      <c r="A3" s="510" t="inlineStr">
        <is>
          <t>MANUAL ENTRY</t>
        </is>
      </c>
      <c r="B3" s="448" t="n"/>
      <c r="C3" s="463" t="inlineStr">
        <is>
          <t xml:space="preserve">Last modified at:  </t>
        </is>
      </c>
      <c r="D3" s="575">
        <f>IF($D$4&lt;&gt;0,NOW(),NOW())</f>
        <v/>
      </c>
      <c r="E3" s="272" t="n"/>
      <c r="F3" s="273" t="n"/>
      <c r="G3" s="254" t="inlineStr">
        <is>
          <t xml:space="preserve">      DATE : </t>
        </is>
      </c>
      <c r="H3" s="274">
        <f>TODAY()</f>
        <v/>
      </c>
      <c r="I3" s="295" t="n"/>
      <c r="J3" s="271" t="inlineStr">
        <is>
          <t>PART IMAGE</t>
        </is>
      </c>
    </row>
    <row r="4" ht="35" customHeight="1" s="450" thickBot="1">
      <c r="A4" s="509" t="n"/>
      <c r="B4" s="454" t="n"/>
      <c r="C4" s="464" t="n"/>
      <c r="D4" s="454" t="n"/>
      <c r="E4" s="270" t="inlineStr">
        <is>
          <t>CUSTOMER NAME : -</t>
        </is>
      </c>
      <c r="F4" s="440" t="inlineStr">
        <is>
          <t>TVSM</t>
        </is>
      </c>
      <c r="G4" s="439" t="n"/>
      <c r="H4" s="437" t="n"/>
      <c r="I4" s="296" t="n"/>
      <c r="J4" s="511" t="n"/>
    </row>
    <row r="5" ht="35" customHeight="1" s="450">
      <c r="A5" s="180" t="n"/>
      <c r="B5" s="269" t="inlineStr">
        <is>
          <t>LENGTH</t>
        </is>
      </c>
      <c r="C5" s="269" t="inlineStr">
        <is>
          <t>WIDTH</t>
        </is>
      </c>
      <c r="D5" s="269" t="inlineStr">
        <is>
          <t>HEIGHT</t>
        </is>
      </c>
      <c r="E5" s="270" t="inlineStr">
        <is>
          <t>TOOL MAKER NAME : -</t>
        </is>
      </c>
      <c r="F5" s="440" t="n"/>
      <c r="G5" s="439" t="n"/>
      <c r="H5" s="437" t="n"/>
      <c r="I5" s="296" t="n"/>
      <c r="J5" s="512" t="n"/>
    </row>
    <row r="6" ht="35" customHeight="1" s="450">
      <c r="A6" s="275" t="inlineStr">
        <is>
          <t>PART SIZE :-</t>
        </is>
      </c>
      <c r="B6" s="270">
        <f>Website!B1</f>
        <v/>
      </c>
      <c r="C6" s="270">
        <f>Website!B2</f>
        <v/>
      </c>
      <c r="D6" s="270">
        <f>Website!B3</f>
        <v/>
      </c>
      <c r="E6" s="265" t="n"/>
      <c r="F6" s="436" t="inlineStr">
        <is>
          <t>No of Gate</t>
        </is>
      </c>
      <c r="G6" s="436" t="inlineStr">
        <is>
          <t>HRS PRICE</t>
        </is>
      </c>
      <c r="H6" s="249" t="inlineStr">
        <is>
          <t>TOTAL HRS COST</t>
        </is>
      </c>
      <c r="I6" s="297" t="n"/>
      <c r="J6" s="512" t="n"/>
    </row>
    <row r="7" ht="35" customHeight="1" s="450">
      <c r="A7" s="275" t="inlineStr">
        <is>
          <t>NO CAVITY :-</t>
        </is>
      </c>
      <c r="B7" s="270">
        <f>Website!B4</f>
        <v/>
      </c>
      <c r="C7" s="270" t="inlineStr">
        <is>
          <t>COMPLEXITY</t>
        </is>
      </c>
      <c r="D7" s="261">
        <f>Website!B5</f>
        <v/>
      </c>
      <c r="E7" s="270" t="inlineStr">
        <is>
          <t>RUNNER &amp; GATE:-</t>
        </is>
      </c>
      <c r="F7" s="270" t="n">
        <v>1</v>
      </c>
      <c r="G7" s="261">
        <f>Website!B7</f>
        <v/>
      </c>
      <c r="H7" s="276">
        <f>G7*F7</f>
        <v/>
      </c>
      <c r="I7" s="298" t="n"/>
      <c r="J7" s="512" t="n"/>
    </row>
    <row r="8" ht="35.5" customHeight="1" s="450" thickBot="1">
      <c r="A8" s="277" t="inlineStr">
        <is>
          <t>M. DIME</t>
        </is>
      </c>
      <c r="B8" s="315">
        <f>'INJ. MOULDING ESTIMATION'!D22</f>
        <v/>
      </c>
      <c r="C8" s="315">
        <f>'INJ. MOULDING ESTIMATION'!D23</f>
        <v/>
      </c>
      <c r="D8" s="278">
        <f>'INJ. MOULDING ESTIMATION'!D24</f>
        <v/>
      </c>
      <c r="E8" s="255" t="inlineStr">
        <is>
          <t xml:space="preserve">PART WT :- </t>
        </is>
      </c>
      <c r="F8" s="255" t="n"/>
      <c r="G8" s="278" t="inlineStr">
        <is>
          <t>in 3D (KG)</t>
        </is>
      </c>
      <c r="H8" s="576" t="n"/>
      <c r="I8" s="577" t="n"/>
      <c r="J8" s="462" t="n"/>
    </row>
    <row r="9" ht="35.5" customHeight="1" s="450" thickBot="1">
      <c r="A9" s="480" t="inlineStr">
        <is>
          <t xml:space="preserve">I) DESIGN COST +MOULD FLOW   : </t>
        </is>
      </c>
      <c r="B9" s="444" t="n"/>
      <c r="C9" s="455">
        <f>'Mould Costing'!K60</f>
        <v/>
      </c>
      <c r="D9" s="444" t="n"/>
      <c r="E9" s="267" t="inlineStr">
        <is>
          <t>PART DESIGN (RE)</t>
        </is>
      </c>
      <c r="F9" s="268" t="n">
        <v>0</v>
      </c>
      <c r="G9" s="467" t="inlineStr">
        <is>
          <t>(PART 3D SCANNIG+3D DATA RE)</t>
        </is>
      </c>
      <c r="H9" s="462" t="n"/>
      <c r="I9" s="284" t="n"/>
      <c r="J9" s="307" t="inlineStr">
        <is>
          <t xml:space="preserve"> ( A )</t>
        </is>
      </c>
    </row>
    <row r="10" ht="35.5" customHeight="1" s="450" thickBot="1">
      <c r="A10" s="228" t="n"/>
      <c r="B10" s="283" t="n"/>
      <c r="C10" s="320">
        <f>C9/H65</f>
        <v/>
      </c>
      <c r="D10" s="284" t="n"/>
      <c r="E10" s="251" t="n"/>
      <c r="F10" s="284" t="n"/>
      <c r="G10" s="284" t="n"/>
      <c r="H10" s="578" t="n"/>
      <c r="I10" s="578" t="n"/>
      <c r="J10" s="227" t="n"/>
    </row>
    <row r="11" ht="35.5" customHeight="1" s="450" thickBot="1">
      <c r="A11" s="229" t="inlineStr">
        <is>
          <t>II) RAW MATERIAL COST :</t>
        </is>
      </c>
      <c r="B11" s="230" t="n"/>
      <c r="C11" s="230" t="n"/>
      <c r="D11" s="252" t="n"/>
      <c r="E11" s="252" t="n"/>
      <c r="F11" s="252" t="n"/>
      <c r="G11" s="252" t="n"/>
      <c r="H11" s="579" t="n"/>
      <c r="I11" s="579" t="n"/>
      <c r="J11" s="312" t="inlineStr">
        <is>
          <t>FACTORS</t>
        </is>
      </c>
    </row>
    <row r="12" ht="35.5" customHeight="1" s="450" thickBot="1">
      <c r="A12" s="486" t="inlineStr">
        <is>
          <t>S.No.</t>
        </is>
      </c>
      <c r="B12" s="507" t="inlineStr">
        <is>
          <t>SUB PART NAME</t>
        </is>
      </c>
      <c r="C12" s="471" t="inlineStr">
        <is>
          <t>MATERIAL SPEC.</t>
        </is>
      </c>
      <c r="D12" s="486" t="inlineStr">
        <is>
          <t>REMARKS</t>
        </is>
      </c>
      <c r="E12" s="448" t="n"/>
      <c r="F12" s="445" t="inlineStr">
        <is>
          <t xml:space="preserve">RM WEIGHT </t>
        </is>
      </c>
      <c r="G12" s="446" t="inlineStr">
        <is>
          <t>UNIT PRICE</t>
        </is>
      </c>
      <c r="H12" s="580" t="inlineStr">
        <is>
          <t>TOTAL VALUE</t>
        </is>
      </c>
      <c r="I12" s="581" t="n"/>
      <c r="J12" s="235" t="n"/>
    </row>
    <row r="13" ht="35.5" customHeight="1" s="450" thickBot="1">
      <c r="A13" s="488" t="n"/>
      <c r="B13" s="508" t="n"/>
      <c r="C13" s="472" t="n"/>
      <c r="D13" s="509" t="n"/>
      <c r="E13" s="454" t="n"/>
      <c r="F13" s="279" t="inlineStr">
        <is>
          <t>Kg ( 1 )</t>
        </is>
      </c>
      <c r="G13" s="231" t="inlineStr">
        <is>
          <t>Rs/Kg ( 2 )</t>
        </is>
      </c>
      <c r="H13" s="582" t="inlineStr">
        <is>
          <t>Rs.  ( 1X2 )</t>
        </is>
      </c>
      <c r="I13" s="581" t="n"/>
      <c r="J13" s="235" t="n"/>
    </row>
    <row r="14" ht="35.5" customHeight="1" s="450" thickBot="1">
      <c r="A14" s="232" t="n">
        <v>1</v>
      </c>
      <c r="B14" s="233" t="inlineStr">
        <is>
          <t>MOULD BASE</t>
        </is>
      </c>
      <c r="C14" s="465">
        <f>'Mould Costing'!B16</f>
        <v/>
      </c>
      <c r="D14" s="441">
        <f>H14/$H$65</f>
        <v/>
      </c>
      <c r="E14" s="442" t="n"/>
      <c r="F14" s="260">
        <f>'Mould Costing'!K16</f>
        <v/>
      </c>
      <c r="G14" s="260">
        <f>'Mould Costing'!L16</f>
        <v/>
      </c>
      <c r="H14" s="300">
        <f>'Mould Costing'!M16</f>
        <v/>
      </c>
      <c r="I14" s="311">
        <f>H14/$H$28</f>
        <v/>
      </c>
      <c r="J14" s="313" t="inlineStr">
        <is>
          <t>MOULD FLOW</t>
        </is>
      </c>
    </row>
    <row r="15" ht="35.5" customHeight="1" s="450" thickBot="1">
      <c r="A15" s="234" t="n">
        <v>2</v>
      </c>
      <c r="B15" s="235" t="inlineStr">
        <is>
          <t xml:space="preserve">CORE </t>
        </is>
      </c>
      <c r="C15" s="465">
        <f>Table4[[#This Row],[Material]]</f>
        <v/>
      </c>
      <c r="D15" s="441">
        <f>H15/$H$65</f>
        <v/>
      </c>
      <c r="E15" s="442" t="n"/>
      <c r="F15" s="236">
        <f>Table4[[#This Row],[Total weight]]</f>
        <v/>
      </c>
      <c r="G15" s="236">
        <f>Table4[[#This Row],[Price/kg]]</f>
        <v/>
      </c>
      <c r="H15" s="301">
        <f>Table4[[#This Row],[Total Price]]</f>
        <v/>
      </c>
      <c r="I15" s="311">
        <f>H15/$H$28</f>
        <v/>
      </c>
      <c r="J15" s="313" t="inlineStr">
        <is>
          <t>HOT RUNNER</t>
        </is>
      </c>
    </row>
    <row r="16" ht="35.5" customHeight="1" s="450" thickBot="1">
      <c r="A16" s="234" t="n">
        <v>3</v>
      </c>
      <c r="B16" s="235" t="inlineStr">
        <is>
          <t>CAVITY</t>
        </is>
      </c>
      <c r="C16" s="465">
        <f>'Mould Costing'!B14</f>
        <v/>
      </c>
      <c r="D16" s="441">
        <f>H16/$H$65</f>
        <v/>
      </c>
      <c r="E16" s="442" t="n"/>
      <c r="F16" s="236">
        <f>'Mould Costing'!K14</f>
        <v/>
      </c>
      <c r="G16" s="236">
        <f>'Mould Costing'!L14</f>
        <v/>
      </c>
      <c r="H16" s="301">
        <f>'Mould Costing'!M14</f>
        <v/>
      </c>
      <c r="I16" s="311">
        <f>H16/$H$28</f>
        <v/>
      </c>
      <c r="J16" s="313" t="inlineStr">
        <is>
          <t>SERVICE CHARGE</t>
        </is>
      </c>
    </row>
    <row r="17" ht="35.5" customHeight="1" s="450" thickBot="1">
      <c r="A17" s="234" t="n">
        <v>4</v>
      </c>
      <c r="B17" s="237" t="inlineStr">
        <is>
          <t>ELECTRODES</t>
        </is>
      </c>
      <c r="C17" s="436">
        <f>'Mould Costing'!B17</f>
        <v/>
      </c>
      <c r="D17" s="441">
        <f>H17/$H$65</f>
        <v/>
      </c>
      <c r="E17" s="442" t="n"/>
      <c r="F17" s="236">
        <f>'Mould Costing'!K17+'Mould Costing'!K18</f>
        <v/>
      </c>
      <c r="G17" s="236">
        <f>'Mould Costing'!L17</f>
        <v/>
      </c>
      <c r="H17" s="301">
        <f>'Mould Costing'!M17+'Mould Costing'!M18</f>
        <v/>
      </c>
      <c r="I17" s="311">
        <f>H17/$H$28</f>
        <v/>
      </c>
      <c r="J17" s="313" t="inlineStr">
        <is>
          <t>TEXTURING</t>
        </is>
      </c>
    </row>
    <row r="18" ht="35.5" customHeight="1" s="450" thickBot="1">
      <c r="A18" s="234" t="n">
        <v>5</v>
      </c>
      <c r="B18" s="235" t="inlineStr">
        <is>
          <t>SPACER BLOCK</t>
        </is>
      </c>
      <c r="C18" s="436">
        <f>'Mould Costing'!B11</f>
        <v/>
      </c>
      <c r="D18" s="441">
        <f>H18/$H$65</f>
        <v/>
      </c>
      <c r="E18" s="442" t="n"/>
      <c r="F18" s="236">
        <f>'Mould Costing'!K11</f>
        <v/>
      </c>
      <c r="G18" s="236">
        <f>'Mould Costing'!L11</f>
        <v/>
      </c>
      <c r="H18" s="301">
        <f>'Mould Costing'!M11</f>
        <v/>
      </c>
      <c r="I18" s="311">
        <f>H18/$H$28</f>
        <v/>
      </c>
      <c r="J18" s="313" t="inlineStr">
        <is>
          <t>DIMENSION CHANGE</t>
        </is>
      </c>
    </row>
    <row r="19" ht="35.5" customHeight="1" s="450" thickBot="1">
      <c r="A19" s="234" t="n">
        <v>6</v>
      </c>
      <c r="B19" s="235" t="inlineStr">
        <is>
          <t>EJECTOR PLATE</t>
        </is>
      </c>
      <c r="C19" s="465">
        <f>'Mould Costing'!B12</f>
        <v/>
      </c>
      <c r="D19" s="441">
        <f>H19/$H$65</f>
        <v/>
      </c>
      <c r="E19" s="442" t="n"/>
      <c r="F19" s="236">
        <f>'Mould Costing'!K12+'Mould Costing'!K13</f>
        <v/>
      </c>
      <c r="G19" s="236">
        <f>'Mould Costing'!L12+'Mould Costing'!L13</f>
        <v/>
      </c>
      <c r="H19" s="583">
        <f>F19*G19</f>
        <v/>
      </c>
      <c r="I19" s="311">
        <f>H19/$H$28</f>
        <v/>
      </c>
      <c r="J19" s="313" t="n"/>
    </row>
    <row r="20" ht="35.5" customHeight="1" s="450" thickBot="1">
      <c r="A20" s="234" t="n">
        <v>7</v>
      </c>
      <c r="B20" s="235" t="inlineStr">
        <is>
          <t>OTHER PARTS</t>
        </is>
      </c>
      <c r="C20" s="436" t="inlineStr">
        <is>
          <t>-</t>
        </is>
      </c>
      <c r="D20" s="441">
        <f>H20/$H$65</f>
        <v/>
      </c>
      <c r="E20" s="442" t="n"/>
      <c r="F20" s="436" t="n"/>
      <c r="G20" s="436" t="n"/>
      <c r="H20" s="583">
        <f>'Mould Costing'!M19:M21</f>
        <v/>
      </c>
      <c r="I20" s="311">
        <f>H20/$H$28</f>
        <v/>
      </c>
      <c r="J20" s="313" t="n"/>
    </row>
    <row r="21" ht="35.5" customHeight="1" s="450" thickBot="1">
      <c r="A21" s="234" t="n">
        <v>8</v>
      </c>
      <c r="B21" s="235" t="inlineStr">
        <is>
          <t>STANDARD ITEMS</t>
        </is>
      </c>
      <c r="C21" s="436" t="inlineStr">
        <is>
          <t>-</t>
        </is>
      </c>
      <c r="D21" s="441">
        <f>H21/$H$65</f>
        <v/>
      </c>
      <c r="E21" s="442" t="n"/>
      <c r="F21" s="436" t="n"/>
      <c r="G21" s="436" t="n"/>
      <c r="H21" s="583">
        <f>'Mould Costing'!K50</f>
        <v/>
      </c>
      <c r="I21" s="302">
        <f>H21/$H$28</f>
        <v/>
      </c>
      <c r="J21" s="285" t="n"/>
    </row>
    <row r="22" ht="35.5" customHeight="1" s="450" thickBot="1">
      <c r="A22" s="234" t="n">
        <v>9</v>
      </c>
      <c r="B22" s="235" t="inlineStr">
        <is>
          <t>TEXTURING</t>
        </is>
      </c>
      <c r="C22" s="436" t="n"/>
      <c r="D22" s="441">
        <f>H22/$H$65</f>
        <v/>
      </c>
      <c r="E22" s="442" t="n"/>
      <c r="F22" s="436" t="n"/>
      <c r="G22" s="436" t="n"/>
      <c r="H22" s="583">
        <f>'Mould Costing'!L98</f>
        <v/>
      </c>
      <c r="I22" s="302">
        <f>H22/$H$28</f>
        <v/>
      </c>
      <c r="J22" s="227" t="n"/>
    </row>
    <row r="23" ht="35.5" customHeight="1" s="450" thickBot="1">
      <c r="A23" s="234" t="n">
        <v>10</v>
      </c>
      <c r="B23" s="237" t="inlineStr">
        <is>
          <t>CLAMPING PLATE</t>
        </is>
      </c>
      <c r="C23" s="436">
        <f>'Mould Costing'!B9</f>
        <v/>
      </c>
      <c r="D23" s="441">
        <f>H23/$H$65</f>
        <v/>
      </c>
      <c r="E23" s="442" t="n"/>
      <c r="F23" s="236">
        <f>'Mould Costing'!K9+'Mould Costing'!K10</f>
        <v/>
      </c>
      <c r="G23" s="236">
        <f>'Mould Costing'!L9+'Mould Costing'!L10</f>
        <v/>
      </c>
      <c r="H23" s="584">
        <f>'Mould Costing'!M9+'Mould Costing'!M10</f>
        <v/>
      </c>
      <c r="I23" s="302">
        <f>H23/$H$28</f>
        <v/>
      </c>
      <c r="J23" s="227" t="n"/>
    </row>
    <row r="24" ht="35.5" customHeight="1" s="450" thickBot="1">
      <c r="A24" s="234" t="n">
        <v>11</v>
      </c>
      <c r="B24" s="237" t="inlineStr">
        <is>
          <t>HRS</t>
        </is>
      </c>
      <c r="C24" s="436" t="n"/>
      <c r="D24" s="441">
        <f>H24/$H$65</f>
        <v/>
      </c>
      <c r="E24" s="442" t="n"/>
      <c r="F24" s="436" t="n"/>
      <c r="G24" s="436" t="n"/>
      <c r="H24" s="583">
        <f>IF('Mould Costing'!K97,H7,0)</f>
        <v/>
      </c>
      <c r="I24" s="302">
        <f>H24/$H$28</f>
        <v/>
      </c>
      <c r="J24" s="238" t="n"/>
    </row>
    <row r="25" ht="35.5" customHeight="1" s="450" thickBot="1">
      <c r="A25" s="234" t="n">
        <v>12</v>
      </c>
      <c r="B25" s="239" t="inlineStr">
        <is>
          <t>HARDENING + POLISHING</t>
        </is>
      </c>
      <c r="C25" s="456" t="n"/>
      <c r="D25" s="441">
        <f>H25/$H$65</f>
        <v/>
      </c>
      <c r="E25" s="442" t="n"/>
      <c r="F25" s="456" t="n"/>
      <c r="G25" s="456" t="n"/>
      <c r="H25" s="583">
        <f>'Mould Costing'!K89</f>
        <v/>
      </c>
      <c r="I25" s="302">
        <f>H25/$H$28</f>
        <v/>
      </c>
      <c r="J25" s="238" t="n"/>
    </row>
    <row r="26" ht="35.5" customHeight="1" s="450" thickBot="1">
      <c r="A26" s="234" t="n"/>
      <c r="B26" s="239" t="n"/>
      <c r="C26" s="456" t="n"/>
      <c r="D26" s="441" t="n"/>
      <c r="E26" s="442" t="n"/>
      <c r="F26" s="456" t="n"/>
      <c r="G26" s="456" t="n"/>
      <c r="H26" s="583" t="n"/>
      <c r="I26" s="585" t="n"/>
      <c r="J26" s="238" t="n"/>
    </row>
    <row r="27" ht="35.5" customHeight="1" s="450" thickBot="1">
      <c r="A27" s="248" t="n"/>
      <c r="B27" s="239" t="n"/>
      <c r="C27" s="456" t="n"/>
      <c r="D27" s="473" t="n"/>
      <c r="E27" s="442" t="n"/>
      <c r="F27" s="241" t="n"/>
      <c r="G27" s="456" t="n"/>
      <c r="H27" s="586" t="n"/>
      <c r="I27" s="587" t="n"/>
      <c r="J27" s="227" t="n"/>
    </row>
    <row r="28" ht="35.5" customHeight="1" s="450" thickBot="1">
      <c r="A28" s="489" t="n"/>
      <c r="B28" s="490" t="n"/>
      <c r="C28" s="490" t="n"/>
      <c r="D28" s="490" t="n"/>
      <c r="E28" s="490" t="n"/>
      <c r="F28" s="491" t="n"/>
      <c r="G28" s="242" t="inlineStr">
        <is>
          <t>TOTAL IN Rs.</t>
        </is>
      </c>
      <c r="H28" s="588">
        <f>SUM(H14:H27)</f>
        <v/>
      </c>
      <c r="I28" s="303">
        <f>SUM(I14:I27)</f>
        <v/>
      </c>
      <c r="J28" s="243" t="inlineStr">
        <is>
          <t xml:space="preserve">         ( B )</t>
        </is>
      </c>
    </row>
    <row r="29" ht="35" customHeight="1" s="450">
      <c r="A29" s="244" t="n"/>
      <c r="B29" s="250" t="n"/>
      <c r="C29" s="250" t="n"/>
      <c r="D29" s="286" t="n"/>
      <c r="E29" s="286" t="n"/>
      <c r="F29" s="284" t="n"/>
      <c r="G29" s="287" t="n"/>
      <c r="H29" s="589" t="n"/>
      <c r="I29" s="589" t="n"/>
      <c r="J29" s="243" t="n"/>
    </row>
    <row r="30" ht="35.5" customHeight="1" s="450" thickBot="1">
      <c r="A30" s="245" t="inlineStr">
        <is>
          <t>III) PROCESS COST :</t>
        </is>
      </c>
      <c r="B30" s="288" t="n"/>
      <c r="C30" s="288" t="n"/>
      <c r="D30" s="288" t="n"/>
      <c r="E30" s="286" t="n"/>
      <c r="F30" s="286" t="n"/>
      <c r="G30" s="286" t="n"/>
      <c r="H30" s="589" t="n"/>
      <c r="I30" s="589" t="n"/>
      <c r="J30" s="227" t="n"/>
    </row>
    <row r="31" ht="35" customHeight="1" s="450">
      <c r="A31" s="486" t="inlineStr">
        <is>
          <t>S.No.</t>
        </is>
      </c>
      <c r="B31" s="446" t="inlineStr">
        <is>
          <t>OPERATION</t>
        </is>
      </c>
      <c r="C31" s="446" t="n"/>
      <c r="D31" s="447" t="n"/>
      <c r="E31" s="448" t="n"/>
      <c r="F31" s="514" t="inlineStr">
        <is>
          <t>MACHINE/ MAN HOUR RATE Rs / Hr ( 3 )</t>
        </is>
      </c>
      <c r="G31" s="445" t="inlineStr">
        <is>
          <t>CAVITY</t>
        </is>
      </c>
      <c r="H31" s="442" t="n"/>
      <c r="I31" s="304" t="n"/>
      <c r="J31" s="227" t="n"/>
    </row>
    <row r="32" ht="35" customHeight="1" s="450">
      <c r="A32" s="487" t="n"/>
      <c r="B32" s="497" t="n"/>
      <c r="C32" s="449" t="n"/>
      <c r="E32" s="451" t="n"/>
      <c r="F32" s="497" t="n"/>
      <c r="G32" s="246" t="inlineStr">
        <is>
          <t>TIME REQD.</t>
        </is>
      </c>
      <c r="H32" s="590" t="inlineStr">
        <is>
          <t>TOTAL COST</t>
        </is>
      </c>
      <c r="I32" s="591" t="n"/>
      <c r="J32" s="227" t="n"/>
    </row>
    <row r="33" ht="35.5" customHeight="1" s="450" thickBot="1">
      <c r="A33" s="488" t="n"/>
      <c r="B33" s="498" t="n"/>
      <c r="C33" s="452" t="n"/>
      <c r="D33" s="453" t="n"/>
      <c r="E33" s="454" t="n"/>
      <c r="F33" s="498" t="n"/>
      <c r="G33" s="247" t="inlineStr">
        <is>
          <t xml:space="preserve"> Hr ( 5 )</t>
        </is>
      </c>
      <c r="H33" s="592" t="inlineStr">
        <is>
          <t xml:space="preserve"> Rs ( 3X5 )</t>
        </is>
      </c>
      <c r="I33" s="593" t="n"/>
      <c r="J33" s="227" t="n"/>
    </row>
    <row r="34" ht="35" customHeight="1" s="450">
      <c r="A34" s="234" t="n">
        <v>1</v>
      </c>
      <c r="B34" s="280" t="inlineStr">
        <is>
          <t>Conv Milling - Facing</t>
        </is>
      </c>
      <c r="C34" s="438">
        <f>H34/$H$65</f>
        <v/>
      </c>
      <c r="D34" s="439" t="n"/>
      <c r="E34" s="437" t="n"/>
      <c r="F34" s="294">
        <f>'Mould Costing'!$B$81</f>
        <v/>
      </c>
      <c r="G34" s="594">
        <f>'Mould Costing'!B$80</f>
        <v/>
      </c>
      <c r="H34" s="595">
        <f>F34*G34*'Mould Costing'!$C$83</f>
        <v/>
      </c>
      <c r="I34" s="305">
        <f>H34/$H$50</f>
        <v/>
      </c>
      <c r="J34" s="227" t="n"/>
    </row>
    <row r="35" ht="35" customHeight="1" s="450">
      <c r="A35" s="289" t="n">
        <v>2</v>
      </c>
      <c r="B35" s="281" t="inlineStr">
        <is>
          <t>Conv Milling - End Milling</t>
        </is>
      </c>
      <c r="C35" s="438">
        <f>H35/$H$65</f>
        <v/>
      </c>
      <c r="D35" s="439" t="n"/>
      <c r="E35" s="437" t="n"/>
      <c r="F35" s="294">
        <f>'Mould Costing'!$C$81</f>
        <v/>
      </c>
      <c r="G35" s="594">
        <f>'Mould Costing'!C$80</f>
        <v/>
      </c>
      <c r="H35" s="595">
        <f>F35*G35*'Mould Costing'!$C$83</f>
        <v/>
      </c>
      <c r="I35" s="596">
        <f>H35/$H$50</f>
        <v/>
      </c>
      <c r="J35" s="227" t="n"/>
    </row>
    <row r="36" ht="35" customHeight="1" s="450">
      <c r="A36" s="289" t="n">
        <v>3</v>
      </c>
      <c r="B36" s="281" t="inlineStr">
        <is>
          <t>Conv Lathe - Facing / Turning</t>
        </is>
      </c>
      <c r="C36" s="438">
        <f>H36/$H$65</f>
        <v/>
      </c>
      <c r="D36" s="439" t="n"/>
      <c r="E36" s="437" t="n"/>
      <c r="F36" s="294">
        <f>'Mould Costing'!$D$81</f>
        <v/>
      </c>
      <c r="G36" s="594">
        <f>'Mould Costing'!D$80</f>
        <v/>
      </c>
      <c r="H36" s="595">
        <f>F36*G36*'Mould Costing'!$C$83</f>
        <v/>
      </c>
      <c r="I36" s="596">
        <f>H36/$H$50</f>
        <v/>
      </c>
      <c r="J36" s="512" t="n"/>
    </row>
    <row r="37" ht="35" customHeight="1" s="450">
      <c r="A37" s="289" t="n">
        <v>4</v>
      </c>
      <c r="B37" s="281" t="inlineStr">
        <is>
          <t>Surface Grinding</t>
        </is>
      </c>
      <c r="C37" s="438">
        <f>H37/$H$65</f>
        <v/>
      </c>
      <c r="D37" s="439" t="n"/>
      <c r="E37" s="437" t="n"/>
      <c r="F37" s="294">
        <f>'Mould Costing'!$E$81</f>
        <v/>
      </c>
      <c r="G37" s="594">
        <f>'Mould Costing'!E$80</f>
        <v/>
      </c>
      <c r="H37" s="595">
        <f>F37*G37*'Mould Costing'!$C$83</f>
        <v/>
      </c>
      <c r="I37" s="305">
        <f>H37/$H$50</f>
        <v/>
      </c>
      <c r="J37" s="512" t="n"/>
    </row>
    <row r="38" ht="35" customHeight="1" s="450">
      <c r="A38" s="289" t="n">
        <v>5</v>
      </c>
      <c r="B38" s="281" t="inlineStr">
        <is>
          <t>Cylindrical Grinding</t>
        </is>
      </c>
      <c r="C38" s="438">
        <f>H38/$H$65</f>
        <v/>
      </c>
      <c r="D38" s="439" t="n"/>
      <c r="E38" s="437" t="n"/>
      <c r="F38" s="294">
        <f>'Mould Costing'!$F$81</f>
        <v/>
      </c>
      <c r="G38" s="594">
        <f>'Mould Costing'!F$80</f>
        <v/>
      </c>
      <c r="H38" s="595">
        <f>F38*G38*'Mould Costing'!$C$83</f>
        <v/>
      </c>
      <c r="I38" s="306">
        <f>H38/$H$50</f>
        <v/>
      </c>
      <c r="J38" s="512" t="n"/>
    </row>
    <row r="39" ht="35" customHeight="1" s="450">
      <c r="A39" s="289" t="n">
        <v>6</v>
      </c>
      <c r="B39" s="281" t="inlineStr">
        <is>
          <t>Radial Drilling - Hole drilling</t>
        </is>
      </c>
      <c r="C39" s="438">
        <f>H39/$H$65</f>
        <v/>
      </c>
      <c r="D39" s="439" t="n"/>
      <c r="E39" s="437" t="n"/>
      <c r="F39" s="294">
        <f>'Mould Costing'!$G$81</f>
        <v/>
      </c>
      <c r="G39" s="594">
        <f>'Mould Costing'!G$80</f>
        <v/>
      </c>
      <c r="H39" s="595">
        <f>F39*G39*'Mould Costing'!$C$83</f>
        <v/>
      </c>
      <c r="I39" s="305">
        <f>H39/$H$50</f>
        <v/>
      </c>
      <c r="J39" s="512" t="n"/>
    </row>
    <row r="40" ht="70" customHeight="1" s="450">
      <c r="A40" s="289" t="n">
        <v>7</v>
      </c>
      <c r="B40" s="281" t="inlineStr">
        <is>
          <t>Radial Drilling - Reaming / Tapping</t>
        </is>
      </c>
      <c r="C40" s="438">
        <f>H40/$H$65</f>
        <v/>
      </c>
      <c r="D40" s="439" t="n"/>
      <c r="E40" s="437" t="n"/>
      <c r="F40" s="294">
        <f>'Mould Costing'!$H$81</f>
        <v/>
      </c>
      <c r="G40" s="594">
        <f>'Mould Costing'!H$80</f>
        <v/>
      </c>
      <c r="H40" s="595">
        <f>F40*G40*'Mould Costing'!$C$83</f>
        <v/>
      </c>
      <c r="I40" s="596">
        <f>H40/$H$50</f>
        <v/>
      </c>
      <c r="J40" s="512" t="n"/>
    </row>
    <row r="41" ht="35" customHeight="1" s="450">
      <c r="A41" s="234" t="n">
        <v>8</v>
      </c>
      <c r="B41" s="280" t="inlineStr">
        <is>
          <t>Pillar Drilling</t>
        </is>
      </c>
      <c r="C41" s="438">
        <f>H41/$H$65</f>
        <v/>
      </c>
      <c r="D41" s="439" t="n"/>
      <c r="E41" s="437" t="n"/>
      <c r="F41" s="294">
        <f>'Mould Costing'!$I$81</f>
        <v/>
      </c>
      <c r="G41" s="594">
        <f>'Mould Costing'!I$80</f>
        <v/>
      </c>
      <c r="H41" s="595">
        <f>F41*G41*'Mould Costing'!$C$83</f>
        <v/>
      </c>
      <c r="I41" s="306">
        <f>H41/$H$50</f>
        <v/>
      </c>
      <c r="J41" s="512" t="n"/>
    </row>
    <row r="42" ht="35" customHeight="1" s="450">
      <c r="A42" s="234" t="n">
        <v>9</v>
      </c>
      <c r="B42" s="280" t="inlineStr">
        <is>
          <t>Gun Drilling</t>
        </is>
      </c>
      <c r="C42" s="438">
        <f>H42/$H$65</f>
        <v/>
      </c>
      <c r="D42" s="439" t="n"/>
      <c r="E42" s="437" t="n"/>
      <c r="F42" s="294">
        <f>'Mould Costing'!$J$81</f>
        <v/>
      </c>
      <c r="G42" s="594">
        <f>'Mould Costing'!J$80</f>
        <v/>
      </c>
      <c r="H42" s="595">
        <f>F42*G42*'Mould Costing'!$C$83</f>
        <v/>
      </c>
      <c r="I42" s="597">
        <f>H42/$H$50</f>
        <v/>
      </c>
      <c r="J42" s="512" t="n"/>
    </row>
    <row r="43" ht="35" customHeight="1" s="450">
      <c r="A43" s="234" t="n">
        <v>10</v>
      </c>
      <c r="B43" s="280" t="inlineStr">
        <is>
          <t>NC EDM</t>
        </is>
      </c>
      <c r="C43" s="438">
        <f>H43/$H$65</f>
        <v/>
      </c>
      <c r="D43" s="439" t="n"/>
      <c r="E43" s="437" t="n"/>
      <c r="F43" s="294">
        <f>'Mould Costing'!K$81</f>
        <v/>
      </c>
      <c r="G43" s="594">
        <f>'Mould Costing'!K$80</f>
        <v/>
      </c>
      <c r="H43" s="595">
        <f>F43*G43*'Mould Costing'!$C$83</f>
        <v/>
      </c>
      <c r="I43" s="306">
        <f>H43/$H$50</f>
        <v/>
      </c>
      <c r="J43" s="512" t="n"/>
    </row>
    <row r="44" ht="35" customHeight="1" s="450">
      <c r="A44" s="234" t="n">
        <v>11</v>
      </c>
      <c r="B44" s="280" t="inlineStr">
        <is>
          <t>Wirecut EDM</t>
        </is>
      </c>
      <c r="C44" s="438">
        <f>H44/$H$65</f>
        <v/>
      </c>
      <c r="D44" s="439" t="n"/>
      <c r="E44" s="437" t="n"/>
      <c r="F44" s="294">
        <f>'Mould Costing'!$L$81</f>
        <v/>
      </c>
      <c r="G44" s="594">
        <f>'Mould Costing'!L$80</f>
        <v/>
      </c>
      <c r="H44" s="595">
        <f>F44*G44*'Mould Costing'!$C$83</f>
        <v/>
      </c>
      <c r="I44" s="306">
        <f>H44/$H$50</f>
        <v/>
      </c>
      <c r="J44" s="512" t="n"/>
    </row>
    <row r="45" ht="35" customHeight="1" s="450">
      <c r="A45" s="289" t="n">
        <v>12</v>
      </c>
      <c r="B45" s="281" t="inlineStr">
        <is>
          <t>Jig Boring</t>
        </is>
      </c>
      <c r="C45" s="438">
        <f>H45/$H$65</f>
        <v/>
      </c>
      <c r="D45" s="439" t="n"/>
      <c r="E45" s="437" t="n"/>
      <c r="F45" s="294">
        <f>'Mould Costing'!$M$81</f>
        <v/>
      </c>
      <c r="G45" s="594">
        <f>'Mould Costing'!M$80</f>
        <v/>
      </c>
      <c r="H45" s="595">
        <f>F45*G45*'Mould Costing'!$C$83</f>
        <v/>
      </c>
      <c r="I45" s="306">
        <f>H45/$H$50</f>
        <v/>
      </c>
      <c r="J45" s="512" t="n"/>
    </row>
    <row r="46" ht="35" customHeight="1" s="450">
      <c r="A46" s="289" t="n">
        <v>13</v>
      </c>
      <c r="B46" s="281" t="inlineStr">
        <is>
          <t>CNC Lathe</t>
        </is>
      </c>
      <c r="C46" s="438">
        <f>H46/$H$65</f>
        <v/>
      </c>
      <c r="D46" s="439" t="n"/>
      <c r="E46" s="437" t="n"/>
      <c r="F46" s="294">
        <f>'Mould Costing'!$N$81</f>
        <v/>
      </c>
      <c r="G46" s="594">
        <f>'Mould Costing'!N$80</f>
        <v/>
      </c>
      <c r="H46" s="595">
        <f>F46*G46*'Mould Costing'!$C$83</f>
        <v/>
      </c>
      <c r="I46" s="305">
        <f>H46/$H$50</f>
        <v/>
      </c>
      <c r="J46" s="512" t="n"/>
    </row>
    <row r="47" ht="35" customHeight="1" s="450">
      <c r="A47" s="289" t="n">
        <v>14</v>
      </c>
      <c r="B47" s="281" t="inlineStr">
        <is>
          <t>CNC Milling</t>
        </is>
      </c>
      <c r="C47" s="438">
        <f>H47/$H$65</f>
        <v/>
      </c>
      <c r="D47" s="439" t="n"/>
      <c r="E47" s="437" t="n"/>
      <c r="F47" s="294">
        <f>'Mould Costing'!$O$81</f>
        <v/>
      </c>
      <c r="G47" s="594">
        <f>'Mould Costing'!O$80</f>
        <v/>
      </c>
      <c r="H47" s="595">
        <f>F47*G47*'Mould Costing'!$C$83</f>
        <v/>
      </c>
      <c r="I47" s="305">
        <f>H47/$H$50</f>
        <v/>
      </c>
      <c r="J47" s="512" t="n"/>
    </row>
    <row r="48" ht="35" customHeight="1" s="450">
      <c r="A48" s="289" t="n">
        <v>15</v>
      </c>
      <c r="B48" s="281" t="inlineStr">
        <is>
          <t>CNC EDM</t>
        </is>
      </c>
      <c r="C48" s="438">
        <f>H48/$H$65</f>
        <v/>
      </c>
      <c r="D48" s="439" t="n"/>
      <c r="E48" s="437" t="n"/>
      <c r="F48" s="294">
        <f>'Mould Costing'!$P$81</f>
        <v/>
      </c>
      <c r="G48" s="594">
        <f>'Mould Costing'!P$80</f>
        <v/>
      </c>
      <c r="H48" s="595">
        <f>F48*G48*'Mould Costing'!$C$83</f>
        <v/>
      </c>
      <c r="I48" s="305">
        <f>H48/$H$50</f>
        <v/>
      </c>
      <c r="J48" s="512" t="n"/>
    </row>
    <row r="49" ht="35.5" customHeight="1" s="450" thickBot="1">
      <c r="A49" s="289" t="n">
        <v>16</v>
      </c>
      <c r="B49" s="281" t="inlineStr">
        <is>
          <t>Bench Work</t>
        </is>
      </c>
      <c r="C49" s="438">
        <f>H49/$H$65</f>
        <v/>
      </c>
      <c r="D49" s="439" t="n"/>
      <c r="E49" s="437" t="n"/>
      <c r="F49" s="294">
        <f>'Mould Costing'!$Q$81</f>
        <v/>
      </c>
      <c r="G49" s="594">
        <f>'Mould Costing'!Q$80</f>
        <v/>
      </c>
      <c r="H49" s="595">
        <f>F49*G49*'Mould Costing'!$C$83</f>
        <v/>
      </c>
      <c r="I49" s="306">
        <f>H49/$H$50</f>
        <v/>
      </c>
      <c r="J49" s="512" t="n"/>
    </row>
    <row r="50" ht="35.5" customHeight="1" s="450" thickBot="1">
      <c r="A50" s="443" t="inlineStr">
        <is>
          <t>TOTAL IN Rs.</t>
        </is>
      </c>
      <c r="B50" s="444" t="n"/>
      <c r="C50" s="444" t="n"/>
      <c r="D50" s="444" t="n"/>
      <c r="E50" s="335" t="n"/>
      <c r="F50" s="598" t="n"/>
      <c r="G50" s="598">
        <f>SUM(G34:G49)</f>
        <v/>
      </c>
      <c r="H50" s="599">
        <f>SUM(H34:H49)</f>
        <v/>
      </c>
      <c r="I50" s="600" t="n"/>
      <c r="J50" s="227" t="n"/>
    </row>
    <row r="51" ht="35" customHeight="1" s="450">
      <c r="A51" s="244" t="n"/>
      <c r="B51" s="250" t="n"/>
      <c r="C51" s="250" t="n"/>
      <c r="D51" s="286" t="n"/>
      <c r="E51" s="286" t="n"/>
      <c r="F51" s="286" t="n"/>
      <c r="G51" s="286" t="n"/>
      <c r="H51" s="589" t="n"/>
      <c r="I51" s="589" t="n"/>
      <c r="J51" s="227" t="n"/>
    </row>
    <row r="52" ht="35" customHeight="1" s="450">
      <c r="A52" s="245" t="inlineStr">
        <is>
          <t xml:space="preserve">TOTAL PROCESS COST :-                                                            </t>
        </is>
      </c>
      <c r="B52" s="290" t="n"/>
      <c r="C52" s="290" t="n"/>
      <c r="D52" s="251" t="n"/>
      <c r="E52" s="251" t="n"/>
      <c r="F52" s="287" t="n"/>
      <c r="G52" s="251" t="n"/>
      <c r="H52" s="601">
        <f>H50</f>
        <v/>
      </c>
      <c r="I52" s="601" t="n"/>
      <c r="J52" s="243" t="inlineStr">
        <is>
          <t xml:space="preserve">         ( C )</t>
        </is>
      </c>
    </row>
    <row r="53" ht="35" customHeight="1" s="450">
      <c r="A53" s="228" t="n"/>
      <c r="B53" s="290" t="n"/>
      <c r="C53" s="290" t="n"/>
      <c r="D53" s="287" t="n"/>
      <c r="E53" s="287" t="n"/>
      <c r="F53" s="287" t="n"/>
      <c r="G53" s="287" t="n"/>
      <c r="H53" s="601" t="n"/>
      <c r="I53" s="601" t="n"/>
      <c r="J53" s="227" t="n"/>
    </row>
    <row r="54" ht="35" customHeight="1" s="450">
      <c r="A54" s="245" t="inlineStr">
        <is>
          <t>IV) PROFIT &amp; OVERHEADS COST :</t>
        </is>
      </c>
      <c r="B54" s="288" t="n"/>
      <c r="C54" s="288" t="n"/>
      <c r="D54" s="286" t="n"/>
      <c r="E54" s="286" t="n"/>
      <c r="F54" s="286" t="n"/>
      <c r="G54" s="286" t="n"/>
      <c r="H54" s="589" t="n"/>
      <c r="I54" s="589" t="n"/>
      <c r="J54" s="227" t="n"/>
    </row>
    <row r="55" ht="35.5" customHeight="1" s="450" thickBot="1">
      <c r="A55" s="228" t="n"/>
      <c r="B55" s="250" t="n"/>
      <c r="C55" s="250" t="n"/>
      <c r="D55" s="286" t="n"/>
      <c r="E55" s="286" t="n"/>
      <c r="F55" s="286" t="n"/>
      <c r="G55" s="286" t="n"/>
      <c r="H55" s="589" t="n"/>
      <c r="I55" s="589" t="n"/>
      <c r="J55" s="227" t="n"/>
    </row>
    <row r="56" ht="35.5" customHeight="1" s="450" thickBot="1">
      <c r="A56" s="494" t="n"/>
      <c r="B56" s="495" t="n"/>
      <c r="C56" s="496" t="inlineStr">
        <is>
          <t>REMARKS</t>
        </is>
      </c>
      <c r="D56" s="485" t="n"/>
      <c r="E56" s="504" t="inlineStr">
        <is>
          <t xml:space="preserve">       %AGE RATE </t>
        </is>
      </c>
      <c r="F56" s="490" t="n"/>
      <c r="G56" s="505" t="inlineStr">
        <is>
          <t xml:space="preserve">TOTAL COST </t>
        </is>
      </c>
      <c r="H56" s="485" t="n"/>
      <c r="I56" s="244" t="n"/>
      <c r="J56" s="227" t="n"/>
    </row>
    <row r="57" ht="35" customHeight="1" s="450">
      <c r="A57" s="465" t="inlineStr">
        <is>
          <t>Material Movement &amp; Mold Forwarding</t>
        </is>
      </c>
      <c r="B57" s="454" t="n"/>
      <c r="C57" s="465" t="n"/>
      <c r="D57" s="454" t="n"/>
      <c r="E57" s="503" t="n"/>
      <c r="F57" s="454" t="n"/>
      <c r="G57" s="602">
        <f>'Mould Costing'!L96</f>
        <v/>
      </c>
      <c r="H57" s="454" t="n"/>
      <c r="I57" s="603" t="n"/>
      <c r="J57" s="227" t="n"/>
    </row>
    <row r="58" ht="35" customHeight="1" s="450">
      <c r="A58" s="436" t="inlineStr">
        <is>
          <t>SERVICE CHARGE</t>
        </is>
      </c>
      <c r="B58" s="437" t="n"/>
      <c r="C58" s="436" t="n"/>
      <c r="D58" s="437" t="n"/>
      <c r="E58" s="468" t="n"/>
      <c r="F58" s="437" t="n"/>
      <c r="G58" s="604">
        <f>'Mould Costing'!L99</f>
        <v/>
      </c>
      <c r="H58" s="437" t="n"/>
      <c r="I58" s="603" t="n"/>
      <c r="J58" s="227" t="n"/>
    </row>
    <row r="59" ht="35" customHeight="1" s="450">
      <c r="A59" s="436" t="inlineStr">
        <is>
          <t>PROFIT &amp; OVERHEADS</t>
        </is>
      </c>
      <c r="B59" s="437" t="n"/>
      <c r="C59" s="436" t="n"/>
      <c r="D59" s="437" t="n"/>
      <c r="E59" s="468" t="n"/>
      <c r="F59" s="437" t="n"/>
      <c r="G59" s="605">
        <f>'Mould Costing'!L95</f>
        <v/>
      </c>
      <c r="H59" s="437" t="n"/>
      <c r="I59" s="606" t="n"/>
      <c r="J59" s="227" t="n"/>
    </row>
    <row r="60" ht="35.5" customHeight="1" s="450" thickBot="1">
      <c r="A60" s="466" t="n"/>
      <c r="B60" s="240" t="n"/>
      <c r="C60" s="240" t="n"/>
      <c r="D60" s="456" t="n"/>
      <c r="E60" s="456" t="n"/>
      <c r="F60" s="457" t="n"/>
      <c r="G60" s="466" t="n"/>
      <c r="H60" s="457" t="n"/>
      <c r="I60" s="299" t="n"/>
      <c r="J60" s="238" t="n"/>
    </row>
    <row r="61" ht="35.5" customHeight="1" s="450" thickBot="1">
      <c r="A61" s="334" t="n"/>
      <c r="B61" s="293" t="n"/>
      <c r="C61" s="293" t="n"/>
      <c r="D61" s="504" t="n"/>
      <c r="E61" s="502" t="inlineStr">
        <is>
          <t>TOTAL IN Rs.</t>
        </is>
      </c>
      <c r="F61" s="485" t="n"/>
      <c r="G61" s="607">
        <f>+G57+G58+G59</f>
        <v/>
      </c>
      <c r="H61" s="485" t="n"/>
      <c r="I61" s="608" t="n"/>
      <c r="J61" s="243" t="inlineStr">
        <is>
          <t xml:space="preserve">         ( D )</t>
        </is>
      </c>
    </row>
    <row r="62" ht="35.5" customHeight="1" s="450" thickBot="1">
      <c r="A62" s="244" t="n"/>
      <c r="B62" s="250" t="n"/>
      <c r="C62" s="250" t="n"/>
      <c r="D62" s="284" t="n"/>
      <c r="E62" s="286" t="n"/>
      <c r="F62" s="286" t="n"/>
      <c r="G62" s="286" t="n"/>
      <c r="H62" s="589" t="n"/>
      <c r="I62" s="589" t="n"/>
      <c r="J62" s="227" t="n"/>
    </row>
    <row r="63" ht="35.5" customHeight="1" s="450" thickBot="1">
      <c r="A63" s="245" t="inlineStr">
        <is>
          <t xml:space="preserve">V) OTHER EXPENSES :   Rs.                            </t>
        </is>
      </c>
      <c r="B63" s="283" t="n"/>
      <c r="C63" s="283" t="n"/>
      <c r="D63" s="284" t="n"/>
      <c r="E63" s="291" t="n"/>
      <c r="F63" s="286" t="n"/>
      <c r="G63" s="286" t="n"/>
      <c r="H63" s="609" t="n">
        <v>0</v>
      </c>
      <c r="I63" s="601" t="n"/>
      <c r="J63" s="243" t="inlineStr">
        <is>
          <t xml:space="preserve">         ( E )</t>
        </is>
      </c>
    </row>
    <row r="64" ht="35.5" customHeight="1" s="450" thickBot="1">
      <c r="A64" s="228" t="n"/>
      <c r="B64" s="250" t="n"/>
      <c r="C64" s="250" t="n"/>
      <c r="D64" s="286" t="n"/>
      <c r="E64" s="292" t="n"/>
      <c r="F64" s="286" t="n"/>
      <c r="G64" s="286" t="n"/>
      <c r="H64" s="589" t="n"/>
      <c r="I64" s="589" t="n"/>
      <c r="J64" s="227" t="n"/>
    </row>
    <row r="65" ht="40.5" customHeight="1" s="450">
      <c r="A65" s="492" t="inlineStr">
        <is>
          <t>OVERALL  COST : ( A+B+C+D+E )    -  Rs</t>
        </is>
      </c>
      <c r="B65" s="447" t="n"/>
      <c r="C65" s="447" t="n"/>
      <c r="D65" s="610" t="n"/>
      <c r="E65" s="447" t="n"/>
      <c r="F65" s="447" t="n"/>
      <c r="G65" s="482" t="n"/>
      <c r="H65" s="611">
        <f>C9+H28+H52+G61+H63+F9</f>
        <v/>
      </c>
      <c r="I65" s="612" t="n"/>
      <c r="J65" s="613" t="n"/>
    </row>
    <row r="66" ht="41" customHeight="1" s="450" thickBot="1">
      <c r="A66" s="483" t="n"/>
      <c r="B66" s="444" t="n"/>
      <c r="C66" s="444" t="n"/>
      <c r="D66" s="483" t="n"/>
      <c r="E66" s="444" t="n"/>
      <c r="F66" s="444" t="n"/>
      <c r="G66" s="462" t="n"/>
      <c r="H66" s="462" t="n"/>
      <c r="I66" s="612" t="n"/>
      <c r="J66" s="470" t="n"/>
    </row>
    <row r="67" ht="35" customHeight="1" s="450">
      <c r="A67" s="244" t="n"/>
      <c r="B67" s="250" t="n"/>
      <c r="C67" s="250" t="n"/>
      <c r="D67" s="286" t="n"/>
      <c r="E67" s="286" t="n"/>
      <c r="F67" s="286" t="n"/>
      <c r="G67" s="286" t="n"/>
      <c r="H67" s="589" t="n"/>
      <c r="I67" s="589" t="n"/>
      <c r="J67" s="227" t="n"/>
    </row>
    <row r="68" ht="35" customHeight="1" s="450">
      <c r="A68" s="474" t="inlineStr">
        <is>
          <t xml:space="preserve">( PREPARED BY )  </t>
        </is>
      </c>
      <c r="B68" s="475" t="n"/>
      <c r="C68" s="475" t="n"/>
      <c r="D68" s="476" t="n"/>
      <c r="E68" s="287" t="n"/>
      <c r="F68" s="458" t="inlineStr">
        <is>
          <t xml:space="preserve">( APPROVED BY )  </t>
        </is>
      </c>
      <c r="G68" s="459" t="n"/>
      <c r="H68" s="459" t="n"/>
      <c r="I68" s="459" t="n"/>
      <c r="J68" s="460" t="n"/>
    </row>
    <row r="69" ht="35.5" customHeight="1" s="450" thickBot="1">
      <c r="A69" s="477" t="n"/>
      <c r="B69" s="478" t="n"/>
      <c r="C69" s="478" t="n"/>
      <c r="D69" s="479" t="n"/>
      <c r="E69" s="253" t="n"/>
      <c r="F69" s="461" t="n"/>
      <c r="G69" s="444" t="n"/>
      <c r="H69" s="444" t="n"/>
      <c r="I69" s="444" t="n"/>
      <c r="J69" s="462" t="n"/>
    </row>
  </sheetData>
  <mergeCells count="77">
    <mergeCell ref="D20:E20"/>
    <mergeCell ref="A1:J2"/>
    <mergeCell ref="C44:E44"/>
    <mergeCell ref="F5:H5"/>
    <mergeCell ref="B12:B13"/>
    <mergeCell ref="D12:E13"/>
    <mergeCell ref="C40:E40"/>
    <mergeCell ref="D22:E22"/>
    <mergeCell ref="G57:H57"/>
    <mergeCell ref="A56:B56"/>
    <mergeCell ref="C56:D56"/>
    <mergeCell ref="B31:B33"/>
    <mergeCell ref="H65:H66"/>
    <mergeCell ref="C49:E49"/>
    <mergeCell ref="G58:H58"/>
    <mergeCell ref="C34:E34"/>
    <mergeCell ref="A68:D69"/>
    <mergeCell ref="C42:E42"/>
    <mergeCell ref="D24:E24"/>
    <mergeCell ref="A9:B9"/>
    <mergeCell ref="D26:E26"/>
    <mergeCell ref="A3:B4"/>
    <mergeCell ref="G59:H59"/>
    <mergeCell ref="J4:J8"/>
    <mergeCell ref="A59:B59"/>
    <mergeCell ref="D65:G66"/>
    <mergeCell ref="D19:E19"/>
    <mergeCell ref="G61:H61"/>
    <mergeCell ref="C46:E46"/>
    <mergeCell ref="C39:E39"/>
    <mergeCell ref="D3:D4"/>
    <mergeCell ref="C48:E48"/>
    <mergeCell ref="A31:A33"/>
    <mergeCell ref="C38:E38"/>
    <mergeCell ref="A28:F28"/>
    <mergeCell ref="A65:C66"/>
    <mergeCell ref="F68:J69"/>
    <mergeCell ref="D15:E15"/>
    <mergeCell ref="C3:C4"/>
    <mergeCell ref="C57:D57"/>
    <mergeCell ref="D23:E23"/>
    <mergeCell ref="C35:E35"/>
    <mergeCell ref="G60:H60"/>
    <mergeCell ref="G9:H9"/>
    <mergeCell ref="E58:F58"/>
    <mergeCell ref="C58:D58"/>
    <mergeCell ref="J65:J66"/>
    <mergeCell ref="C36:E36"/>
    <mergeCell ref="A12:A13"/>
    <mergeCell ref="C12:C13"/>
    <mergeCell ref="D27:E27"/>
    <mergeCell ref="D17:E17"/>
    <mergeCell ref="C59:D59"/>
    <mergeCell ref="E59:F59"/>
    <mergeCell ref="C37:E37"/>
    <mergeCell ref="A57:B57"/>
    <mergeCell ref="E61:F61"/>
    <mergeCell ref="D25:E25"/>
    <mergeCell ref="E57:F57"/>
    <mergeCell ref="D14:E14"/>
    <mergeCell ref="E56:F56"/>
    <mergeCell ref="G56:H56"/>
    <mergeCell ref="F31:F33"/>
    <mergeCell ref="C41:E41"/>
    <mergeCell ref="C31:E33"/>
    <mergeCell ref="C43:E43"/>
    <mergeCell ref="D21:E21"/>
    <mergeCell ref="C9:D9"/>
    <mergeCell ref="E60:F60"/>
    <mergeCell ref="D16:E16"/>
    <mergeCell ref="F4:H4"/>
    <mergeCell ref="D18:E18"/>
    <mergeCell ref="A50:D50"/>
    <mergeCell ref="C45:E45"/>
    <mergeCell ref="G31:H31"/>
    <mergeCell ref="A58:B58"/>
    <mergeCell ref="C47:E47"/>
  </mergeCells>
  <pageMargins left="0.25" right="0.25" top="0.75" bottom="0.75" header="0.3" footer="0.3"/>
  <pageSetup orientation="portrait" paperSize="9" scale="2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L34"/>
  <sheetViews>
    <sheetView workbookViewId="0">
      <selection activeCell="N3" sqref="N3:O11"/>
    </sheetView>
  </sheetViews>
  <sheetFormatPr baseColWidth="8" defaultRowHeight="14.5"/>
  <cols>
    <col width="32" customWidth="1" style="450" min="2" max="2"/>
    <col width="10.26953125" bestFit="1" customWidth="1" style="450" min="3" max="3"/>
    <col width="22.7265625" customWidth="1" style="450" min="11" max="11"/>
  </cols>
  <sheetData>
    <row r="1">
      <c r="C1" s="515" t="inlineStr">
        <is>
          <t>Part D. No.</t>
        </is>
      </c>
    </row>
    <row r="2">
      <c r="A2" s="317" t="n"/>
      <c r="B2" s="321" t="inlineStr">
        <is>
          <t>Cost Component</t>
        </is>
      </c>
      <c r="C2" s="321" t="inlineStr">
        <is>
          <t>1</t>
        </is>
      </c>
      <c r="D2" s="321" t="inlineStr">
        <is>
          <t>2</t>
        </is>
      </c>
      <c r="E2" s="321" t="inlineStr">
        <is>
          <t>3</t>
        </is>
      </c>
      <c r="F2" s="321" t="inlineStr">
        <is>
          <t>4</t>
        </is>
      </c>
      <c r="G2" s="321" t="inlineStr">
        <is>
          <t>5</t>
        </is>
      </c>
      <c r="H2" s="321" t="inlineStr">
        <is>
          <t>6</t>
        </is>
      </c>
      <c r="I2" s="321" t="inlineStr">
        <is>
          <t>7</t>
        </is>
      </c>
      <c r="J2" s="321" t="inlineStr">
        <is>
          <t>8</t>
        </is>
      </c>
      <c r="K2" s="323" t="inlineStr">
        <is>
          <t>Average contribution</t>
        </is>
      </c>
    </row>
    <row r="3">
      <c r="B3" s="324" t="inlineStr">
        <is>
          <t xml:space="preserve">CORE </t>
        </is>
      </c>
      <c r="C3" s="325" t="n">
        <v>0.08520767113650109</v>
      </c>
      <c r="D3" s="325" t="n">
        <v>0.08781798983760145</v>
      </c>
      <c r="E3" s="325" t="n">
        <v>0.07306910145947887</v>
      </c>
      <c r="F3" s="325" t="n">
        <v>0.04254390470580331</v>
      </c>
      <c r="G3" s="325" t="n">
        <v>0.04455647308434803</v>
      </c>
      <c r="H3" s="325" t="n">
        <v>0.02898961046367762</v>
      </c>
      <c r="I3" s="325" t="n">
        <v>0.05502300101554636</v>
      </c>
      <c r="J3" s="325">
        <f>DASHBOARD!$D15</f>
        <v/>
      </c>
      <c r="K3" s="326">
        <f>AVERAGE(C3:J3)</f>
        <v/>
      </c>
    </row>
    <row r="4">
      <c r="B4" s="324" t="inlineStr">
        <is>
          <t>CAVITY</t>
        </is>
      </c>
      <c r="C4" s="325" t="n">
        <v>0.08206721782594839</v>
      </c>
      <c r="D4" s="325" t="n">
        <v>0.08371250700843305</v>
      </c>
      <c r="E4" s="325" t="n">
        <v>0.07106097701899917</v>
      </c>
      <c r="F4" s="325" t="n">
        <v>0.04157119967342349</v>
      </c>
      <c r="G4" s="325" t="n">
        <v>0.04337429767167109</v>
      </c>
      <c r="H4" s="325" t="n">
        <v>0.02824512529904441</v>
      </c>
      <c r="I4" s="325" t="n">
        <v>0.05345360881044475</v>
      </c>
      <c r="J4" s="325">
        <f>DASHBOARD!$D16</f>
        <v/>
      </c>
      <c r="K4" s="326">
        <f>AVERAGE(C4:J4)</f>
        <v/>
      </c>
    </row>
    <row r="5">
      <c r="B5" s="324" t="inlineStr">
        <is>
          <t>MOULD BASE</t>
        </is>
      </c>
      <c r="C5" s="325" t="n">
        <v>0.06480510607551018</v>
      </c>
      <c r="D5" s="325" t="n">
        <v>0.06649503261647234</v>
      </c>
      <c r="E5" s="325" t="n">
        <v>0.05580591114080724</v>
      </c>
      <c r="F5" s="325" t="n">
        <v>0.0325593542458926</v>
      </c>
      <c r="G5" s="325" t="n">
        <v>0.03404402836674388</v>
      </c>
      <c r="H5" s="325" t="n">
        <v>0.02215832461206797</v>
      </c>
      <c r="I5" s="325" t="n">
        <v>0.04200390124293909</v>
      </c>
      <c r="J5" s="325">
        <f>DASHBOARD!$D14</f>
        <v/>
      </c>
      <c r="K5" s="326">
        <f>AVERAGE(C5:J5)</f>
        <v/>
      </c>
    </row>
    <row r="6">
      <c r="B6" s="324" t="inlineStr">
        <is>
          <t>HRS</t>
        </is>
      </c>
      <c r="C6" s="325" t="n">
        <v>0</v>
      </c>
      <c r="D6" s="325" t="n">
        <v>0.0622815800966692</v>
      </c>
      <c r="E6" s="325" t="n">
        <v>0</v>
      </c>
      <c r="F6" s="325" t="n">
        <v>0</v>
      </c>
      <c r="G6" s="325" t="n">
        <v>0.08587609051547263</v>
      </c>
      <c r="H6" s="325" t="n">
        <v>0.08396359696138533</v>
      </c>
      <c r="I6" s="325" t="n">
        <v>0</v>
      </c>
      <c r="J6" s="325">
        <f>DASHBOARD!$D24</f>
        <v/>
      </c>
      <c r="K6" s="326">
        <f>AVERAGE(C6:J6)</f>
        <v/>
      </c>
    </row>
    <row r="7">
      <c r="B7" s="324" t="inlineStr">
        <is>
          <t>SPACER BLOCK</t>
        </is>
      </c>
      <c r="C7" s="325" t="n">
        <v>0.0388341779753324</v>
      </c>
      <c r="D7" s="325" t="n">
        <v>0.04023833358986414</v>
      </c>
      <c r="E7" s="325" t="n">
        <v>0.03446340675975635</v>
      </c>
      <c r="F7" s="325" t="n">
        <v>0.01967361517090311</v>
      </c>
      <c r="G7" s="325" t="n">
        <v>0.01905817325436259</v>
      </c>
      <c r="H7" s="325" t="n">
        <v>0.01233361867970357</v>
      </c>
      <c r="I7" s="325" t="n">
        <v>0.01939032929849815</v>
      </c>
      <c r="J7" s="325">
        <f>DASHBOARD!$D18</f>
        <v/>
      </c>
      <c r="K7" s="326">
        <f>AVERAGE(C7:J7)</f>
        <v/>
      </c>
    </row>
    <row r="8">
      <c r="B8" s="324" t="inlineStr">
        <is>
          <t>EJECTOR PLATE</t>
        </is>
      </c>
      <c r="C8" s="325" t="n">
        <v>0.01231560577539431</v>
      </c>
      <c r="D8" s="325" t="n">
        <v>0.01704179276251119</v>
      </c>
      <c r="E8" s="325" t="n">
        <v>0.002151912581086839</v>
      </c>
      <c r="F8" s="325" t="n">
        <v>0.0004779437643632796</v>
      </c>
      <c r="G8" s="325" t="n">
        <v>0.02368024080182317</v>
      </c>
      <c r="H8" s="325" t="n">
        <v>0.01799242766156354</v>
      </c>
      <c r="I8" s="325" t="n">
        <v>0.04940801368964202</v>
      </c>
      <c r="J8" s="325">
        <f>DASHBOARD!$D19</f>
        <v/>
      </c>
      <c r="K8" s="326">
        <f>AVERAGE(C8:J8)</f>
        <v/>
      </c>
    </row>
    <row r="9">
      <c r="B9" s="324" t="inlineStr">
        <is>
          <t>CLAMPING PLATE</t>
        </is>
      </c>
      <c r="C9" s="325" t="n">
        <v>0.01922192181422332</v>
      </c>
      <c r="D9" s="325" t="n">
        <v>0.009914728889692385</v>
      </c>
      <c r="E9" s="325" t="n">
        <v>0.02377379827016746</v>
      </c>
      <c r="F9" s="325" t="n">
        <v>0.01848379096984729</v>
      </c>
      <c r="G9" s="325" t="n">
        <v>0.01311518591249983</v>
      </c>
      <c r="H9" s="325" t="n">
        <v>0.01098391217282513</v>
      </c>
      <c r="I9" s="325" t="n">
        <v>0.01825656958870563</v>
      </c>
      <c r="J9" s="325">
        <f>DASHBOARD!$D23</f>
        <v/>
      </c>
      <c r="K9" s="326">
        <f>AVERAGE(C9:J9)</f>
        <v/>
      </c>
    </row>
    <row r="10">
      <c r="B10" s="324" t="inlineStr">
        <is>
          <t>STANDARD ITEMS</t>
        </is>
      </c>
      <c r="C10" s="325" t="n">
        <v>0.01161452030926423</v>
      </c>
      <c r="D10" s="325" t="n">
        <v>0.001899902746383242</v>
      </c>
      <c r="E10" s="325" t="n">
        <v>0.01805608764145701</v>
      </c>
      <c r="F10" s="325" t="n">
        <v>0.02565176706676707</v>
      </c>
      <c r="G10" s="325" t="n">
        <v>0.01080607472319697</v>
      </c>
      <c r="H10" s="325" t="n">
        <v>0.01056541928430765</v>
      </c>
      <c r="I10" s="325" t="n">
        <v>0.00857728608510174</v>
      </c>
      <c r="J10" s="325">
        <f>DASHBOARD!$D21</f>
        <v/>
      </c>
      <c r="K10" s="326">
        <f>AVERAGE(C10:J10)</f>
        <v/>
      </c>
    </row>
    <row r="11">
      <c r="B11" s="324" t="inlineStr">
        <is>
          <t>TEXTURING</t>
        </is>
      </c>
      <c r="C11" s="325" t="n">
        <v>0.009230082364978194</v>
      </c>
      <c r="D11" s="325" t="n">
        <v>0.001509856487191981</v>
      </c>
      <c r="E11" s="325" t="n">
        <v>0.02049886960241098</v>
      </c>
      <c r="F11" s="325" t="n">
        <v>0.02038551025173542</v>
      </c>
      <c r="G11" s="325" t="n">
        <v>0.008587609051547263</v>
      </c>
      <c r="H11" s="325" t="n">
        <v>0.008396359696138533</v>
      </c>
      <c r="I11" s="325" t="n">
        <v>0.006816386292796085</v>
      </c>
      <c r="J11" s="325">
        <f>DASHBOARD!$D22</f>
        <v/>
      </c>
      <c r="K11" s="326">
        <f>AVERAGE(C11:J11)</f>
        <v/>
      </c>
    </row>
    <row r="12">
      <c r="B12" s="324" t="inlineStr">
        <is>
          <t>HARDENING + POLISHING</t>
        </is>
      </c>
      <c r="C12" s="325" t="n">
        <v>0.006553358479134517</v>
      </c>
      <c r="D12" s="325" t="n">
        <v>0.001977916969231335</v>
      </c>
      <c r="E12" s="325" t="n">
        <v>0.01018793819239826</v>
      </c>
      <c r="F12" s="325" t="n">
        <v>0.01447371227873215</v>
      </c>
      <c r="G12" s="325" t="n">
        <v>0.008777795620293563</v>
      </c>
      <c r="H12" s="325" t="n">
        <v>0.01099925884588448</v>
      </c>
      <c r="I12" s="325" t="n">
        <v>0.006967346252954336</v>
      </c>
      <c r="J12" s="325">
        <f>DASHBOARD!$D25</f>
        <v/>
      </c>
      <c r="K12" s="326">
        <f>AVERAGE(C12:J12)</f>
        <v/>
      </c>
    </row>
    <row r="13">
      <c r="B13" s="324" t="inlineStr">
        <is>
          <t>ELECTRODES</t>
        </is>
      </c>
      <c r="C13" s="325" t="n">
        <v>0.005603287641142581</v>
      </c>
      <c r="D13" s="325" t="n">
        <v>0.007138814361208378</v>
      </c>
      <c r="E13" s="325" t="n">
        <v>0.003588972838294519</v>
      </c>
      <c r="F13" s="325" t="n">
        <v>0.001235453656051299</v>
      </c>
      <c r="G13" s="325" t="n">
        <v>0.005952630028215757</v>
      </c>
      <c r="H13" s="325" t="n">
        <v>0.003260883719739702</v>
      </c>
      <c r="I13" s="325" t="n">
        <v>0.009087606205555741</v>
      </c>
      <c r="J13" s="325">
        <f>DASHBOARD!$D17</f>
        <v/>
      </c>
      <c r="K13" s="326">
        <f>AVERAGE(C13:J13)</f>
        <v/>
      </c>
    </row>
    <row r="14">
      <c r="B14" s="324" t="inlineStr">
        <is>
          <t>OTHER PARTS</t>
        </is>
      </c>
      <c r="C14" s="325" t="n">
        <v>0.006827072414245008</v>
      </c>
      <c r="D14" s="325" t="n">
        <v>0.008924962672105224</v>
      </c>
      <c r="E14" s="325" t="n">
        <v>0.004365487914086304</v>
      </c>
      <c r="F14" s="325" t="n">
        <v>0.002114576157347418</v>
      </c>
      <c r="G14" s="325" t="n">
        <v>0.002569946549297682</v>
      </c>
      <c r="H14" s="325" t="n">
        <v>0.0016184460100722</v>
      </c>
      <c r="I14" s="325" t="n">
        <v>0.00341172218500349</v>
      </c>
      <c r="J14" s="325">
        <f>DASHBOARD!$D20</f>
        <v/>
      </c>
      <c r="K14" s="326">
        <f>AVERAGE(C14:J14)</f>
        <v/>
      </c>
    </row>
    <row r="15">
      <c r="B15" s="327" t="inlineStr">
        <is>
          <t>Surface Grinding</t>
        </is>
      </c>
      <c r="C15" s="328" t="n">
        <v>0.1030692530755898</v>
      </c>
      <c r="D15" s="328" t="n">
        <v>0.1020298718283065</v>
      </c>
      <c r="E15" s="328" t="n">
        <v>0.08609525233012613</v>
      </c>
      <c r="F15" s="328" t="n">
        <v>0.09598177743525427</v>
      </c>
      <c r="G15" s="328" t="n">
        <v>0.1092073164027133</v>
      </c>
      <c r="H15" s="328" t="n">
        <v>0.1168348504169655</v>
      </c>
      <c r="I15" s="328" t="n">
        <v>0.1463796924036181</v>
      </c>
      <c r="J15" s="328">
        <f>DASHBOARD!$C37</f>
        <v/>
      </c>
      <c r="K15" s="329">
        <f>AVERAGE(C15:J15)</f>
        <v/>
      </c>
    </row>
    <row r="16">
      <c r="B16" s="327" t="inlineStr">
        <is>
          <t>Conv Milling - Facing</t>
        </is>
      </c>
      <c r="C16" s="328" t="n">
        <v>0.09537751777144134</v>
      </c>
      <c r="D16" s="328" t="n">
        <v>0.1713266107151086</v>
      </c>
      <c r="E16" s="328" t="n">
        <v>0.07126773665104885</v>
      </c>
      <c r="F16" s="328" t="n">
        <v>0.06591314981394453</v>
      </c>
      <c r="G16" s="328" t="n">
        <v>0.09478370857593989</v>
      </c>
      <c r="H16" s="328" t="n">
        <v>0.08159074636853278</v>
      </c>
      <c r="I16" s="328" t="n">
        <v>0.1043466410653724</v>
      </c>
      <c r="J16" s="328">
        <f>DASHBOARD!$C34</f>
        <v/>
      </c>
      <c r="K16" s="329">
        <f>AVERAGE(C16:J16)</f>
        <v/>
      </c>
    </row>
    <row r="17">
      <c r="B17" s="327" t="inlineStr">
        <is>
          <t>CNC Milling</t>
        </is>
      </c>
      <c r="C17" s="328" t="n">
        <v>0.0812247248118081</v>
      </c>
      <c r="D17" s="328" t="n">
        <v>0.07298792196318447</v>
      </c>
      <c r="E17" s="328" t="n">
        <v>0.0688762018641009</v>
      </c>
      <c r="F17" s="328" t="n">
        <v>0.07746493895659459</v>
      </c>
      <c r="G17" s="328" t="n">
        <v>0.07665117302228182</v>
      </c>
      <c r="H17" s="328" t="n">
        <v>0.08365633488419184</v>
      </c>
      <c r="I17" s="328" t="n">
        <v>0.1040195356074873</v>
      </c>
      <c r="J17" s="328">
        <f>DASHBOARD!$C47</f>
        <v/>
      </c>
      <c r="K17" s="329">
        <f>AVERAGE(C17:J17)</f>
        <v/>
      </c>
    </row>
    <row r="18">
      <c r="B18" s="327" t="inlineStr">
        <is>
          <t>CNC Lathe</t>
        </is>
      </c>
      <c r="C18" s="328" t="n">
        <v>0.07014862597383427</v>
      </c>
      <c r="D18" s="328" t="n">
        <v>0.07020212341497134</v>
      </c>
      <c r="E18" s="328" t="n">
        <v>0.06026667663108829</v>
      </c>
      <c r="F18" s="328" t="n">
        <v>0.0631950817803798</v>
      </c>
      <c r="G18" s="328" t="n">
        <v>0.06057915287244853</v>
      </c>
      <c r="H18" s="328" t="n">
        <v>0.06351684685651603</v>
      </c>
      <c r="I18" s="328" t="n">
        <v>0.05691634967202133</v>
      </c>
      <c r="J18" s="328">
        <f>DASHBOARD!$C46</f>
        <v/>
      </c>
      <c r="K18" s="329">
        <f>AVERAGE(C18:J18)</f>
        <v/>
      </c>
    </row>
    <row r="19">
      <c r="B19" s="327" t="inlineStr">
        <is>
          <t>Radial Drilling - Hole drilling</t>
        </is>
      </c>
      <c r="C19" s="328" t="n">
        <v>0.01576805737350441</v>
      </c>
      <c r="D19" s="328" t="n">
        <v>0.01253609346695917</v>
      </c>
      <c r="E19" s="328" t="n">
        <v>0.01674074350863564</v>
      </c>
      <c r="F19" s="328" t="n">
        <v>0.02038551025173542</v>
      </c>
      <c r="G19" s="328" t="n">
        <v>0.01699925208155444</v>
      </c>
      <c r="H19" s="328" t="n">
        <v>0.02065588515659058</v>
      </c>
      <c r="I19" s="328" t="n">
        <v>0.01594639107190253</v>
      </c>
      <c r="J19" s="328">
        <f>DASHBOARD!$C39</f>
        <v/>
      </c>
      <c r="K19" s="329">
        <f>AVERAGE(C19:J19)</f>
        <v/>
      </c>
    </row>
    <row r="20">
      <c r="B20" s="327" t="inlineStr">
        <is>
          <t>CNC EDM</t>
        </is>
      </c>
      <c r="C20" s="328" t="n">
        <v>0.007384065891982555</v>
      </c>
      <c r="D20" s="328" t="n">
        <v>0.003621538112677093</v>
      </c>
      <c r="E20" s="328" t="n">
        <v>0.01004444610518138</v>
      </c>
      <c r="F20" s="328" t="n">
        <v>0.01426985717621479</v>
      </c>
      <c r="G20" s="328" t="n">
        <v>0.009890473938358945</v>
      </c>
      <c r="H20" s="328" t="n">
        <v>0.01239353109395435</v>
      </c>
      <c r="I20" s="328" t="n">
        <v>0.01079448011021094</v>
      </c>
      <c r="J20" s="328">
        <f>DASHBOARD!$C48</f>
        <v/>
      </c>
      <c r="K20" s="329">
        <f>AVERAGE(C20:J20)</f>
        <v/>
      </c>
    </row>
    <row r="21">
      <c r="B21" s="327" t="inlineStr">
        <is>
          <t>Radial Drilling - Reaming / Tapping</t>
        </is>
      </c>
      <c r="C21" s="328" t="n">
        <v>0.005384214712903947</v>
      </c>
      <c r="D21" s="328" t="n">
        <v>0.002089348911159861</v>
      </c>
      <c r="E21" s="328" t="n">
        <v>0.007174604360843844</v>
      </c>
      <c r="F21" s="328" t="n">
        <v>0.01019275512586771</v>
      </c>
      <c r="G21" s="328" t="n">
        <v>0.006181546211474339</v>
      </c>
      <c r="H21" s="328" t="n">
        <v>0.007745956933721466</v>
      </c>
      <c r="I21" s="328" t="n">
        <v>0.004906581868277701</v>
      </c>
      <c r="J21" s="328">
        <f>DASHBOARD!$C40</f>
        <v/>
      </c>
      <c r="K21" s="329">
        <f>AVERAGE(C21:J21)</f>
        <v/>
      </c>
    </row>
    <row r="22">
      <c r="B22" s="327" t="inlineStr">
        <is>
          <t>Conv Milling - End Milling</t>
        </is>
      </c>
      <c r="C22" s="328" t="n">
        <v>0.002461355297327518</v>
      </c>
      <c r="D22" s="328" t="n">
        <v>0.0009285995160710494</v>
      </c>
      <c r="E22" s="328" t="n">
        <v>0.003826455659116717</v>
      </c>
      <c r="F22" s="328" t="n">
        <v>0.005436136067129445</v>
      </c>
      <c r="G22" s="328" t="n">
        <v>0.003296824646119648</v>
      </c>
      <c r="H22" s="328" t="n">
        <v>0.004131177031318115</v>
      </c>
      <c r="I22" s="328" t="n">
        <v>0.00261684366308144</v>
      </c>
      <c r="J22" s="328">
        <f>DASHBOARD!$C35</f>
        <v/>
      </c>
      <c r="K22" s="329">
        <f>AVERAGE(C22:J22)</f>
        <v/>
      </c>
    </row>
    <row r="23">
      <c r="B23" s="327" t="inlineStr">
        <is>
          <t>Gun Drilling</t>
        </is>
      </c>
      <c r="C23" s="328" t="n">
        <v>0.002307520591244549</v>
      </c>
      <c r="D23" s="328" t="n">
        <v>0.0009285995160710494</v>
      </c>
      <c r="E23" s="328" t="n">
        <v>0.002391534786947948</v>
      </c>
      <c r="F23" s="328" t="n">
        <v>0.003397585041955903</v>
      </c>
      <c r="G23" s="328" t="n">
        <v>0.00206051540382478</v>
      </c>
      <c r="H23" s="328" t="n">
        <v>0.002581985644573822</v>
      </c>
      <c r="I23" s="328" t="n">
        <v>0.00245329093413885</v>
      </c>
      <c r="J23" s="328">
        <f>DASHBOARD!$C42</f>
        <v/>
      </c>
      <c r="K23" s="329">
        <f>AVERAGE(C23:J23)</f>
        <v/>
      </c>
    </row>
    <row r="24">
      <c r="B24" s="327" t="inlineStr">
        <is>
          <t>Bench Work</t>
        </is>
      </c>
      <c r="C24" s="328" t="n">
        <v>0.001480659046048585</v>
      </c>
      <c r="D24" s="328" t="n">
        <v>0.0004468885171091925</v>
      </c>
      <c r="E24" s="328" t="n">
        <v>0.0023018522324374</v>
      </c>
      <c r="F24" s="328" t="n">
        <v>0.003270175602882557</v>
      </c>
      <c r="G24" s="328" t="n">
        <v>0.001983246076181351</v>
      </c>
      <c r="H24" s="328" t="n">
        <v>0.002485161182902304</v>
      </c>
      <c r="I24" s="328" t="n">
        <v>0.001574195016072429</v>
      </c>
      <c r="J24" s="328">
        <f>DASHBOARD!$C49</f>
        <v/>
      </c>
      <c r="K24" s="329">
        <f>AVERAGE(C24:J24)</f>
        <v/>
      </c>
    </row>
    <row r="25">
      <c r="B25" s="327" t="inlineStr">
        <is>
          <t>Conv Lathe - Facing / Turning</t>
        </is>
      </c>
      <c r="C25" s="328" t="n">
        <v>0</v>
      </c>
      <c r="D25" s="328" t="n">
        <v>0</v>
      </c>
      <c r="E25" s="328" t="n">
        <v>0</v>
      </c>
      <c r="F25" s="328" t="n">
        <v>0</v>
      </c>
      <c r="G25" s="328" t="n">
        <v>0</v>
      </c>
      <c r="H25" s="328" t="n">
        <v>0</v>
      </c>
      <c r="I25" s="328" t="n">
        <v>0</v>
      </c>
      <c r="J25" s="328">
        <f>DASHBOARD!$C36</f>
        <v/>
      </c>
      <c r="K25" s="329">
        <f>AVERAGE(C25:J25)</f>
        <v/>
      </c>
    </row>
    <row r="26">
      <c r="B26" s="327" t="inlineStr">
        <is>
          <t>Cylindrical Grinding</t>
        </is>
      </c>
      <c r="C26" s="328" t="n">
        <v>0</v>
      </c>
      <c r="D26" s="328" t="n">
        <v>0</v>
      </c>
      <c r="E26" s="328" t="n">
        <v>0</v>
      </c>
      <c r="F26" s="328" t="n">
        <v>0</v>
      </c>
      <c r="G26" s="328" t="n">
        <v>0</v>
      </c>
      <c r="H26" s="328" t="n">
        <v>0</v>
      </c>
      <c r="I26" s="328" t="n">
        <v>0</v>
      </c>
      <c r="J26" s="328">
        <f>DASHBOARD!$C38</f>
        <v/>
      </c>
      <c r="K26" s="329">
        <f>AVERAGE(C26:J26)</f>
        <v/>
      </c>
    </row>
    <row r="27">
      <c r="B27" s="327" t="inlineStr">
        <is>
          <t>Pillar Drilling</t>
        </is>
      </c>
      <c r="C27" s="328" t="n">
        <v>0</v>
      </c>
      <c r="D27" s="328" t="n">
        <v>0</v>
      </c>
      <c r="E27" s="328" t="n">
        <v>0</v>
      </c>
      <c r="F27" s="328" t="n">
        <v>0</v>
      </c>
      <c r="G27" s="328" t="n">
        <v>0</v>
      </c>
      <c r="H27" s="328" t="n">
        <v>0</v>
      </c>
      <c r="I27" s="328" t="n">
        <v>0</v>
      </c>
      <c r="J27" s="328">
        <f>DASHBOARD!$C41</f>
        <v/>
      </c>
      <c r="K27" s="329">
        <f>AVERAGE(C27:J27)</f>
        <v/>
      </c>
    </row>
    <row r="28">
      <c r="B28" s="327" t="inlineStr">
        <is>
          <t>NC EDM</t>
        </is>
      </c>
      <c r="C28" s="328" t="n">
        <v>0</v>
      </c>
      <c r="D28" s="328" t="n">
        <v>0</v>
      </c>
      <c r="E28" s="328" t="n">
        <v>0</v>
      </c>
      <c r="F28" s="328" t="n">
        <v>0</v>
      </c>
      <c r="G28" s="328" t="n">
        <v>0</v>
      </c>
      <c r="H28" s="328" t="n">
        <v>0</v>
      </c>
      <c r="I28" s="328" t="n">
        <v>0</v>
      </c>
      <c r="J28" s="328">
        <f>DASHBOARD!$C43</f>
        <v/>
      </c>
      <c r="K28" s="329">
        <f>AVERAGE(C28:J28)</f>
        <v/>
      </c>
    </row>
    <row r="29">
      <c r="B29" s="327" t="inlineStr">
        <is>
          <t>Wirecut EDM</t>
        </is>
      </c>
      <c r="C29" s="328" t="n">
        <v>0</v>
      </c>
      <c r="D29" s="328" t="n">
        <v>0</v>
      </c>
      <c r="E29" s="328" t="n">
        <v>0</v>
      </c>
      <c r="F29" s="328" t="n">
        <v>0</v>
      </c>
      <c r="G29" s="328" t="n">
        <v>0</v>
      </c>
      <c r="H29" s="328" t="n">
        <v>0</v>
      </c>
      <c r="I29" s="328" t="n">
        <v>0</v>
      </c>
      <c r="J29" s="328">
        <f>DASHBOARD!$C44</f>
        <v/>
      </c>
      <c r="K29" s="329">
        <f>AVERAGE(C29:J29)</f>
        <v/>
      </c>
    </row>
    <row r="30">
      <c r="B30" s="327" t="inlineStr">
        <is>
          <t>Jig Boring</t>
        </is>
      </c>
      <c r="C30" s="328" t="n">
        <v>0</v>
      </c>
      <c r="D30" s="328" t="n">
        <v>0</v>
      </c>
      <c r="E30" s="328" t="n">
        <v>0</v>
      </c>
      <c r="F30" s="328" t="n">
        <v>0</v>
      </c>
      <c r="G30" s="328" t="n">
        <v>0</v>
      </c>
      <c r="H30" s="328" t="n">
        <v>0</v>
      </c>
      <c r="I30" s="328" t="n">
        <v>0</v>
      </c>
      <c r="J30" s="328">
        <f>DASHBOARD!$C45</f>
        <v/>
      </c>
      <c r="K30" s="329">
        <f>AVERAGE(C30:J30)</f>
        <v/>
      </c>
    </row>
    <row r="31">
      <c r="B31" s="330" t="inlineStr">
        <is>
          <t>Design Cost</t>
        </is>
      </c>
      <c r="C31" s="331" t="n">
        <v>0.1382974007685899</v>
      </c>
      <c r="D31" s="331" t="n">
        <v>0.04174054824739367</v>
      </c>
      <c r="E31" s="331" t="n">
        <v>0.2149989773466205</v>
      </c>
      <c r="F31" s="331" t="n">
        <v>0.282848954742829</v>
      </c>
      <c r="G31" s="331" t="n">
        <v>0.1852403348038477</v>
      </c>
      <c r="H31" s="331" t="n">
        <v>0.2321205094471866</v>
      </c>
      <c r="I31" s="331" t="n">
        <v>0.1470339033193884</v>
      </c>
      <c r="J31" s="331">
        <f>DASHBOARD!$C$10</f>
        <v/>
      </c>
      <c r="K31" s="332">
        <f>AVERAGE(C31:J31)</f>
        <v/>
      </c>
      <c r="L31" s="319" t="inlineStr">
        <is>
          <t>Fluctuation is due to HRS System</t>
        </is>
      </c>
    </row>
    <row r="32">
      <c r="B32" s="330" t="inlineStr">
        <is>
          <t>Other Cost</t>
        </is>
      </c>
      <c r="C32" s="331" t="n">
        <v>0.1348165828740506</v>
      </c>
      <c r="D32" s="331" t="n">
        <v>0.1322084377536241</v>
      </c>
      <c r="E32" s="331" t="n">
        <v>0.1389930551049094</v>
      </c>
      <c r="F32" s="331" t="n">
        <v>0.1384732500643455</v>
      </c>
      <c r="G32" s="331" t="n">
        <v>0.1327279103857829</v>
      </c>
      <c r="H32" s="331" t="n">
        <v>0.1327800315771364</v>
      </c>
      <c r="I32" s="331" t="n">
        <v>0.1306163246012412</v>
      </c>
      <c r="J32" s="331">
        <f>DASHBOARD!$G$61/DASHBOARD!$H$65</f>
        <v/>
      </c>
      <c r="K32" s="332">
        <f>AVERAGE(C32:J32)</f>
        <v/>
      </c>
    </row>
    <row r="33">
      <c r="B33" s="113" t="n"/>
      <c r="C33" s="322">
        <f>SUM(Table5[1])</f>
        <v/>
      </c>
      <c r="D33" s="322">
        <f>SUM(Table5[2])</f>
        <v/>
      </c>
      <c r="E33" s="322">
        <f>SUM(Table5[3])</f>
        <v/>
      </c>
      <c r="F33" s="322">
        <f>SUM(Table5[4])</f>
        <v/>
      </c>
      <c r="G33" s="322">
        <f>SUM(Table5[5])</f>
        <v/>
      </c>
      <c r="H33" s="322">
        <f>SUM(Table5[6])</f>
        <v/>
      </c>
      <c r="I33" s="322">
        <f>SUM(Table5[7])</f>
        <v/>
      </c>
      <c r="J33" s="322">
        <f>SUM(Table5[8])</f>
        <v/>
      </c>
      <c r="K33" s="322">
        <f>SUM(Table5[Average contribution])</f>
        <v/>
      </c>
      <c r="L33" s="318" t="n"/>
    </row>
    <row r="34">
      <c r="K34" s="333">
        <f>AVERAGE(Table5[Average contribution])</f>
        <v/>
      </c>
      <c r="L34">
        <f>_xlfn.STDEV.P(Table5[Average contribution])</f>
        <v/>
      </c>
    </row>
  </sheetData>
  <mergeCells count="1">
    <mergeCell ref="C1:J1"/>
  </mergeCells>
  <pageMargins left="0.7" right="0.7" top="0.75" bottom="0.75" header="0.3" footer="0.3"/>
  <pageSetup orientation="portrait" paperSize="9"/>
  <drawing r:id="rId1"/>
  <tableParts count="1">
    <tablePart r:id="rId2"/>
  </tableParts>
</worksheet>
</file>

<file path=xl/worksheets/sheet5.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2" zoomScale="85" zoomScaleNormal="85" workbookViewId="0">
      <selection activeCell="I54" sqref="I54"/>
    </sheetView>
  </sheetViews>
  <sheetFormatPr baseColWidth="8" defaultColWidth="9" defaultRowHeight="14.5"/>
  <cols>
    <col width="19.26953125" customWidth="1" style="450" min="1" max="1"/>
    <col width="12.54296875" customWidth="1" style="450" min="2" max="2"/>
    <col width="14.90625" customWidth="1" style="450" min="3" max="3"/>
    <col width="13.26953125" customWidth="1" style="450" min="4" max="4"/>
    <col width="14.54296875" customWidth="1" style="450" min="5" max="5"/>
    <col width="15.08984375" customWidth="1" style="450" min="6" max="6"/>
    <col width="16.81640625" customWidth="1" style="450" min="7" max="7"/>
    <col width="12.453125" customWidth="1" style="450" min="8" max="8"/>
    <col width="16.08984375" customWidth="1" style="450" min="9" max="9"/>
    <col width="18.26953125" customWidth="1" style="450" min="10" max="10"/>
    <col width="12.81640625" customWidth="1" style="450" min="11" max="11"/>
    <col width="16.453125" customWidth="1" style="450" min="12" max="12"/>
    <col width="11.36328125" customWidth="1" style="450" min="13" max="13"/>
    <col width="13.6328125" customWidth="1" style="450" min="14" max="14"/>
    <col width="16" customWidth="1" style="450" min="15" max="15"/>
    <col width="12.36328125" customWidth="1" style="450" min="16" max="16"/>
    <col width="9.453125" customWidth="1" style="450" min="17" max="17"/>
    <col width="14.54296875" customWidth="1" style="450" min="18" max="18"/>
  </cols>
  <sheetData>
    <row r="1" ht="23.5" customHeight="1" s="450">
      <c r="A1" s="524" t="inlineStr">
        <is>
          <t>Mould Dimensions Calculations</t>
        </is>
      </c>
    </row>
    <row r="2">
      <c r="A2" s="23" t="inlineStr">
        <is>
          <t>Mould Dimesnsions</t>
        </is>
      </c>
      <c r="B2" s="563" t="inlineStr">
        <is>
          <t>Dimensions</t>
        </is>
      </c>
      <c r="C2" s="563" t="n"/>
    </row>
    <row r="3">
      <c r="A3" t="inlineStr">
        <is>
          <t>Length</t>
        </is>
      </c>
      <c r="B3">
        <f>'Input-Output'!F3</f>
        <v/>
      </c>
    </row>
    <row r="4">
      <c r="A4" t="inlineStr">
        <is>
          <t>Witdh</t>
        </is>
      </c>
      <c r="B4">
        <f>'Input-Output'!F4</f>
        <v/>
      </c>
    </row>
    <row r="5">
      <c r="A5" t="inlineStr">
        <is>
          <t>Height</t>
        </is>
      </c>
      <c r="B5">
        <f>'Input-Output'!F5</f>
        <v/>
      </c>
    </row>
    <row r="7" ht="18.5" customHeight="1" s="450">
      <c r="A7" s="517" t="inlineStr">
        <is>
          <t>Mould Base Cost</t>
        </is>
      </c>
    </row>
    <row r="8" ht="58" customHeight="1" s="450">
      <c r="A8" s="24" t="inlineStr">
        <is>
          <t>Item Description</t>
        </is>
      </c>
      <c r="B8" s="25" t="inlineStr">
        <is>
          <t>Material</t>
        </is>
      </c>
      <c r="C8" s="25" t="inlineStr">
        <is>
          <t>Density(g/cm3)</t>
        </is>
      </c>
      <c r="D8" s="26" t="inlineStr">
        <is>
          <t>Length</t>
        </is>
      </c>
      <c r="E8" s="27" t="inlineStr">
        <is>
          <t>Width / Diameter</t>
        </is>
      </c>
      <c r="F8" s="26" t="inlineStr">
        <is>
          <t>Height</t>
        </is>
      </c>
      <c r="G8" s="26" t="inlineStr">
        <is>
          <t>Volume(in cm3)</t>
        </is>
      </c>
      <c r="H8" s="27" t="inlineStr">
        <is>
          <t>Weight in Kg</t>
        </is>
      </c>
      <c r="I8" s="27" t="inlineStr">
        <is>
          <t>Total Weight in Kg (10% Machining Allowance)</t>
        </is>
      </c>
      <c r="J8" s="27" t="inlineStr">
        <is>
          <t>QTY</t>
        </is>
      </c>
      <c r="K8" s="27" t="inlineStr">
        <is>
          <t>Total weight</t>
        </is>
      </c>
      <c r="L8" s="48" t="inlineStr">
        <is>
          <t>Price/kg</t>
        </is>
      </c>
      <c r="M8" s="49" t="inlineStr">
        <is>
          <t>Total Price</t>
        </is>
      </c>
    </row>
    <row r="9">
      <c r="A9" s="28" t="inlineStr">
        <is>
          <t>Top Clamp Plate</t>
        </is>
      </c>
      <c r="B9" s="29" t="inlineStr">
        <is>
          <t>C-45</t>
        </is>
      </c>
      <c r="C9" s="30">
        <f>VLOOKUP(Table4[[#This Row],[Material]],Table1[[Various Tool Steel]:[Density(g/cc3)]],2,FALSE)</f>
        <v/>
      </c>
      <c r="D9" s="31">
        <f>$D$14+60</f>
        <v/>
      </c>
      <c r="E9" s="31">
        <f>$E$14+60</f>
        <v/>
      </c>
      <c r="F9" s="518" t="n">
        <v>25</v>
      </c>
      <c r="G9" s="518">
        <f>Table4[[#This Row],[Length]]*Table4[[#This Row],[Width / Diameter]]*Table4[[#This Row],[Height]]/1000</f>
        <v/>
      </c>
      <c r="H9" s="32">
        <f>Table4[[#This Row],[Volume(in cm3)]]*Table4[[#This Row],[Density(g/cm3)]]/1000</f>
        <v/>
      </c>
      <c r="I9" s="32">
        <f>Table4[[#This Row],[Weight in Kg]]*1.1</f>
        <v/>
      </c>
      <c r="J9" s="32" t="n">
        <v>1</v>
      </c>
      <c r="K9" s="32">
        <f>Table4[[#This Row],[Total Weight in Kg (10% Machining Allowance)]]*Table4[[#This Row],[QTY]]</f>
        <v/>
      </c>
      <c r="L9" s="265">
        <f>VLOOKUP(Table4[[#This Row],[Material]],Table1[[Various Tool Steel]:[Price/Kg]],4,FALSE)</f>
        <v/>
      </c>
      <c r="M9" s="50">
        <f>Table4[[#This Row],[Total weight]]*Table4[[#This Row],[Price/kg]]</f>
        <v/>
      </c>
    </row>
    <row r="10">
      <c r="A10" s="28" t="inlineStr">
        <is>
          <t>Bottom Clamp Plate</t>
        </is>
      </c>
      <c r="B10" s="29" t="inlineStr">
        <is>
          <t>C-45</t>
        </is>
      </c>
      <c r="C10" s="30">
        <f>VLOOKUP(Table4[[#This Row],[Material]],Table1[[Various Tool Steel]:[Density(g/cc3)]],2,FALSE)</f>
        <v/>
      </c>
      <c r="D10" s="31">
        <f>D14+60</f>
        <v/>
      </c>
      <c r="E10" s="31">
        <f>E14+60</f>
        <v/>
      </c>
      <c r="F10" s="31">
        <f>F9</f>
        <v/>
      </c>
      <c r="G10" s="31">
        <f>Table4[[#This Row],[Length]]*Table4[[#This Row],[Width / Diameter]]*Table4[[#This Row],[Height]]/1000</f>
        <v/>
      </c>
      <c r="H10" s="32">
        <f>Table4[[#This Row],[Volume(in cm3)]]*Table4[[#This Row],[Density(g/cm3)]]/1000</f>
        <v/>
      </c>
      <c r="I10" s="32">
        <f>Table4[[#This Row],[Weight in Kg]]*1.1</f>
        <v/>
      </c>
      <c r="J10" s="32" t="n">
        <v>1</v>
      </c>
      <c r="K10" s="32">
        <f>Table4[[#This Row],[Total Weight in Kg (10% Machining Allowance)]]*Table4[[#This Row],[QTY]]</f>
        <v/>
      </c>
      <c r="L10" s="265">
        <f>VLOOKUP(Table4[[#This Row],[Material]],Table1[[Various Tool Steel]:[Price/Kg]],4,FALSE)</f>
        <v/>
      </c>
      <c r="M10" s="50">
        <f>Table4[[#This Row],[Total weight]]*Table4[[#This Row],[Price/kg]]</f>
        <v/>
      </c>
    </row>
    <row r="11">
      <c r="A11" s="28" t="inlineStr">
        <is>
          <t>Spacer Block</t>
        </is>
      </c>
      <c r="B11" s="29" t="inlineStr">
        <is>
          <t>C-45</t>
        </is>
      </c>
      <c r="C11" s="30">
        <f>VLOOKUP(Table4[[#This Row],[Material]],Table1[[Various Tool Steel]:[Density(g/cc3)]],2,FALSE)</f>
        <v/>
      </c>
      <c r="D11" s="31">
        <f>(D14-('Input-Output'!B2*2)+50)/2</f>
        <v/>
      </c>
      <c r="E11" s="31">
        <f>E10</f>
        <v/>
      </c>
      <c r="F11" s="31">
        <f>F12+F13+('Input-Output'!B4)+15</f>
        <v/>
      </c>
      <c r="G11" s="31">
        <f>Table4[[#This Row],[Length]]*Table4[[#This Row],[Width / Diameter]]*Table4[[#This Row],[Height]]/1000</f>
        <v/>
      </c>
      <c r="H11" s="31">
        <f>Table4[[#This Row],[Volume(in cm3)]]*Table4[[#This Row],[Density(g/cm3)]]/1000</f>
        <v/>
      </c>
      <c r="I11" s="31">
        <f>Table4[[#This Row],[Weight in Kg]]*1.1</f>
        <v/>
      </c>
      <c r="J11" s="32" t="n">
        <v>2</v>
      </c>
      <c r="K11" s="32">
        <f>Table4[[#This Row],[Total Weight in Kg (10% Machining Allowance)]]*Table4[[#This Row],[QTY]]</f>
        <v/>
      </c>
      <c r="L11" s="265">
        <f>VLOOKUP(Table4[[#This Row],[Material]],Table1[[Various Tool Steel]:[Price/Kg]],4,FALSE)</f>
        <v/>
      </c>
      <c r="M11" s="50">
        <f>Table4[[#This Row],[Total weight]]*Table4[[#This Row],[Price/kg]]</f>
        <v/>
      </c>
    </row>
    <row r="12">
      <c r="A12" s="28" t="inlineStr">
        <is>
          <t>Ejector Retainer Plate</t>
        </is>
      </c>
      <c r="B12" s="29" t="inlineStr">
        <is>
          <t>C-45</t>
        </is>
      </c>
      <c r="C12" s="30">
        <f>VLOOKUP(Table4[[#This Row],[Material]],Table1[[Various Tool Steel]:[Density(g/cc3)]],2,FALSE)</f>
        <v/>
      </c>
      <c r="D12" s="518">
        <f>MAX(D15-(D11*2),0)</f>
        <v/>
      </c>
      <c r="E12" s="31">
        <f>E14</f>
        <v/>
      </c>
      <c r="F12" s="31">
        <f>F13+12</f>
        <v/>
      </c>
      <c r="G12" s="31">
        <f>Table4[[#This Row],[Length]]*Table4[[#This Row],[Width / Diameter]]*Table4[[#This Row],[Height]]/1000</f>
        <v/>
      </c>
      <c r="H12" s="32">
        <f>Table4[[#This Row],[Volume(in cm3)]]*Table4[[#This Row],[Density(g/cm3)]]/1000</f>
        <v/>
      </c>
      <c r="I12" s="32">
        <f>Table4[[#This Row],[Weight in Kg]]*1.1</f>
        <v/>
      </c>
      <c r="J12" s="32" t="n">
        <v>1</v>
      </c>
      <c r="K12" s="32">
        <f>Table4[[#This Row],[Total Weight in Kg (10% Machining Allowance)]]*Table4[[#This Row],[QTY]]</f>
        <v/>
      </c>
      <c r="L12" s="265">
        <f>VLOOKUP(Table4[[#This Row],[Material]],Table1[[Various Tool Steel]:[Price/Kg]],4,FALSE)</f>
        <v/>
      </c>
      <c r="M12" s="50">
        <f>Table4[[#This Row],[Total weight]]*Table4[[#This Row],[Price/kg]]</f>
        <v/>
      </c>
    </row>
    <row r="13">
      <c r="A13" s="28" t="inlineStr">
        <is>
          <t>Ejector Back Plate</t>
        </is>
      </c>
      <c r="B13" s="29" t="inlineStr">
        <is>
          <t>C-45</t>
        </is>
      </c>
      <c r="C13" s="30">
        <f>VLOOKUP(Table4[[#This Row],[Material]],Table1[[Various Tool Steel]:[Density(g/cc3)]],2,FALSE)</f>
        <v/>
      </c>
      <c r="D13" s="518">
        <f>MAX(D15-(D11*2),0)</f>
        <v/>
      </c>
      <c r="E13" s="31">
        <f>E14</f>
        <v/>
      </c>
      <c r="F13" s="31">
        <f>'Core &amp; Ejector Plate'!C17*10</f>
        <v/>
      </c>
      <c r="G13" s="31">
        <f>Table4[[#This Row],[Length]]*Table4[[#This Row],[Width / Diameter]]*Table4[[#This Row],[Height]]/1000</f>
        <v/>
      </c>
      <c r="H13" s="32">
        <f>Table4[[#This Row],[Volume(in cm3)]]*Table4[[#This Row],[Density(g/cm3)]]/1000</f>
        <v/>
      </c>
      <c r="I13" s="32">
        <f>Table4[[#This Row],[Weight in Kg]]*1.1</f>
        <v/>
      </c>
      <c r="J13" s="32" t="n">
        <v>1</v>
      </c>
      <c r="K13" s="32">
        <f>Table4[[#This Row],[Total Weight in Kg (10% Machining Allowance)]]*Table4[[#This Row],[QTY]]</f>
        <v/>
      </c>
      <c r="L13" s="265">
        <f>VLOOKUP(Table4[[#This Row],[Material]],Table1[[Various Tool Steel]:[Price/Kg]],4,FALSE)</f>
        <v/>
      </c>
      <c r="M13" s="50">
        <f>Table4[[#This Row],[Total weight]]*Table4[[#This Row],[Price/kg]]</f>
        <v/>
      </c>
    </row>
    <row r="14">
      <c r="A14" s="28" t="inlineStr">
        <is>
          <t>Cavity Plate</t>
        </is>
      </c>
      <c r="B14" s="29" t="inlineStr">
        <is>
          <t>P20</t>
        </is>
      </c>
      <c r="C14" s="30">
        <f>VLOOKUP(Table4[[#This Row],[Material]],Table1[[Various Tool Steel]:[Density(g/cc3)]],2,FALSE)</f>
        <v/>
      </c>
      <c r="D14" s="31">
        <f>B3+40</f>
        <v/>
      </c>
      <c r="E14" s="31">
        <f>B4+40</f>
        <v/>
      </c>
      <c r="F14" s="31">
        <f>'Core &amp; Ejector Plate'!D5*10+'Input-Output'!B4</f>
        <v/>
      </c>
      <c r="G14" s="31">
        <f>Table4[[#This Row],[Length]]*Table4[[#This Row],[Width / Diameter]]*Table4[[#This Row],[Height]]/1000</f>
        <v/>
      </c>
      <c r="H14" s="32">
        <f>Table4[[#This Row],[Volume(in cm3)]]*Table4[[#This Row],[Density(g/cm3)]]/1000</f>
        <v/>
      </c>
      <c r="I14" s="32">
        <f>Table4[[#This Row],[Weight in Kg]]*1.1-I19</f>
        <v/>
      </c>
      <c r="J14" s="32" t="n">
        <v>1</v>
      </c>
      <c r="K14" s="32">
        <f>Table4[[#This Row],[Total Weight in Kg (10% Machining Allowance)]]*Table4[[#This Row],[QTY]]</f>
        <v/>
      </c>
      <c r="L14" s="265">
        <f>VLOOKUP(Table4[[#This Row],[Material]],Table1[[Various Tool Steel]:[Price/Kg]],4,FALSE)</f>
        <v/>
      </c>
      <c r="M14" s="50">
        <f>Table4[[#This Row],[Total weight]]*Table4[[#This Row],[Price/kg]]</f>
        <v/>
      </c>
    </row>
    <row r="15">
      <c r="A15" s="28" t="inlineStr">
        <is>
          <t>Core Plate</t>
        </is>
      </c>
      <c r="B15" s="29" t="inlineStr">
        <is>
          <t>P20</t>
        </is>
      </c>
      <c r="C15" s="30">
        <f>VLOOKUP(Table4[[#This Row],[Material]],Table1[[Various Tool Steel]:[Density(g/cc3)]],2,FALSE)</f>
        <v/>
      </c>
      <c r="D15" s="31">
        <f>B3+40</f>
        <v/>
      </c>
      <c r="E15" s="31">
        <f>B4+40</f>
        <v/>
      </c>
      <c r="F15" s="31">
        <f>'Core &amp; Ejector Plate'!D5*10+'Input-Output'!B4</f>
        <v/>
      </c>
      <c r="G15" s="31">
        <f>Table4[[#This Row],[Length]]*Table4[[#This Row],[Width / Diameter]]*Table4[[#This Row],[Height]]/1000</f>
        <v/>
      </c>
      <c r="H15" s="32">
        <f>Table4[[#This Row],[Volume(in cm3)]]*Table4[[#This Row],[Density(g/cm3)]]/1000</f>
        <v/>
      </c>
      <c r="I15" s="32">
        <f>Table4[[#This Row],[Weight in Kg]]*1.1-I20</f>
        <v/>
      </c>
      <c r="J15" s="32" t="n">
        <v>1</v>
      </c>
      <c r="K15" s="32">
        <f>Table4[[#This Row],[Total Weight in Kg (10% Machining Allowance)]]*Table4[[#This Row],[QTY]]</f>
        <v/>
      </c>
      <c r="L15" s="265">
        <f>VLOOKUP(Table4[[#This Row],[Material]],Table1[[Various Tool Steel]:[Price/Kg]],4,FALSE)</f>
        <v/>
      </c>
      <c r="M15" s="50">
        <f>Table4[[#This Row],[Total weight]]*Table4[[#This Row],[Price/kg]]</f>
        <v/>
      </c>
    </row>
    <row r="16">
      <c r="A16" s="28" t="inlineStr">
        <is>
          <t xml:space="preserve">Mould Base  </t>
        </is>
      </c>
      <c r="B16" s="29" t="inlineStr">
        <is>
          <t>C-45</t>
        </is>
      </c>
      <c r="C16" s="30">
        <f>VLOOKUP(Table4[[#This Row],[Material]],Table1[[Various Tool Steel]:[Density(g/cc3)]],2,FALSE)</f>
        <v/>
      </c>
      <c r="D16" s="31">
        <f>D14</f>
        <v/>
      </c>
      <c r="E16" s="31">
        <f>E14</f>
        <v/>
      </c>
      <c r="F16" s="31">
        <f>(F14+F15)*70%</f>
        <v/>
      </c>
      <c r="G16" s="31">
        <f>Table4[[#This Row],[Length]]*Table4[[#This Row],[Width / Diameter]]*Table4[[#This Row],[Height]]/1000</f>
        <v/>
      </c>
      <c r="H16" s="32">
        <f>Table4[[#This Row],[Volume(in cm3)]]*Table4[[#This Row],[Density(g/cm3)]]/1000</f>
        <v/>
      </c>
      <c r="I16" s="32">
        <f>Table4[[#This Row],[Weight in Kg]]*1.1-I19</f>
        <v/>
      </c>
      <c r="J16" s="32" t="n">
        <v>1</v>
      </c>
      <c r="K16" s="32">
        <f>Table4[[#This Row],[Total Weight in Kg (10% Machining Allowance)]]*Table4[[#This Row],[QTY]]</f>
        <v/>
      </c>
      <c r="L16" s="265">
        <f>VLOOKUP(Table4[[#This Row],[Material]],Table1[[Various Tool Steel]:[Price/Kg]],4,FALSE)</f>
        <v/>
      </c>
      <c r="M16" s="50">
        <f>Table4[[#This Row],[Total weight]]*Table4[[#This Row],[Price/kg]]</f>
        <v/>
      </c>
    </row>
    <row r="17">
      <c r="A17" s="33" t="inlineStr">
        <is>
          <t>Electrode (Roughing)</t>
        </is>
      </c>
      <c r="B17" s="34" t="inlineStr">
        <is>
          <t>Graphite</t>
        </is>
      </c>
      <c r="C17" s="35">
        <f>VLOOKUP(Table4[[#This Row],[Material]],Table1[[Various Tool Steel]:[Density(g/cc3)]],2,FALSE)</f>
        <v/>
      </c>
      <c r="D17" s="614" t="n"/>
      <c r="E17" s="614" t="n"/>
      <c r="F17" s="614" t="n"/>
      <c r="G17" s="36">
        <f>IF('INJ. MOULDING ESTIMATION'!$C$16&lt;4,'Input-Output'!$B$8/1000*30,'Mould Costing'!$D$9*'Mould Costing'!$E$9*'Mould Costing'!$F$9/1000)</f>
        <v/>
      </c>
      <c r="H17" s="37">
        <f>Table4[[#This Row],[Volume(in cm3)]]*Table4[[#This Row],[Density(g/cm3)]]/1000</f>
        <v/>
      </c>
      <c r="I17" s="37">
        <f>Table4[[#This Row],[Weight in Kg]]*1.1</f>
        <v/>
      </c>
      <c r="J17" s="37" t="n">
        <v>1</v>
      </c>
      <c r="K17" s="37">
        <f>Table4[[#This Row],[Total Weight in Kg (10% Machining Allowance)]]*Table4[[#This Row],[QTY]]</f>
        <v/>
      </c>
      <c r="L17" s="51">
        <f>VLOOKUP(Table4[[#This Row],[Material]],Table1[[Various Tool Steel]:[Price/Kg]],4,FALSE)</f>
        <v/>
      </c>
      <c r="M17" s="52">
        <f>Table4[[#This Row],[Total weight]]*Table4[[#This Row],[Price/kg]]</f>
        <v/>
      </c>
    </row>
    <row r="18">
      <c r="A18" s="33" t="inlineStr">
        <is>
          <t>Electrode (Finishing)</t>
        </is>
      </c>
      <c r="B18" s="34" t="inlineStr">
        <is>
          <t>Graphite</t>
        </is>
      </c>
      <c r="C18" s="35">
        <f>VLOOKUP(Table4[[#This Row],[Material]],Table1[[Various Tool Steel]:[Density(g/cc3)]],2,FALSE)</f>
        <v/>
      </c>
      <c r="D18" s="614" t="n"/>
      <c r="E18" s="614" t="n"/>
      <c r="F18" s="614" t="n"/>
      <c r="G18" s="36">
        <f>IF('INJ. MOULDING ESTIMATION'!$C$16&lt;4,'Input-Output'!$B$8/1000*10,'Mould Costing'!$D$9*'Mould Costing'!$E$9*'Mould Costing'!$F$9/1000)</f>
        <v/>
      </c>
      <c r="H18" s="37">
        <f>Table4[[#This Row],[Volume(in cm3)]]*Table4[[#This Row],[Density(g/cm3)]]/1000</f>
        <v/>
      </c>
      <c r="I18" s="37">
        <f>Table4[[#This Row],[Weight in Kg]]*1.1</f>
        <v/>
      </c>
      <c r="J18" s="37" t="n">
        <v>1</v>
      </c>
      <c r="K18" s="37">
        <f>Table4[[#This Row],[Total Weight in Kg (10% Machining Allowance)]]*Table4[[#This Row],[QTY]]</f>
        <v/>
      </c>
      <c r="L18" s="51">
        <f>VLOOKUP(Table4[[#This Row],[Material]],Table1[[Various Tool Steel]:[Price/Kg]],4,FALSE)</f>
        <v/>
      </c>
      <c r="M18" s="52">
        <f>Table4[[#This Row],[Total weight]]*Table4[[#This Row],[Price/kg]]</f>
        <v/>
      </c>
    </row>
    <row r="19">
      <c r="A19" s="28" t="inlineStr">
        <is>
          <t>Guide Pillar</t>
        </is>
      </c>
      <c r="B19" s="29" t="inlineStr">
        <is>
          <t>OHNS</t>
        </is>
      </c>
      <c r="C19" s="30">
        <f>VLOOKUP(Table4[[#This Row],[Material]],Table1[[Various Tool Steel]:[Density(g/cc3)]],2,FALSE)</f>
        <v/>
      </c>
      <c r="D19" s="518" t="n"/>
      <c r="E19" s="31">
        <f>'Guide Pillar'!F10</f>
        <v/>
      </c>
      <c r="F19" s="31">
        <f>F14+F15</f>
        <v/>
      </c>
      <c r="G19" s="31">
        <f>3.14*Table4[[#This Row],[Width / Diameter]]^2*Table4[[#This Row],[Height]]/1000</f>
        <v/>
      </c>
      <c r="H19" s="32">
        <f>Table4[[#This Row],[Volume(in cm3)]]*Table4[[#This Row],[Density(g/cm3)]]/1000</f>
        <v/>
      </c>
      <c r="I19" s="32">
        <f>Table4[[#This Row],[Weight in Kg]]*1.1</f>
        <v/>
      </c>
      <c r="J19" s="32" t="n">
        <v>4</v>
      </c>
      <c r="K19" s="32">
        <f>Table4[[#This Row],[Total Weight in Kg (10% Machining Allowance)]]*Table4[[#This Row],[QTY]]</f>
        <v/>
      </c>
      <c r="L19" s="265">
        <f>VLOOKUP(Table4[[#This Row],[Material]],Table1[[Various Tool Steel]:[Price/Kg]],4,FALSE)</f>
        <v/>
      </c>
      <c r="M19" s="50">
        <f>Table4[[#This Row],[Total weight]]*Table4[[#This Row],[Price/kg]]</f>
        <v/>
      </c>
    </row>
    <row r="20">
      <c r="A20" s="28" t="inlineStr">
        <is>
          <t>Guide Bush</t>
        </is>
      </c>
      <c r="B20" s="29" t="inlineStr">
        <is>
          <t>OHNS</t>
        </is>
      </c>
      <c r="C20" s="30">
        <f>VLOOKUP(Table4[[#This Row],[Material]],Table1[[Various Tool Steel]:[Density(g/cc3)]],2,FALSE)</f>
        <v/>
      </c>
      <c r="D20" s="518" t="n"/>
      <c r="E20" s="31">
        <f>'Guide Pillar'!F10</f>
        <v/>
      </c>
      <c r="F20" s="31">
        <f>F15</f>
        <v/>
      </c>
      <c r="G20" s="31">
        <f>3.14*Table4[[#This Row],[Width / Diameter]]^2*Table4[[#This Row],[Height]]/1000</f>
        <v/>
      </c>
      <c r="H20" s="32">
        <f>Table4[[#This Row],[Volume(in cm3)]]*Table4[[#This Row],[Density(g/cm3)]]/1000</f>
        <v/>
      </c>
      <c r="I20" s="32">
        <f>Table4[[#This Row],[Weight in Kg]]*1.1</f>
        <v/>
      </c>
      <c r="J20" s="32" t="n">
        <v>4</v>
      </c>
      <c r="K20" s="32">
        <f>Table4[[#This Row],[Total Weight in Kg (10% Machining Allowance)]]*Table4[[#This Row],[QTY]]</f>
        <v/>
      </c>
      <c r="L20" s="265">
        <f>VLOOKUP(Table4[[#This Row],[Material]],Table1[[Various Tool Steel]:[Price/Kg]],4,FALSE)</f>
        <v/>
      </c>
      <c r="M20" s="50">
        <f>Table4[[#This Row],[Total weight]]*Table4[[#This Row],[Price/kg]]</f>
        <v/>
      </c>
    </row>
    <row r="21" ht="29" customHeight="1" s="450">
      <c r="A21" s="28" t="inlineStr">
        <is>
          <t>Locating Ring / Register Ring</t>
        </is>
      </c>
      <c r="B21" s="29" t="inlineStr">
        <is>
          <t>C-45</t>
        </is>
      </c>
      <c r="C21" s="30">
        <f>VLOOKUP(Table4[[#This Row],[Material]],Table1[[Various Tool Steel]:[Density(g/cc3)]],2,FALSE)</f>
        <v/>
      </c>
      <c r="D21" s="518" t="n"/>
      <c r="E21" s="518" t="n">
        <v>120</v>
      </c>
      <c r="F21" s="518" t="n">
        <v>12</v>
      </c>
      <c r="G21" s="31">
        <f>3.14*Table4[[#This Row],[Width / Diameter]]^2*Table4[[#This Row],[Height]]/1000</f>
        <v/>
      </c>
      <c r="H21" s="32">
        <f>Table4[[#This Row],[Volume(in cm3)]]*Table4[[#This Row],[Density(g/cm3)]]/1000</f>
        <v/>
      </c>
      <c r="I21" s="32">
        <f>Table4[[#This Row],[Weight in Kg]]*1.1</f>
        <v/>
      </c>
      <c r="J21" s="32" t="n">
        <v>1</v>
      </c>
      <c r="K21" s="32">
        <f>Table4[[#This Row],[Total Weight in Kg (10% Machining Allowance)]]*Table4[[#This Row],[QTY]]</f>
        <v/>
      </c>
      <c r="L21" s="265">
        <f>VLOOKUP(Table4[[#This Row],[Material]],Table1[[Various Tool Steel]:[Price/Kg]],4,FALSE)</f>
        <v/>
      </c>
      <c r="M21" s="50">
        <f>Table4[[#This Row],[Total weight]]*Table4[[#This Row],[Price/kg]]</f>
        <v/>
      </c>
    </row>
    <row r="22" ht="29" customHeight="1" s="450">
      <c r="D22">
        <f>2*'Input-Output'!B2+10%*2*'Input-Output'!B2</f>
        <v/>
      </c>
      <c r="E22">
        <f>'Input-Output'!B3+10%*'Input-Output'!B3</f>
        <v/>
      </c>
      <c r="F22">
        <f>'Input-Output'!B4+10%*'Input-Output'!B4</f>
        <v/>
      </c>
      <c r="G22" s="38" t="inlineStr">
        <is>
          <t>Total Mould Weight</t>
        </is>
      </c>
      <c r="H22" s="39">
        <f>SUM(H9:H20)</f>
        <v/>
      </c>
      <c r="I22" s="53">
        <f>SUM(Table4[Total Weight in Kg (10% Machining Allowance)])</f>
        <v/>
      </c>
      <c r="J22" s="265" t="n"/>
      <c r="K22" s="54">
        <f>SUM(Table4[Total weight])</f>
        <v/>
      </c>
      <c r="L22" s="55" t="inlineStr">
        <is>
          <t>TOTAL (A1)</t>
        </is>
      </c>
      <c r="M22" s="56">
        <f>INT(SUM(Table4[Total Price]))</f>
        <v/>
      </c>
    </row>
    <row r="23">
      <c r="A23" s="454" t="inlineStr">
        <is>
          <t>Material</t>
        </is>
      </c>
      <c r="B23" s="452" t="inlineStr">
        <is>
          <t>Total(in KG)</t>
        </is>
      </c>
      <c r="C23" s="498" t="inlineStr">
        <is>
          <t>Price/kg</t>
        </is>
      </c>
      <c r="D23" s="498" t="inlineStr">
        <is>
          <t>Total Price</t>
        </is>
      </c>
    </row>
    <row r="24">
      <c r="A24" s="28" t="inlineStr">
        <is>
          <t>C-45</t>
        </is>
      </c>
      <c r="B24" s="22">
        <f>(SUMIF($B$9:$B$21,VLOOKUP(Table3[[#This Row],[Material]],$B$9:$K$21,1,0),Table4[Total weight]))</f>
        <v/>
      </c>
      <c r="C24">
        <f>VLOOKUP(Table3[[#This Row],[Material]],Table1[],4,FALSE)</f>
        <v/>
      </c>
      <c r="D24">
        <f>Table3[[#This Row],[Total(in KG)]]*Table3[[#This Row],[Price/kg]]</f>
        <v/>
      </c>
    </row>
    <row r="25">
      <c r="A25" s="40" t="inlineStr">
        <is>
          <t>Case Hardening Steel</t>
        </is>
      </c>
      <c r="B25" s="22">
        <f>(SUMIF($B$9:$B$21,VLOOKUP(Table3[[#This Row],[Material]],$B$9:$K$21,1,0),Table4[Total weight]))</f>
        <v/>
      </c>
      <c r="C25">
        <f>VLOOKUP(Table3[[#This Row],[Material]],Table1[],4,FALSE)</f>
        <v/>
      </c>
      <c r="D25">
        <f>Table3[[#This Row],[Total(in KG)]]*Table3[[#This Row],[Price/kg]]</f>
        <v/>
      </c>
    </row>
    <row r="26">
      <c r="A26" s="40" t="inlineStr">
        <is>
          <t>Silver Steel</t>
        </is>
      </c>
      <c r="B26" s="22">
        <f>(SUMIF($B$9:$B$21,VLOOKUP(Table3[[#This Row],[Material]],$B$9:$K$21,1,0),Table4[Total weight]))</f>
        <v/>
      </c>
      <c r="C26">
        <f>VLOOKUP(Table3[[#This Row],[Material]],Table1[],4,FALSE)</f>
        <v/>
      </c>
      <c r="D26">
        <f>Table3[[#This Row],[Total(in KG)]]*Table3[[#This Row],[Price/kg]]</f>
        <v/>
      </c>
    </row>
    <row r="27">
      <c r="A27" s="40" t="inlineStr">
        <is>
          <t>OHNS</t>
        </is>
      </c>
      <c r="B27" s="22">
        <f>(SUMIF($B$9:$B$21,VLOOKUP(Table3[[#This Row],[Material]],$B$9:$K$21,1,0),Table4[Total weight]))</f>
        <v/>
      </c>
      <c r="C27">
        <f>VLOOKUP(Table3[[#This Row],[Material]],Table1[],4,FALSE)</f>
        <v/>
      </c>
      <c r="D27">
        <f>Table3[[#This Row],[Total(in KG)]]*Table3[[#This Row],[Price/kg]]</f>
        <v/>
      </c>
    </row>
    <row r="28">
      <c r="A28" s="40" t="inlineStr">
        <is>
          <t>HCHCr</t>
        </is>
      </c>
      <c r="B28" s="22">
        <f>(SUMIF($B$9:$B$21,VLOOKUP(Table3[[#This Row],[Material]],$B$9:$K$21,1,0),Table4[Total weight]))</f>
        <v/>
      </c>
      <c r="C28">
        <f>VLOOKUP(Table3[[#This Row],[Material]],Table1[],4,FALSE)</f>
        <v/>
      </c>
      <c r="D28">
        <f>Table3[[#This Row],[Total(in KG)]]*Table3[[#This Row],[Price/kg]]</f>
        <v/>
      </c>
    </row>
    <row r="29">
      <c r="A29" s="40" t="inlineStr">
        <is>
          <t>HDS</t>
        </is>
      </c>
      <c r="B29" s="22">
        <f>(SUMIF($B$9:$B$21,VLOOKUP(Table3[[#This Row],[Material]],$B$9:$K$21,1,0),Table4[Total weight]))</f>
        <v/>
      </c>
      <c r="C29">
        <f>VLOOKUP(Table3[[#This Row],[Material]],Table1[],4,FALSE)</f>
        <v/>
      </c>
      <c r="D29">
        <f>Table3[[#This Row],[Total(in KG)]]*Table3[[#This Row],[Price/kg]]</f>
        <v/>
      </c>
    </row>
    <row r="30">
      <c r="A30" s="40" t="inlineStr">
        <is>
          <t>HSS</t>
        </is>
      </c>
      <c r="B30" s="22">
        <f>(SUMIF($B$9:$B$21,VLOOKUP(Table3[[#This Row],[Material]],$B$9:$K$21,1,0),Table4[Total weight]))</f>
        <v/>
      </c>
      <c r="C30">
        <f>VLOOKUP(Table3[[#This Row],[Material]],Table1[],4,FALSE)</f>
        <v/>
      </c>
      <c r="D30">
        <f>Table3[[#This Row],[Total(in KG)]]*Table3[[#This Row],[Price/kg]]</f>
        <v/>
      </c>
    </row>
    <row r="31">
      <c r="A31" s="40" t="inlineStr">
        <is>
          <t>SG IRON</t>
        </is>
      </c>
      <c r="B31" s="22">
        <f>(SUMIF($B$9:$B$21,VLOOKUP(Table3[[#This Row],[Material]],$B$9:$K$21,1,0),Table4[Total weight]))</f>
        <v/>
      </c>
      <c r="C31">
        <f>VLOOKUP(Table3[[#This Row],[Material]],Table1[],4,FALSE)</f>
        <v/>
      </c>
      <c r="D31">
        <f>Table3[[#This Row],[Total(in KG)]]*Table3[[#This Row],[Price/kg]]</f>
        <v/>
      </c>
    </row>
    <row r="32">
      <c r="A32" s="41">
        <f>B18</f>
        <v/>
      </c>
      <c r="B32" s="42">
        <f>(SUMIF($B$9:$B$21,VLOOKUP(Table3[[#This Row],[Material]],$B$9:$K$21,1,0),Table4[Total weight]))</f>
        <v/>
      </c>
      <c r="C32">
        <f>VLOOKUP(Table3[[#This Row],[Material]],Table1[],4,FALSE)</f>
        <v/>
      </c>
      <c r="D32">
        <f>Table3[[#This Row],[Total(in KG)]]*Table3[[#This Row],[Price/kg]]</f>
        <v/>
      </c>
    </row>
    <row r="33">
      <c r="A33" s="43" t="inlineStr">
        <is>
          <t>P20</t>
        </is>
      </c>
      <c r="B33" s="22">
        <f>(SUMIF($B$9:$B$21,VLOOKUP(Table3[[#This Row],[Material]],$B$9:$K$21,1,0),Table4[Total weight]))</f>
        <v/>
      </c>
      <c r="C33">
        <f>VLOOKUP(Table3[[#This Row],[Material]],Table1[],4,FALSE)</f>
        <v/>
      </c>
      <c r="D33">
        <f>Table3[[#This Row],[Total(in KG)]]*Table3[[#This Row],[Price/kg]]</f>
        <v/>
      </c>
    </row>
    <row r="34">
      <c r="A34" s="43" t="n"/>
      <c r="B34" s="44">
        <f>SUM(B24:B33)</f>
        <v/>
      </c>
      <c r="C34" s="459" t="n"/>
      <c r="D34" s="213">
        <f>INT(SUM(Table3[Total Price]))</f>
        <v/>
      </c>
      <c r="E34" s="45" t="inlineStr">
        <is>
          <t>#ERROR#</t>
        </is>
      </c>
    </row>
    <row r="41">
      <c r="A41" s="527" t="inlineStr">
        <is>
          <t>Standard Items</t>
        </is>
      </c>
      <c r="B41" s="439" t="n"/>
      <c r="C41" s="439" t="n"/>
      <c r="D41" s="439" t="n"/>
      <c r="E41" s="437" t="n"/>
      <c r="F41" s="527" t="inlineStr">
        <is>
          <t>Spec / Size</t>
        </is>
      </c>
      <c r="G41" s="437" t="n"/>
      <c r="H41" s="528" t="inlineStr">
        <is>
          <t>QTY</t>
        </is>
      </c>
      <c r="I41" s="528" t="inlineStr">
        <is>
          <t>Rate / QTY</t>
        </is>
      </c>
      <c r="J41" s="437" t="n"/>
      <c r="K41" s="57" t="inlineStr">
        <is>
          <t>Cost</t>
        </is>
      </c>
    </row>
    <row r="42">
      <c r="A42" s="46" t="inlineStr">
        <is>
          <t>Sprue Bush</t>
        </is>
      </c>
      <c r="B42" s="41" t="n"/>
      <c r="C42" s="523" t="n"/>
      <c r="D42" s="439" t="n"/>
      <c r="E42" s="437" t="n"/>
      <c r="F42" s="518" t="n"/>
      <c r="G42" s="437" t="n"/>
      <c r="H42" s="518" t="n">
        <v>1</v>
      </c>
      <c r="I42" s="519" t="n">
        <v>6000</v>
      </c>
      <c r="J42" s="437" t="n"/>
      <c r="K42" s="518">
        <f>I42*H42</f>
        <v/>
      </c>
    </row>
    <row r="43">
      <c r="A43" s="46" t="inlineStr">
        <is>
          <t>Fasteners - Mould Clamping</t>
        </is>
      </c>
      <c r="B43" s="41" t="n"/>
      <c r="C43" s="523" t="inlineStr">
        <is>
          <t>Allen Bolt</t>
        </is>
      </c>
      <c r="D43" s="439" t="n"/>
      <c r="E43" s="437" t="n"/>
      <c r="F43" s="518" t="n"/>
      <c r="G43" s="437" t="n"/>
      <c r="H43" s="518" t="n">
        <v>8</v>
      </c>
      <c r="I43" s="519" t="n">
        <v>50</v>
      </c>
      <c r="J43" s="437" t="n"/>
      <c r="K43" s="518">
        <f>I43*H43</f>
        <v/>
      </c>
    </row>
    <row r="44">
      <c r="A44" s="46" t="inlineStr">
        <is>
          <t>Fasteners - Ejector Mechanism</t>
        </is>
      </c>
      <c r="B44" s="41" t="n"/>
      <c r="C44" s="523" t="inlineStr">
        <is>
          <t>Allen Bolt</t>
        </is>
      </c>
      <c r="D44" s="439" t="n"/>
      <c r="E44" s="437" t="n"/>
      <c r="F44" s="518" t="n"/>
      <c r="G44" s="437" t="n"/>
      <c r="H44" s="518" t="n">
        <v>6</v>
      </c>
      <c r="I44" s="519" t="n">
        <v>50</v>
      </c>
      <c r="J44" s="437" t="n"/>
      <c r="K44" s="518">
        <f>I44*H44</f>
        <v/>
      </c>
    </row>
    <row r="45">
      <c r="A45" s="516" t="inlineStr">
        <is>
          <t>Ejector Pins</t>
        </is>
      </c>
      <c r="B45" s="338" t="n"/>
      <c r="C45" s="518" t="n"/>
      <c r="D45" s="439" t="n"/>
      <c r="E45" s="437" t="n"/>
      <c r="F45" s="518" t="n"/>
      <c r="G45" s="437" t="n"/>
      <c r="H45" s="518" t="n">
        <v>6</v>
      </c>
      <c r="I45" s="519" t="n">
        <v>500</v>
      </c>
      <c r="J45" s="437" t="n"/>
      <c r="K45" s="518">
        <f>I45*H45</f>
        <v/>
      </c>
    </row>
    <row r="46">
      <c r="A46" s="516" t="inlineStr">
        <is>
          <t>Return Pins</t>
        </is>
      </c>
      <c r="B46" s="338" t="n"/>
      <c r="C46" s="518" t="n"/>
      <c r="D46" s="439" t="n"/>
      <c r="E46" s="437" t="n"/>
      <c r="F46" s="518" t="n"/>
      <c r="G46" s="437" t="n"/>
      <c r="H46" s="518" t="n">
        <v>6</v>
      </c>
      <c r="I46" s="519" t="n">
        <v>600</v>
      </c>
      <c r="J46" s="437" t="n"/>
      <c r="K46" s="518">
        <f>I46*H46</f>
        <v/>
      </c>
    </row>
    <row r="47">
      <c r="A47" s="46" t="inlineStr">
        <is>
          <t>Springs</t>
        </is>
      </c>
      <c r="B47" s="41" t="n"/>
      <c r="C47" s="518" t="n"/>
      <c r="D47" s="439" t="n"/>
      <c r="E47" s="437" t="n"/>
      <c r="F47" s="518" t="n"/>
      <c r="G47" s="437" t="n"/>
      <c r="H47" s="518" t="n">
        <v>4</v>
      </c>
      <c r="I47" s="519" t="n">
        <v>150</v>
      </c>
      <c r="J47" s="437" t="n"/>
      <c r="K47" s="518">
        <f>I47*H47</f>
        <v/>
      </c>
    </row>
    <row r="48">
      <c r="A48" s="46" t="inlineStr">
        <is>
          <t>Cooling Nipples</t>
        </is>
      </c>
      <c r="B48" s="41" t="n"/>
      <c r="C48" s="523" t="n"/>
      <c r="D48" s="439" t="n"/>
      <c r="E48" s="437" t="n"/>
      <c r="F48" s="518" t="n"/>
      <c r="G48" s="437" t="n"/>
      <c r="H48" s="518" t="n">
        <v>6</v>
      </c>
      <c r="I48" s="519" t="n">
        <v>200</v>
      </c>
      <c r="J48" s="437" t="n"/>
      <c r="K48" s="518">
        <f>I48*H48</f>
        <v/>
      </c>
    </row>
    <row r="49">
      <c r="A49" s="46" t="inlineStr">
        <is>
          <t>Hydraulic Cylinders</t>
        </is>
      </c>
      <c r="B49" s="41" t="n"/>
      <c r="C49" s="523" t="n"/>
      <c r="D49" s="439" t="n"/>
      <c r="E49" s="437" t="n"/>
      <c r="F49" s="518" t="n"/>
      <c r="G49" s="437" t="n"/>
      <c r="H49" s="518" t="n"/>
      <c r="I49" s="519" t="n"/>
      <c r="J49" s="437" t="n"/>
      <c r="K49" s="518">
        <f>I49*H49</f>
        <v/>
      </c>
    </row>
    <row r="50">
      <c r="A50" s="525" t="n"/>
      <c r="B50" s="459" t="n"/>
      <c r="C50" s="459" t="n"/>
      <c r="D50" s="459" t="n"/>
      <c r="E50" s="459" t="n"/>
      <c r="F50" s="459" t="n"/>
      <c r="G50" s="459" t="n"/>
      <c r="H50" s="459" t="n"/>
      <c r="I50" s="459" t="n"/>
      <c r="J50" t="inlineStr">
        <is>
          <t>Total (A2)</t>
        </is>
      </c>
      <c r="K50" s="58">
        <f>IF('INJ. MOULDING ESTIMATION'!C16&lt;1,SUM(K42:K49)*COMPLEXITY!B2,SUM(K42:K49))</f>
        <v/>
      </c>
    </row>
    <row r="51">
      <c r="A51" s="453" t="n"/>
      <c r="B51" s="453" t="n"/>
      <c r="C51" s="453" t="n"/>
      <c r="D51" s="453" t="n"/>
      <c r="E51" s="453" t="n"/>
      <c r="F51" s="453" t="n"/>
      <c r="G51" s="453" t="n"/>
      <c r="H51" s="453" t="n"/>
      <c r="I51" s="453" t="n"/>
      <c r="J51" s="55" t="inlineStr">
        <is>
          <t>Total (A1+A2)</t>
        </is>
      </c>
      <c r="K51" s="59">
        <f>K50+M22</f>
        <v/>
      </c>
    </row>
    <row r="52" ht="18.5" customHeight="1" s="450">
      <c r="A52" s="521" t="inlineStr">
        <is>
          <t>Others Details</t>
        </is>
      </c>
      <c r="B52" s="439" t="n"/>
      <c r="C52" s="439" t="n"/>
      <c r="D52" s="439" t="n"/>
      <c r="E52" s="439" t="n"/>
      <c r="F52" s="439" t="n"/>
      <c r="G52" s="439" t="n"/>
      <c r="H52" s="439" t="n"/>
      <c r="I52" s="439" t="n"/>
      <c r="J52" s="439" t="n"/>
      <c r="K52" s="437" t="n"/>
      <c r="N52">
        <f>IF('Input-Output'!B5&lt;20000,20000,IF('Input-Output'!B5&lt;40000,40000,IF('Input-Output'!B5&lt;60000,60000,80000)))</f>
        <v/>
      </c>
    </row>
    <row r="53" ht="29" customHeight="1" s="450">
      <c r="A53" s="522" t="inlineStr">
        <is>
          <t>Item Description</t>
        </is>
      </c>
      <c r="B53" s="439" t="n"/>
      <c r="C53" s="439" t="n"/>
      <c r="D53" s="439" t="n"/>
      <c r="E53" s="437" t="n"/>
      <c r="F53" s="526" t="inlineStr">
        <is>
          <t>TVS/Supplier</t>
        </is>
      </c>
      <c r="G53" s="437" t="n"/>
      <c r="H53" s="340" t="n"/>
      <c r="I53" s="526" t="inlineStr">
        <is>
          <t>Time in Hrs</t>
        </is>
      </c>
      <c r="J53" s="526" t="inlineStr">
        <is>
          <t>Rate / Hour</t>
        </is>
      </c>
      <c r="K53" s="526" t="inlineStr">
        <is>
          <t>Amount in Rs</t>
        </is>
      </c>
      <c r="M53" s="212" t="inlineStr">
        <is>
          <t>Dimension Factor</t>
        </is>
      </c>
      <c r="N53">
        <f>VLOOKUP(N52,M54:N57,2,FALSE)</f>
        <v/>
      </c>
    </row>
    <row r="54">
      <c r="A54" s="523" t="inlineStr">
        <is>
          <t>Design Cost</t>
        </is>
      </c>
      <c r="B54" s="439" t="n"/>
      <c r="C54" s="439" t="n"/>
      <c r="D54" s="439" t="n"/>
      <c r="E54" s="437" t="n"/>
      <c r="F54" s="518" t="inlineStr">
        <is>
          <t>TVS</t>
        </is>
      </c>
      <c r="G54" s="437" t="n"/>
      <c r="H54" s="339" t="n"/>
      <c r="I54" s="518">
        <f>50*VLOOKUP('INJ. MOULDING ESTIMATION'!C16,COMPLEXITY!A1:B7,2,FALSE)</f>
        <v/>
      </c>
      <c r="J54" s="518" t="n">
        <v>800</v>
      </c>
      <c r="K54" s="518">
        <f>J54*I54*N53</f>
        <v/>
      </c>
      <c r="M54" t="n">
        <v>20000</v>
      </c>
      <c r="N54" t="n">
        <v>0.6</v>
      </c>
    </row>
    <row r="55">
      <c r="A55" s="523" t="inlineStr">
        <is>
          <t>Assembly Cost</t>
        </is>
      </c>
      <c r="B55" s="439" t="n"/>
      <c r="C55" s="439" t="n"/>
      <c r="D55" s="439" t="n"/>
      <c r="E55" s="437" t="n"/>
      <c r="F55" s="518" t="inlineStr">
        <is>
          <t>TVS</t>
        </is>
      </c>
      <c r="G55" s="437" t="n"/>
      <c r="H55" s="339" t="n"/>
      <c r="I55" s="518">
        <f>30*VLOOKUP('INJ. MOULDING ESTIMATION'!C16,COMPLEXITY!A1:B7,2,TRUE)</f>
        <v/>
      </c>
      <c r="J55" s="518" t="n">
        <v>350</v>
      </c>
      <c r="K55" s="518">
        <f>J55*I55*N53</f>
        <v/>
      </c>
      <c r="M55" t="n">
        <v>40000</v>
      </c>
      <c r="N55" t="n">
        <v>0.8</v>
      </c>
    </row>
    <row r="56">
      <c r="A56" s="523" t="inlineStr">
        <is>
          <t>Mold Flow Charges</t>
        </is>
      </c>
      <c r="B56" s="439" t="n"/>
      <c r="C56" s="439" t="n"/>
      <c r="D56" s="439" t="n"/>
      <c r="E56" s="437" t="n"/>
      <c r="F56" s="518" t="inlineStr">
        <is>
          <t>TVS</t>
        </is>
      </c>
      <c r="G56" s="437" t="n"/>
      <c r="H56" s="339">
        <f>Website!B8</f>
        <v/>
      </c>
      <c r="I56" s="518">
        <f>1*VLOOKUP('INJ. MOULDING ESTIMATION'!C16,COMPLEXITY!A1:B7,2,TRUE)</f>
        <v/>
      </c>
      <c r="J56" s="518" t="n">
        <v>40000</v>
      </c>
      <c r="K56" s="518">
        <f>IF(H56,J56*I56,0)</f>
        <v/>
      </c>
      <c r="M56" t="n">
        <v>60000</v>
      </c>
      <c r="N56" t="n">
        <v>1</v>
      </c>
    </row>
    <row r="57">
      <c r="A57" s="523" t="inlineStr">
        <is>
          <t>Trial Charges</t>
        </is>
      </c>
      <c r="B57" s="439" t="n"/>
      <c r="C57" s="439" t="n"/>
      <c r="D57" s="439" t="n"/>
      <c r="E57" s="437" t="n"/>
      <c r="F57" s="518" t="inlineStr">
        <is>
          <t>TVS</t>
        </is>
      </c>
      <c r="G57" s="437" t="n"/>
      <c r="H57" s="339" t="n"/>
      <c r="I57" s="518">
        <f>1*VLOOKUP('INJ. MOULDING ESTIMATION'!C16,COMPLEXITY!A2:B7,2,TRUE)</f>
        <v/>
      </c>
      <c r="J57" s="518" t="n">
        <v>10000</v>
      </c>
      <c r="K57" s="518">
        <f>I57*J57</f>
        <v/>
      </c>
      <c r="M57" t="n">
        <v>80000</v>
      </c>
      <c r="N57" t="n">
        <v>1.2</v>
      </c>
    </row>
    <row r="58">
      <c r="A58" s="523" t="inlineStr">
        <is>
          <t>Surface Generation</t>
        </is>
      </c>
      <c r="B58" s="439" t="n"/>
      <c r="C58" s="439" t="n"/>
      <c r="D58" s="439" t="n"/>
      <c r="E58" s="437" t="n"/>
      <c r="F58" s="518" t="inlineStr">
        <is>
          <t>TVS</t>
        </is>
      </c>
      <c r="G58" s="437" t="n"/>
      <c r="H58" s="339" t="n"/>
      <c r="I58" s="518">
        <f>20*VLOOKUP('INJ. MOULDING ESTIMATION'!C16,COMPLEXITY!A1:B7,2,TRUE)</f>
        <v/>
      </c>
      <c r="J58" s="518" t="n">
        <v>800</v>
      </c>
      <c r="K58" s="518">
        <f>J58*I58*N53</f>
        <v/>
      </c>
    </row>
    <row r="59">
      <c r="A59" s="523" t="inlineStr">
        <is>
          <t>Inspection &amp; Proving</t>
        </is>
      </c>
      <c r="B59" s="439" t="n"/>
      <c r="C59" s="439" t="n"/>
      <c r="D59" s="439" t="n"/>
      <c r="E59" s="437" t="n"/>
      <c r="F59" s="518" t="inlineStr">
        <is>
          <t>TVS</t>
        </is>
      </c>
      <c r="G59" s="437" t="n"/>
      <c r="H59" s="339" t="n"/>
      <c r="I59" s="316">
        <f>50*VLOOKUP('INJ. MOULDING ESTIMATION'!C16,COMPLEXITY!A2:B7,2,TRUE)</f>
        <v/>
      </c>
      <c r="J59" s="518" t="n">
        <v>1000</v>
      </c>
      <c r="K59" s="518">
        <f>I59*J59</f>
        <v/>
      </c>
    </row>
    <row r="60">
      <c r="J60" s="55" t="inlineStr">
        <is>
          <t>TOTAL (C)</t>
        </is>
      </c>
      <c r="K60" s="60">
        <f>SUM(K54:K59)</f>
        <v/>
      </c>
    </row>
    <row r="62">
      <c r="I62">
        <f>VLOOKUP('INJ. MOULDING ESTIMATION'!C16,COMPLEXITY!A1:B7,2,TRUE)</f>
        <v/>
      </c>
    </row>
    <row r="63">
      <c r="C63" s="532" t="inlineStr">
        <is>
          <t>TOTAL(A+B+C)</t>
        </is>
      </c>
      <c r="D63" s="439" t="n"/>
      <c r="E63" s="437" t="n"/>
      <c r="F63" s="47">
        <f>SUM(M22+K50+K60)</f>
        <v/>
      </c>
    </row>
    <row r="65" ht="18.5" customHeight="1" s="450">
      <c r="A65" s="521" t="inlineStr">
        <is>
          <t>Conversion / Machining Cost</t>
        </is>
      </c>
      <c r="B65" s="439" t="n"/>
      <c r="C65" s="439" t="n"/>
      <c r="D65" s="439" t="n"/>
      <c r="E65" s="439" t="n"/>
      <c r="F65" s="439" t="n"/>
      <c r="G65" s="439" t="n"/>
      <c r="H65" s="439" t="n"/>
      <c r="I65" s="439" t="n"/>
      <c r="J65" s="439" t="n"/>
      <c r="K65" s="439" t="n"/>
      <c r="L65" s="439" t="n"/>
      <c r="M65" s="439" t="n"/>
      <c r="N65" s="439" t="n"/>
      <c r="O65" s="439" t="n"/>
      <c r="P65" s="437" t="n"/>
    </row>
    <row r="66" ht="43.5" customHeight="1" s="450">
      <c r="B66" s="526" t="inlineStr">
        <is>
          <t>Conv Milling - Facing</t>
        </is>
      </c>
      <c r="C66" s="526" t="inlineStr">
        <is>
          <t>Conv Milling - End Milling</t>
        </is>
      </c>
      <c r="D66" s="526" t="inlineStr">
        <is>
          <t>Conv Lathe - Facing / Turning</t>
        </is>
      </c>
      <c r="E66" s="526" t="inlineStr">
        <is>
          <t>Surface Grinding</t>
        </is>
      </c>
      <c r="F66" s="526" t="inlineStr">
        <is>
          <t>Cylindrical Grinding</t>
        </is>
      </c>
      <c r="G66" s="526" t="inlineStr">
        <is>
          <t>Radial Drilling - Hole drilling</t>
        </is>
      </c>
      <c r="H66" s="526" t="inlineStr">
        <is>
          <t>Radial Drilling - Reaming / Tapping</t>
        </is>
      </c>
      <c r="I66" s="526" t="inlineStr">
        <is>
          <t>Pillar Drilling</t>
        </is>
      </c>
      <c r="J66" s="526" t="inlineStr">
        <is>
          <t>Gun Drilling</t>
        </is>
      </c>
      <c r="K66" s="526" t="inlineStr">
        <is>
          <t>NC EDM</t>
        </is>
      </c>
      <c r="L66" s="526" t="inlineStr">
        <is>
          <t>Wirecut EDM</t>
        </is>
      </c>
      <c r="M66" s="526" t="inlineStr">
        <is>
          <t>Jig Boring</t>
        </is>
      </c>
      <c r="N66" s="526" t="inlineStr">
        <is>
          <t>CNC Lathe</t>
        </is>
      </c>
      <c r="O66" s="526" t="inlineStr">
        <is>
          <t>CNC Milling</t>
        </is>
      </c>
      <c r="P66" s="526" t="inlineStr">
        <is>
          <t>CNC EDM</t>
        </is>
      </c>
      <c r="Q66" s="526" t="inlineStr">
        <is>
          <t>Bench Work</t>
        </is>
      </c>
    </row>
    <row r="67">
      <c r="A67" t="inlineStr">
        <is>
          <t>Top Clamp Plate</t>
        </is>
      </c>
      <c r="B67" s="615">
        <f>SUMIF('Machining Time'!$C$4:$C$18,'Mould Costing'!B66,'Machining Time'!$L$4:$L$18)</f>
        <v/>
      </c>
      <c r="C67" s="615">
        <f>SUMIF('Machining Time'!$C$4:$C$18,'Mould Costing'!C66,'Machining Time'!$L$4:$L$18)</f>
        <v/>
      </c>
      <c r="D67" s="615">
        <f>SUMIF('Machining Time'!$C$4:$C$18,'Mould Costing'!D66,'Machining Time'!$L$4:$L$18)</f>
        <v/>
      </c>
      <c r="E67" s="615">
        <f>SUMIF('Machining Time'!$C$4:$C$18,'Mould Costing'!E66,'Machining Time'!$L$4:$L$18)</f>
        <v/>
      </c>
      <c r="F67" s="615">
        <f>SUMIF('Machining Time'!$C$4:$C$18,'Mould Costing'!F66,'Machining Time'!$L$4:$L$18)</f>
        <v/>
      </c>
      <c r="G67" s="615">
        <f>SUMIF('Machining Time'!$C$4:$C$18,'Mould Costing'!G66,'Machining Time'!$L$4:$L$18)</f>
        <v/>
      </c>
      <c r="H67" s="615">
        <f>SUMIF('Machining Time'!$C$4:$C$18,'Mould Costing'!H66,'Machining Time'!$L$4:$L$18)</f>
        <v/>
      </c>
      <c r="I67" s="615">
        <f>SUMIF('Machining Time'!$C$4:$C$18,'Mould Costing'!I66,'Machining Time'!$L$4:$L$18)</f>
        <v/>
      </c>
      <c r="J67" s="615">
        <f>SUMIF('Machining Time'!$C$4:$C$18,'Mould Costing'!J66,'Machining Time'!$L$4:$L$18)</f>
        <v/>
      </c>
      <c r="K67" s="615">
        <f>SUMIF('Machining Time'!$C$4:$C$18,'Mould Costing'!K66,'Machining Time'!$L$4:$L$18)</f>
        <v/>
      </c>
      <c r="L67" s="615">
        <f>SUMIF('Machining Time'!$C$4:$C$18,'Mould Costing'!L66,'Machining Time'!$L$4:$L$18)</f>
        <v/>
      </c>
      <c r="M67" s="615">
        <f>SUMIF('Machining Time'!$C$4:$C$18,'Mould Costing'!M66,'Machining Time'!$L$4:$L$18)</f>
        <v/>
      </c>
      <c r="N67" s="615">
        <f>SUMIF('Machining Time'!$C$4:$C$18,'Mould Costing'!N66,'Machining Time'!$L$4:$L$18)</f>
        <v/>
      </c>
      <c r="O67" s="615">
        <f>SUMIF('Machining Time'!$C$4:$C$18,'Mould Costing'!O66,'Machining Time'!$L$4:$L$18)</f>
        <v/>
      </c>
      <c r="P67" s="615">
        <f>SUMIF('Machining Time'!$C$4:$C$18,'Mould Costing'!P66,'Machining Time'!$L$4:$L$18)</f>
        <v/>
      </c>
      <c r="Q67" s="616" t="n">
        <v>4</v>
      </c>
    </row>
    <row r="68">
      <c r="A68" t="inlineStr">
        <is>
          <t>Bottom Clamp Plate</t>
        </is>
      </c>
      <c r="B68" s="615">
        <f>SUMIF('Machining Time'!$C$23:$C$37,'Mould Costing'!B$66,'Machining Time'!$L$23:$L$37)</f>
        <v/>
      </c>
      <c r="C68" s="615">
        <f>SUMIF('Machining Time'!$C$23:$C$37,'Mould Costing'!C66,'Machining Time'!$L$23:$L$37)</f>
        <v/>
      </c>
      <c r="D68" s="615">
        <f>SUMIF('Machining Time'!$C$23:$C$37,'Mould Costing'!D66,'Machining Time'!$L$23:$L$37)</f>
        <v/>
      </c>
      <c r="E68" s="615">
        <f>SUMIF('Machining Time'!$C$23:$C$37,'Mould Costing'!E66,'Machining Time'!$L$23:$L$37)</f>
        <v/>
      </c>
      <c r="F68" s="615">
        <f>SUMIF('Machining Time'!$C$23:$C$37,'Mould Costing'!F66,'Machining Time'!$L$23:$L$37)</f>
        <v/>
      </c>
      <c r="G68" s="615">
        <f>SUMIF('Machining Time'!$C$23:$C$37,'Mould Costing'!G66,'Machining Time'!$L$23:$L$37)</f>
        <v/>
      </c>
      <c r="H68" s="615">
        <f>SUMIF('Machining Time'!$C$23:$C$37,'Mould Costing'!H66,'Machining Time'!$L$23:$L$37)</f>
        <v/>
      </c>
      <c r="I68" s="615">
        <f>SUMIF('Machining Time'!$C$23:$C$37,'Mould Costing'!I66,'Machining Time'!$L$23:$L$37)</f>
        <v/>
      </c>
      <c r="J68" s="615">
        <f>SUMIF('Machining Time'!$C$23:$C$37,'Mould Costing'!J66,'Machining Time'!$L$23:$L$37)</f>
        <v/>
      </c>
      <c r="K68" s="615">
        <f>SUMIF('Machining Time'!$C$23:$C$37,'Mould Costing'!K66,'Machining Time'!$L$23:$L$37)</f>
        <v/>
      </c>
      <c r="L68" s="615">
        <f>SUMIF('Machining Time'!$C$23:$C$37,'Mould Costing'!L66,'Machining Time'!$L$23:$L$37)</f>
        <v/>
      </c>
      <c r="M68" s="615">
        <f>SUMIF('Machining Time'!$C$23:$C$37,'Mould Costing'!M66,'Machining Time'!$L$23:$L$37)</f>
        <v/>
      </c>
      <c r="N68" s="615">
        <f>SUMIF('Machining Time'!$C$23:$C$37,'Mould Costing'!N66,'Machining Time'!$L$23:$L$37)</f>
        <v/>
      </c>
      <c r="O68" s="615">
        <f>SUMIF('Machining Time'!$C$23:$C$37,'Mould Costing'!O66,'Machining Time'!$L$23:$L$37)</f>
        <v/>
      </c>
      <c r="P68" s="615">
        <f>SUMIF('Machining Time'!$C$23:$C$37,'Mould Costing'!P66,'Machining Time'!$L$23:$L$37)</f>
        <v/>
      </c>
      <c r="Q68" s="616" t="n">
        <v>4</v>
      </c>
    </row>
    <row r="69">
      <c r="A69" t="inlineStr">
        <is>
          <t>Spacer Block</t>
        </is>
      </c>
      <c r="B69" s="615">
        <f>SUMIF('Machining Time'!$C$42:$C$57,'Mould Costing'!B$66,'Machining Time'!$L$42:$L$57)</f>
        <v/>
      </c>
      <c r="C69" s="615">
        <f>SUMIF('Machining Time'!$C$42:$C$57,'Mould Costing'!C$66,'Machining Time'!$L$42:$L$57)</f>
        <v/>
      </c>
      <c r="D69" s="615">
        <f>SUMIF('Machining Time'!$C$42:$C$57,'Mould Costing'!D$66,'Machining Time'!$L$42:$L$57)</f>
        <v/>
      </c>
      <c r="E69" s="615">
        <f>SUMIF('Machining Time'!$C$42:$C$57,'Mould Costing'!E$66,'Machining Time'!$L$42:$L$57)</f>
        <v/>
      </c>
      <c r="F69" s="615">
        <f>SUMIF('Machining Time'!$C$42:$C$57,'Mould Costing'!F$66,'Machining Time'!$L$42:$L$57)</f>
        <v/>
      </c>
      <c r="G69" s="615">
        <f>SUMIF('Machining Time'!$C$42:$C$57,'Mould Costing'!G$66,'Machining Time'!$L$42:$L$57)</f>
        <v/>
      </c>
      <c r="H69" s="615">
        <f>SUMIF('Machining Time'!$C$42:$C$57,'Mould Costing'!H$66,'Machining Time'!$L$42:$L$57)</f>
        <v/>
      </c>
      <c r="I69" s="615">
        <f>SUMIF('Machining Time'!$C$42:$C$57,'Mould Costing'!I$66,'Machining Time'!$L$42:$L$57)</f>
        <v/>
      </c>
      <c r="J69" s="615">
        <f>SUMIF('Machining Time'!$C$42:$C$57,'Mould Costing'!J$66,'Machining Time'!$L$42:$L$57)</f>
        <v/>
      </c>
      <c r="K69" s="615">
        <f>SUMIF('Machining Time'!$C$42:$C$57,'Mould Costing'!K$66,'Machining Time'!$L$42:$L$57)</f>
        <v/>
      </c>
      <c r="L69" s="615">
        <f>SUMIF('Machining Time'!$C$42:$C$57,'Mould Costing'!L$66,'Machining Time'!$L$42:$L$57)</f>
        <v/>
      </c>
      <c r="M69" s="615">
        <f>SUMIF('Machining Time'!$C$42:$C$57,'Mould Costing'!M$66,'Machining Time'!$L$42:$L$57)</f>
        <v/>
      </c>
      <c r="N69" s="615">
        <f>SUMIF('Machining Time'!$C$42:$C$57,'Mould Costing'!N$66,'Machining Time'!$L$42:$L$57)</f>
        <v/>
      </c>
      <c r="O69" s="615">
        <f>SUMIF('Machining Time'!$C$42:$C$57,'Mould Costing'!O$66,'Machining Time'!$L$42:$L$57)</f>
        <v/>
      </c>
      <c r="P69" s="615">
        <f>SUMIF('Machining Time'!$C$42:$C$57,'Mould Costing'!P$66,'Machining Time'!$L$42:$L$57)</f>
        <v/>
      </c>
      <c r="Q69" s="616" t="n">
        <v>4</v>
      </c>
    </row>
    <row r="70">
      <c r="A70" t="inlineStr">
        <is>
          <t>Ejector Retainer Plate</t>
        </is>
      </c>
      <c r="B70" s="615">
        <f>SUMIF('Machining Time'!$C$61:$C$76,'Mould Costing'!B$66,'Machining Time'!$L$61:$L$76)</f>
        <v/>
      </c>
      <c r="C70" s="615">
        <f>SUMIF('Machining Time'!$C$61:$C$76,'Mould Costing'!C$66,'Machining Time'!$L$61:$L$76)</f>
        <v/>
      </c>
      <c r="D70" s="615">
        <f>SUMIF('Machining Time'!$C$61:$C$76,'Mould Costing'!D$66,'Machining Time'!$L$61:$L$76)</f>
        <v/>
      </c>
      <c r="E70" s="615">
        <f>SUMIF('Machining Time'!$C$61:$C$76,'Mould Costing'!E$66,'Machining Time'!$L$61:$L$76)</f>
        <v/>
      </c>
      <c r="F70" s="615">
        <f>SUMIF('Machining Time'!$C$61:$C$76,'Mould Costing'!F$66,'Machining Time'!$L$61:$L$76)</f>
        <v/>
      </c>
      <c r="G70" s="615">
        <f>SUMIF('Machining Time'!$C$61:$C$76,'Mould Costing'!G$66,'Machining Time'!$L$61:$L$76)</f>
        <v/>
      </c>
      <c r="H70" s="615">
        <f>SUMIF('Machining Time'!$C$61:$C$76,'Mould Costing'!H$66,'Machining Time'!$L$61:$L$76)</f>
        <v/>
      </c>
      <c r="I70" s="615">
        <f>SUMIF('Machining Time'!$C$61:$C$76,'Mould Costing'!I$66,'Machining Time'!$L$61:$L$76)</f>
        <v/>
      </c>
      <c r="J70" s="615">
        <f>SUMIF('Machining Time'!$C$61:$C$76,'Mould Costing'!J$66,'Machining Time'!$L$61:$L$76)</f>
        <v/>
      </c>
      <c r="K70" s="615">
        <f>SUMIF('Machining Time'!$C$61:$C$76,'Mould Costing'!K$66,'Machining Time'!$L$61:$L$76)</f>
        <v/>
      </c>
      <c r="L70" s="615">
        <f>SUMIF('Machining Time'!$C$61:$C$76,'Mould Costing'!L$66,'Machining Time'!$L$61:$L$76)</f>
        <v/>
      </c>
      <c r="M70" s="615">
        <f>SUMIF('Machining Time'!$C$61:$C$76,'Mould Costing'!M$66,'Machining Time'!$L$61:$L$76)</f>
        <v/>
      </c>
      <c r="N70" s="615">
        <f>SUMIF('Machining Time'!$C$61:$C$76,'Mould Costing'!N$66,'Machining Time'!$L$61:$L$76)</f>
        <v/>
      </c>
      <c r="O70" s="615">
        <f>SUMIF('Machining Time'!$C$61:$C$76,'Mould Costing'!O$66,'Machining Time'!$L$61:$L$76)</f>
        <v/>
      </c>
      <c r="P70" s="615">
        <f>SUMIF('Machining Time'!$C$61:$C$76,'Mould Costing'!P$66,'Machining Time'!$L$61:$L$76)</f>
        <v/>
      </c>
      <c r="Q70" s="616" t="n">
        <v>2</v>
      </c>
    </row>
    <row r="71">
      <c r="A71" t="inlineStr">
        <is>
          <t>Ejector Back Plate</t>
        </is>
      </c>
      <c r="B71" s="615">
        <f>SUMIF('Machining Time'!$C$80:$C$95,'Mould Costing'!B$66,'Machining Time'!$L$80:$L$95)</f>
        <v/>
      </c>
      <c r="C71" s="615">
        <f>SUMIF('Machining Time'!$C$80:$C$95,'Mould Costing'!C$66,'Machining Time'!$L$80:$L$95)</f>
        <v/>
      </c>
      <c r="D71" s="615">
        <f>SUMIF('Machining Time'!$C$80:$C$95,'Mould Costing'!D$66,'Machining Time'!$L$80:$L$95)</f>
        <v/>
      </c>
      <c r="E71" s="615">
        <f>SUMIF('Machining Time'!$C$80:$C$95,'Mould Costing'!E$66,'Machining Time'!$L$80:$L$95)</f>
        <v/>
      </c>
      <c r="F71" s="615">
        <f>SUMIF('Machining Time'!$C$80:$C$95,'Mould Costing'!F$66,'Machining Time'!$L$80:$L$95)</f>
        <v/>
      </c>
      <c r="G71" s="615">
        <f>SUMIF('Machining Time'!$C$80:$C$95,'Mould Costing'!G$66,'Machining Time'!$L$80:$L$95)</f>
        <v/>
      </c>
      <c r="H71" s="615">
        <f>SUMIF('Machining Time'!$C$80:$C$95,'Mould Costing'!H$66,'Machining Time'!$L$80:$L$95)</f>
        <v/>
      </c>
      <c r="I71" s="615">
        <f>SUMIF('Machining Time'!$C$80:$C$95,'Mould Costing'!I$66,'Machining Time'!$L$80:$L$95)</f>
        <v/>
      </c>
      <c r="J71" s="615">
        <f>SUMIF('Machining Time'!$C$80:$C$95,'Mould Costing'!J$66,'Machining Time'!$L$80:$L$95)</f>
        <v/>
      </c>
      <c r="K71" s="615">
        <f>SUMIF('Machining Time'!$C$80:$C$95,'Mould Costing'!K$66,'Machining Time'!$L$80:$L$95)</f>
        <v/>
      </c>
      <c r="L71" s="615">
        <f>SUMIF('Machining Time'!$C$80:$C$95,'Mould Costing'!L$66,'Machining Time'!$L$80:$L$95)</f>
        <v/>
      </c>
      <c r="M71" s="615">
        <f>SUMIF('Machining Time'!$C$80:$C$95,'Mould Costing'!M$66,'Machining Time'!$L$80:$L$95)</f>
        <v/>
      </c>
      <c r="N71" s="615">
        <f>SUMIF('Machining Time'!$C$80:$C$95,'Mould Costing'!N$66,'Machining Time'!$L$80:$L$95)</f>
        <v/>
      </c>
      <c r="O71" s="615">
        <f>SUMIF('Machining Time'!$C$80:$C$95,'Mould Costing'!O$66,'Machining Time'!$L$80:$L$95)</f>
        <v/>
      </c>
      <c r="P71" s="615">
        <f>SUMIF('Machining Time'!$C$80:$C$95,'Mould Costing'!P$66,'Machining Time'!$L$80:$L$95)</f>
        <v/>
      </c>
      <c r="Q71" s="616" t="n">
        <v>2</v>
      </c>
    </row>
    <row r="72">
      <c r="A72" t="inlineStr">
        <is>
          <t>Cavity Plate</t>
        </is>
      </c>
      <c r="B72" s="615">
        <f>SUMIF('Machining Time'!$C$99:$C$115,'Mould Costing'!B$66,'Machining Time'!$L$99:$L$115)</f>
        <v/>
      </c>
      <c r="C72" s="615">
        <f>SUMIF('Machining Time'!$C$99:$C$115,'Mould Costing'!C$66,'Machining Time'!$L$99:$L$115)</f>
        <v/>
      </c>
      <c r="D72" s="615">
        <f>SUMIF('Machining Time'!$C$99:$C$115,'Mould Costing'!D$66,'Machining Time'!$L$99:$L$115)</f>
        <v/>
      </c>
      <c r="E72" s="615">
        <f>SUMIF('Machining Time'!$C$99:$C$115,'Mould Costing'!E$66,'Machining Time'!$L$99:$L$115)</f>
        <v/>
      </c>
      <c r="F72" s="615">
        <f>SUMIF('Machining Time'!$C$99:$C$115,'Mould Costing'!F$66,'Machining Time'!$L$99:$L$115)</f>
        <v/>
      </c>
      <c r="G72" s="615">
        <f>SUMIF('Machining Time'!$C$99:$C$115,'Mould Costing'!G$66,'Machining Time'!$L$99:$L$115)</f>
        <v/>
      </c>
      <c r="H72" s="615">
        <f>SUMIF('Machining Time'!$C$99:$C$115,'Mould Costing'!H$66,'Machining Time'!$L$99:$L$115)</f>
        <v/>
      </c>
      <c r="I72" s="615">
        <f>SUMIF('Machining Time'!$C$99:$C$115,'Mould Costing'!I$66,'Machining Time'!$L$99:$L$115)</f>
        <v/>
      </c>
      <c r="J72" s="615">
        <f>SUMIF('Machining Time'!$C$99:$C$115,'Mould Costing'!J$66,'Machining Time'!$L$99:$L$115)</f>
        <v/>
      </c>
      <c r="K72" s="615">
        <f>SUMIF('Machining Time'!$C$99:$C$115,'Mould Costing'!K$66,'Machining Time'!$L$99:$L$115)</f>
        <v/>
      </c>
      <c r="L72" s="615">
        <f>SUMIF('Machining Time'!$C$99:$C$115,'Mould Costing'!L$66,'Machining Time'!$L$99:$L$115)</f>
        <v/>
      </c>
      <c r="M72" s="615">
        <f>SUMIF('Machining Time'!$C$99:$C$115,'Mould Costing'!M$66,'Machining Time'!$L$99:$L$115)</f>
        <v/>
      </c>
      <c r="N72" s="615">
        <f>SUMIF('Machining Time'!$C$99:$C$115,'Mould Costing'!N$66,'Machining Time'!$L$99:$L$115)</f>
        <v/>
      </c>
      <c r="O72" s="615">
        <f>SUMIF('Machining Time'!$C$99:$C$115,'Mould Costing'!O$66,'Machining Time'!$L$99:$L$115)</f>
        <v/>
      </c>
      <c r="P72" s="615">
        <f>SUMIF('Machining Time'!$C$99:$C$115,'Mould Costing'!P$66,'Machining Time'!$L$99:$L$115)</f>
        <v/>
      </c>
      <c r="Q72" s="616" t="n">
        <v>8</v>
      </c>
    </row>
    <row r="73">
      <c r="A73" t="inlineStr">
        <is>
          <t>Core Plate</t>
        </is>
      </c>
      <c r="B73" s="615">
        <f>SUMIF('Machining Time'!$C$120:$C$136,'Mould Costing'!B$66,'Machining Time'!$L$120:$L$136)</f>
        <v/>
      </c>
      <c r="C73" s="615">
        <f>SUMIF('Machining Time'!$C$120:$C$136,'Mould Costing'!C$66,'Machining Time'!$L$120:$L$136)</f>
        <v/>
      </c>
      <c r="D73" s="615">
        <f>SUMIF('Machining Time'!$C$120:$C$136,'Mould Costing'!D$66,'Machining Time'!$L$120:$L$136)</f>
        <v/>
      </c>
      <c r="E73" s="615">
        <f>SUMIF('Machining Time'!$C$120:$C$136,'Mould Costing'!E$66,'Machining Time'!$L$120:$L$136)</f>
        <v/>
      </c>
      <c r="F73" s="615">
        <f>SUMIF('Machining Time'!$C$120:$C$136,'Mould Costing'!F$66,'Machining Time'!$L$120:$L$136)</f>
        <v/>
      </c>
      <c r="G73" s="615">
        <f>SUMIF('Machining Time'!$C$120:$C$136,'Mould Costing'!G$66,'Machining Time'!$L$120:$L$136)</f>
        <v/>
      </c>
      <c r="H73" s="615">
        <f>SUMIF('Machining Time'!$C$120:$C$136,'Mould Costing'!H$66,'Machining Time'!$L$120:$L$136)</f>
        <v/>
      </c>
      <c r="I73" s="615">
        <f>SUMIF('Machining Time'!$C$120:$C$136,'Mould Costing'!I$66,'Machining Time'!$L$120:$L$136)</f>
        <v/>
      </c>
      <c r="J73" s="615">
        <f>SUMIF('Machining Time'!$C$120:$C$136,'Mould Costing'!J$66,'Machining Time'!$L$120:$L$136)</f>
        <v/>
      </c>
      <c r="K73" s="615">
        <f>SUMIF('Machining Time'!$C$120:$C$136,'Mould Costing'!K$66,'Machining Time'!$L$120:$L$136)</f>
        <v/>
      </c>
      <c r="L73" s="615">
        <f>SUMIF('Machining Time'!$C$120:$C$136,'Mould Costing'!L$66,'Machining Time'!$L$120:$L$136)</f>
        <v/>
      </c>
      <c r="M73" s="615">
        <f>SUMIF('Machining Time'!$C$120:$C$136,'Mould Costing'!M$66,'Machining Time'!$L$120:$L$136)</f>
        <v/>
      </c>
      <c r="N73" s="615">
        <f>SUMIF('Machining Time'!$C$120:$C$136,'Mould Costing'!N$66,'Machining Time'!$L$120:$L$136)</f>
        <v/>
      </c>
      <c r="O73" s="615">
        <f>SUMIF('Machining Time'!$C$120:$C$136,'Mould Costing'!O$66,'Machining Time'!$L$120:$L$136)</f>
        <v/>
      </c>
      <c r="P73" s="615">
        <f>SUMIF('Machining Time'!$C$120:$C$136,'Mould Costing'!P$66,'Machining Time'!$L$120:$L$136)</f>
        <v/>
      </c>
      <c r="Q73" s="616" t="n">
        <v>8</v>
      </c>
    </row>
    <row r="74">
      <c r="A74" t="inlineStr">
        <is>
          <t>Guide Pillar</t>
        </is>
      </c>
      <c r="B74" s="615">
        <f>SUMIF('Machining Time'!$C$140:$C$156,'Mould Costing'!B$66,'Machining Time'!$L$140:$L$156)</f>
        <v/>
      </c>
      <c r="C74" s="615">
        <f>SUMIF('Machining Time'!$C$140:$C$156,'Mould Costing'!C$66,'Machining Time'!$L$140:$L$156)</f>
        <v/>
      </c>
      <c r="D74" s="615">
        <f>SUMIF('Machining Time'!$C$140:$C$156,'Mould Costing'!D$66,'Machining Time'!$L$140:$L$156)</f>
        <v/>
      </c>
      <c r="E74" s="615">
        <f>SUMIF('Machining Time'!$C$140:$C$156,'Mould Costing'!E$66,'Machining Time'!$L$140:$L$156)</f>
        <v/>
      </c>
      <c r="F74" s="615">
        <f>SUMIF('Machining Time'!$C$140:$C$156,'Mould Costing'!F$66,'Machining Time'!$L$140:$L$156)</f>
        <v/>
      </c>
      <c r="G74" s="615">
        <f>SUMIF('Machining Time'!$C$140:$C$156,'Mould Costing'!G$66,'Machining Time'!$L$140:$L$156)</f>
        <v/>
      </c>
      <c r="H74" s="615">
        <f>SUMIF('Machining Time'!$C$140:$C$156,'Mould Costing'!H$66,'Machining Time'!$L$140:$L$156)</f>
        <v/>
      </c>
      <c r="I74" s="615">
        <f>SUMIF('Machining Time'!$C$140:$C$156,'Mould Costing'!I$66,'Machining Time'!$L$140:$L$156)</f>
        <v/>
      </c>
      <c r="J74" s="615">
        <f>SUMIF('Machining Time'!$C$140:$C$156,'Mould Costing'!J$66,'Machining Time'!$L$140:$L$156)</f>
        <v/>
      </c>
      <c r="K74" s="615">
        <f>SUMIF('Machining Time'!$C$140:$C$156,'Mould Costing'!K$66,'Machining Time'!$L$140:$L$156)</f>
        <v/>
      </c>
      <c r="L74" s="615">
        <f>SUMIF('Machining Time'!$C$140:$C$156,'Mould Costing'!L$66,'Machining Time'!$L$140:$L$156)</f>
        <v/>
      </c>
      <c r="M74" s="615">
        <f>SUMIF('Machining Time'!$C$140:$C$156,'Mould Costing'!M$66,'Machining Time'!$L$140:$L$156)</f>
        <v/>
      </c>
      <c r="N74" s="615">
        <f>SUMIF('Machining Time'!$C$140:$C$156,'Mould Costing'!N$66,'Machining Time'!$L$140:$L$156)</f>
        <v/>
      </c>
      <c r="O74" s="615">
        <f>SUMIF('Machining Time'!$C$140:$C$156,'Mould Costing'!O$66,'Machining Time'!$L$140:$L$156)</f>
        <v/>
      </c>
      <c r="P74" s="615">
        <f>SUMIF('Machining Time'!$C$140:$C$156,'Mould Costing'!P$66,'Machining Time'!$L$140:$L$156)</f>
        <v/>
      </c>
      <c r="Q74" s="615" t="n"/>
    </row>
    <row r="75">
      <c r="A75" t="inlineStr">
        <is>
          <t>Guide Bush</t>
        </is>
      </c>
      <c r="B75" s="615">
        <f>SUMIF('Machining Time'!$C$159:$C$174,'Mould Costing'!B$66,'Machining Time'!$L$159:$L$174)</f>
        <v/>
      </c>
      <c r="C75" s="615">
        <f>SUMIF('Machining Time'!$C$159:$C$174,'Mould Costing'!C$66,'Machining Time'!$L$159:$L$174)</f>
        <v/>
      </c>
      <c r="D75" s="615">
        <f>SUMIF('Machining Time'!$C$159:$C$174,'Mould Costing'!D$66,'Machining Time'!$L$159:$L$174)</f>
        <v/>
      </c>
      <c r="E75" s="615">
        <f>SUMIF('Machining Time'!$C$159:$C$174,'Mould Costing'!E$66,'Machining Time'!$L$159:$L$174)</f>
        <v/>
      </c>
      <c r="F75" s="615">
        <f>SUMIF('Machining Time'!$C$159:$C$174,'Mould Costing'!F$66,'Machining Time'!$L$159:$L$174)</f>
        <v/>
      </c>
      <c r="G75" s="615">
        <f>SUMIF('Machining Time'!$C$159:$C$174,'Mould Costing'!G$66,'Machining Time'!$L$159:$L$174)</f>
        <v/>
      </c>
      <c r="H75" s="615">
        <f>SUMIF('Machining Time'!$C$159:$C$174,'Mould Costing'!H$66,'Machining Time'!$L$159:$L$174)</f>
        <v/>
      </c>
      <c r="I75" s="615">
        <f>SUMIF('Machining Time'!$C$159:$C$174,'Mould Costing'!I$66,'Machining Time'!$L$159:$L$174)</f>
        <v/>
      </c>
      <c r="J75" s="615">
        <f>SUMIF('Machining Time'!$C$159:$C$174,'Mould Costing'!J$66,'Machining Time'!$L$159:$L$174)</f>
        <v/>
      </c>
      <c r="K75" s="615">
        <f>SUMIF('Machining Time'!$C$159:$C$174,'Mould Costing'!K$66,'Machining Time'!$L$159:$L$174)</f>
        <v/>
      </c>
      <c r="L75" s="615">
        <f>SUMIF('Machining Time'!$C$159:$C$174,'Mould Costing'!L$66,'Machining Time'!$L$159:$L$174)</f>
        <v/>
      </c>
      <c r="M75" s="615">
        <f>SUMIF('Machining Time'!$C$159:$C$174,'Mould Costing'!M$66,'Machining Time'!$L$159:$L$174)</f>
        <v/>
      </c>
      <c r="N75" s="615">
        <f>SUMIF('Machining Time'!$C$159:$C$174,'Mould Costing'!N$66,'Machining Time'!$L$159:$L$174)</f>
        <v/>
      </c>
      <c r="O75" s="615">
        <f>SUMIF('Machining Time'!$C$159:$C$174,'Mould Costing'!O$66,'Machining Time'!$L$159:$L$174)</f>
        <v/>
      </c>
      <c r="P75" s="615">
        <f>SUMIF('Machining Time'!$C$159:$C$174,'Mould Costing'!P$66,'Machining Time'!$L$159:$L$174)</f>
        <v/>
      </c>
      <c r="Q75" s="616" t="n">
        <v>2</v>
      </c>
    </row>
    <row r="76">
      <c r="B76" s="615" t="n"/>
      <c r="C76" s="615" t="n"/>
      <c r="D76" s="615" t="n"/>
      <c r="E76" s="615" t="n"/>
      <c r="F76" s="615" t="n"/>
      <c r="G76" s="615" t="n"/>
      <c r="H76" s="615" t="n"/>
      <c r="I76" s="615" t="n"/>
      <c r="J76" s="615" t="n"/>
      <c r="K76" s="615" t="n"/>
      <c r="L76" s="615" t="n"/>
      <c r="M76" s="615" t="n"/>
      <c r="N76" s="615" t="n"/>
      <c r="O76" s="615" t="n"/>
      <c r="P76" s="615" t="n"/>
      <c r="Q76" s="616" t="n">
        <v>2</v>
      </c>
    </row>
    <row r="77">
      <c r="B77" s="615" t="n"/>
      <c r="C77" s="615" t="n"/>
      <c r="D77" s="615" t="n"/>
      <c r="E77" s="615" t="n"/>
      <c r="F77" s="615" t="n"/>
      <c r="G77" s="615" t="n"/>
      <c r="H77" s="615" t="n"/>
      <c r="I77" s="615" t="n"/>
      <c r="J77" s="615" t="n"/>
      <c r="K77" s="615" t="n"/>
      <c r="L77" s="615" t="n"/>
      <c r="M77" s="615" t="n"/>
      <c r="N77" s="615" t="n"/>
      <c r="O77" s="615" t="n"/>
      <c r="P77" s="615" t="n"/>
      <c r="Q77" s="616" t="n">
        <v>4</v>
      </c>
    </row>
    <row r="78">
      <c r="B78" s="615" t="n"/>
      <c r="C78" s="615" t="n"/>
      <c r="D78" s="615" t="n"/>
      <c r="E78" s="615" t="n"/>
      <c r="F78" s="615" t="n"/>
      <c r="G78" s="615" t="n"/>
      <c r="H78" s="615" t="n"/>
      <c r="I78" s="615" t="n"/>
      <c r="J78" s="615" t="n"/>
      <c r="K78" s="615" t="n"/>
      <c r="L78" s="615" t="n"/>
      <c r="M78" s="615" t="n"/>
      <c r="N78" s="615" t="n"/>
      <c r="O78" s="615" t="n"/>
      <c r="P78" s="615" t="n"/>
      <c r="Q78" s="616" t="n">
        <v>4</v>
      </c>
    </row>
    <row r="79">
      <c r="B79" s="615" t="n"/>
      <c r="C79" s="615" t="n"/>
      <c r="D79" s="615" t="n"/>
      <c r="E79" s="615" t="n"/>
      <c r="F79" s="615" t="n"/>
      <c r="G79" s="615" t="n"/>
      <c r="H79" s="615" t="n"/>
      <c r="I79" s="615" t="n"/>
      <c r="J79" s="615" t="n"/>
      <c r="K79" s="615" t="n"/>
      <c r="L79" s="615" t="n"/>
      <c r="M79" s="615" t="n"/>
      <c r="N79" s="615" t="n"/>
      <c r="O79" s="615" t="n"/>
      <c r="P79" s="615" t="n"/>
      <c r="Q79" s="615" t="n"/>
      <c r="R79" s="112" t="inlineStr">
        <is>
          <t>TOTAL HOUR</t>
        </is>
      </c>
    </row>
    <row r="80">
      <c r="B80" s="617">
        <f>SUM(B67:B79)</f>
        <v/>
      </c>
      <c r="C80" s="617">
        <f>SUM(C67:C79)</f>
        <v/>
      </c>
      <c r="D80" s="617">
        <f>SUM(D67:D79)</f>
        <v/>
      </c>
      <c r="E80" s="617">
        <f>SUM(E67:E79)</f>
        <v/>
      </c>
      <c r="F80" s="617">
        <f>SUM(F67:F79)</f>
        <v/>
      </c>
      <c r="G80" s="617">
        <f>SUM(G67:G79)</f>
        <v/>
      </c>
      <c r="H80" s="617">
        <f>SUM(H67:H79)</f>
        <v/>
      </c>
      <c r="I80" s="617">
        <f>SUM(I67:I79)</f>
        <v/>
      </c>
      <c r="J80" s="617">
        <f>SUM(J67:J79)</f>
        <v/>
      </c>
      <c r="K80" s="617">
        <f>SUM(K67:K79)</f>
        <v/>
      </c>
      <c r="L80" s="617">
        <f>SUM(L67:L79)</f>
        <v/>
      </c>
      <c r="M80" s="617">
        <f>SUM(M67:M79)</f>
        <v/>
      </c>
      <c r="N80" s="617">
        <f>SUM(N67:N79)</f>
        <v/>
      </c>
      <c r="O80" s="617">
        <f>SUM(O67:O79)</f>
        <v/>
      </c>
      <c r="P80" s="617">
        <f>SUM(P67:P79)</f>
        <v/>
      </c>
      <c r="Q80" s="617">
        <f>SUM(Q67:Q79)</f>
        <v/>
      </c>
      <c r="R80" s="618">
        <f>SUM(B80:Q80)</f>
        <v/>
      </c>
    </row>
    <row r="81">
      <c r="B81" s="265">
        <f>VLOOKUP(B$66,Database!$I$3:$K$17,3,FALSE)</f>
        <v/>
      </c>
      <c r="C81" s="265">
        <f>VLOOKUP(C$66,Database!$I$3:$K$17,3,FALSE)</f>
        <v/>
      </c>
      <c r="D81" s="265">
        <f>VLOOKUP(D$66,Database!$I$3:$K$17,3,FALSE)</f>
        <v/>
      </c>
      <c r="E81" s="265">
        <f>VLOOKUP(E$66,Database!$I$3:$K$17,3,FALSE)</f>
        <v/>
      </c>
      <c r="F81" s="265">
        <f>VLOOKUP(F$66,Database!$I$3:$K$17,3,FALSE)</f>
        <v/>
      </c>
      <c r="G81" s="265">
        <f>VLOOKUP(G$66,Database!$I$3:$K$17,3,FALSE)</f>
        <v/>
      </c>
      <c r="H81" s="265">
        <f>VLOOKUP(H$66,Database!$I$3:$K$17,3,FALSE)</f>
        <v/>
      </c>
      <c r="I81" s="265">
        <f>VLOOKUP(I$66,Database!$I$3:$K$17,3,FALSE)</f>
        <v/>
      </c>
      <c r="J81" s="265">
        <f>VLOOKUP(J$66,Database!$I$3:$K$17,3,FALSE)</f>
        <v/>
      </c>
      <c r="K81" s="265">
        <f>VLOOKUP(K$66,Database!$I$3:$K$17,3,FALSE)</f>
        <v/>
      </c>
      <c r="L81" s="265">
        <f>VLOOKUP(L$66,Database!$I$3:$K$17,3,FALSE)</f>
        <v/>
      </c>
      <c r="M81" s="265">
        <f>VLOOKUP(M$66,Database!$I$3:$K$17,3,FALSE)</f>
        <v/>
      </c>
      <c r="N81" s="265">
        <f>VLOOKUP(N$66,Database!$I$3:$K$17,3,FALSE)</f>
        <v/>
      </c>
      <c r="O81" s="265">
        <f>VLOOKUP(O$66,Database!$I$3:$K$17,3,FALSE)</f>
        <v/>
      </c>
      <c r="P81" s="265">
        <f>VLOOKUP(P$66,Database!$I$3:$K$17,3,FALSE)</f>
        <v/>
      </c>
      <c r="Q81" s="265" t="n">
        <v>43.75</v>
      </c>
    </row>
    <row r="82">
      <c r="B82" s="619">
        <f>B80*B81*$C$83</f>
        <v/>
      </c>
      <c r="C82" s="619">
        <f>C80*C81*$C$83</f>
        <v/>
      </c>
      <c r="D82" s="619">
        <f>D80*D81*$C$83</f>
        <v/>
      </c>
      <c r="E82" s="619">
        <f>E80*E81*$C$83</f>
        <v/>
      </c>
      <c r="F82" s="619">
        <f>F80*F81*$C$83</f>
        <v/>
      </c>
      <c r="G82" s="619">
        <f>G80*G81*$C$83</f>
        <v/>
      </c>
      <c r="H82" s="619">
        <f>H80*H81*$C$83</f>
        <v/>
      </c>
      <c r="I82" s="619">
        <f>I80*I81*$C$83</f>
        <v/>
      </c>
      <c r="J82" s="619">
        <f>J80*J81*$C$83</f>
        <v/>
      </c>
      <c r="K82" s="619">
        <f>K80*K81*$C$83</f>
        <v/>
      </c>
      <c r="L82" s="619">
        <f>L80*L81*$C$83</f>
        <v/>
      </c>
      <c r="M82" s="619">
        <f>M80*M81*$C$83</f>
        <v/>
      </c>
      <c r="N82" s="619">
        <f>N80*N81*$C$83</f>
        <v/>
      </c>
      <c r="O82" s="619">
        <f>O80*O81*$C$83</f>
        <v/>
      </c>
      <c r="P82" s="619">
        <f>P80*P81*$C$83</f>
        <v/>
      </c>
      <c r="Q82" s="619">
        <f>Q80*Q81*$C$83</f>
        <v/>
      </c>
    </row>
    <row r="83">
      <c r="B83" t="inlineStr">
        <is>
          <t>CF</t>
        </is>
      </c>
      <c r="C83">
        <f>VLOOKUP('INJ. MOULDING ESTIMATION'!C16,Table6[],2,FALSE)</f>
        <v/>
      </c>
    </row>
    <row r="84">
      <c r="B84" s="61" t="inlineStr">
        <is>
          <t>Total(D)</t>
        </is>
      </c>
      <c r="C84" s="617">
        <f>SUM(B82:Q82)</f>
        <v/>
      </c>
    </row>
    <row r="86" ht="30" customHeight="1" s="450">
      <c r="A86" s="530" t="inlineStr">
        <is>
          <t>Item Description</t>
        </is>
      </c>
      <c r="B86" s="439" t="n"/>
      <c r="C86" s="439" t="n"/>
      <c r="D86" s="439" t="n"/>
      <c r="E86" s="439" t="n"/>
      <c r="F86" s="437" t="n"/>
      <c r="G86" s="533" t="inlineStr">
        <is>
          <t>In-house / 
Sub-Contract</t>
        </is>
      </c>
      <c r="H86" s="437" t="n"/>
      <c r="I86" s="63" t="inlineStr">
        <is>
          <t>Weight / Hours</t>
        </is>
      </c>
      <c r="J86" s="64" t="inlineStr">
        <is>
          <t>Rate / Hour</t>
        </is>
      </c>
      <c r="K86" s="224" t="inlineStr">
        <is>
          <t>Amount</t>
        </is>
      </c>
    </row>
    <row r="87">
      <c r="A87" s="529" t="inlineStr">
        <is>
          <t>Mould Polishing</t>
        </is>
      </c>
      <c r="B87" s="439" t="n"/>
      <c r="C87" s="439" t="n"/>
      <c r="D87" s="439" t="n"/>
      <c r="E87" s="439" t="n"/>
      <c r="F87" s="437" t="n"/>
      <c r="G87" s="520" t="n"/>
      <c r="H87" s="437" t="n"/>
      <c r="I87" s="264">
        <f>72*VLOOKUP('INJ. MOULDING ESTIMATION'!C16,COMPLEXITY!A1:B7,2,TRUE)</f>
        <v/>
      </c>
      <c r="J87" s="520" t="n">
        <v>60</v>
      </c>
      <c r="K87" s="262">
        <f>IF(L87,J87*I87,0)</f>
        <v/>
      </c>
      <c r="L87">
        <f>Website!B11</f>
        <v/>
      </c>
    </row>
    <row r="88">
      <c r="A88" s="529" t="inlineStr">
        <is>
          <t>Heat-treatment</t>
        </is>
      </c>
      <c r="B88" s="439" t="n"/>
      <c r="C88" s="439" t="n"/>
      <c r="D88" s="439" t="n"/>
      <c r="E88" s="439" t="n"/>
      <c r="F88" s="437" t="n"/>
      <c r="G88" s="520" t="n"/>
      <c r="H88" s="437" t="n"/>
      <c r="I88" s="264">
        <f>60*VLOOKUP('INJ. MOULDING ESTIMATION'!C16,COMPLEXITY!A1:B7,2,TRUE)</f>
        <v/>
      </c>
      <c r="J88" s="520" t="n">
        <v>70</v>
      </c>
      <c r="K88" s="262">
        <f>IF(L88,J88*I88,0)</f>
        <v/>
      </c>
      <c r="L88">
        <f>Website!B10</f>
        <v/>
      </c>
    </row>
    <row r="89">
      <c r="J89" s="65" t="inlineStr">
        <is>
          <t>Total (E)</t>
        </is>
      </c>
      <c r="K89" s="263">
        <f>SUM(K87:M88)</f>
        <v/>
      </c>
    </row>
    <row r="92">
      <c r="A92" s="62" t="inlineStr">
        <is>
          <t>(D) Total Machining Cost</t>
        </is>
      </c>
      <c r="B92" s="336" t="n"/>
      <c r="C92" s="336" t="n"/>
      <c r="D92" s="336" t="n"/>
      <c r="E92" s="336" t="n"/>
      <c r="F92" s="336" t="n"/>
      <c r="G92" s="336" t="n"/>
      <c r="H92" s="336" t="n"/>
      <c r="I92" s="336" t="n"/>
      <c r="J92" s="336" t="n"/>
      <c r="K92" s="336" t="n"/>
      <c r="L92" s="336" t="n"/>
      <c r="M92" s="336" t="n"/>
      <c r="O92" s="336" t="n"/>
      <c r="P92" s="62" t="n"/>
    </row>
    <row r="93" ht="18.5" customHeight="1" s="450">
      <c r="A93" s="518" t="inlineStr">
        <is>
          <t>F</t>
        </is>
      </c>
      <c r="B93" s="516" t="inlineStr">
        <is>
          <t>Scrap Recovery</t>
        </is>
      </c>
      <c r="C93" s="439" t="n"/>
      <c r="D93" s="439" t="n"/>
      <c r="E93" s="439" t="n"/>
      <c r="F93" s="439" t="n"/>
      <c r="G93" s="439" t="n"/>
      <c r="H93" s="439" t="n"/>
      <c r="I93" s="439" t="n"/>
      <c r="J93" s="40" t="n"/>
      <c r="K93" s="69" t="b">
        <v>0</v>
      </c>
      <c r="L93" s="66" t="n"/>
      <c r="M93" s="336" t="n"/>
    </row>
    <row r="94">
      <c r="A94" s="518" t="inlineStr">
        <is>
          <t>G</t>
        </is>
      </c>
      <c r="B94" s="516" t="inlineStr">
        <is>
          <t>Sub Totals (A+B+C+D+E-F)</t>
        </is>
      </c>
      <c r="C94" s="439" t="n"/>
      <c r="D94" s="439" t="n"/>
      <c r="E94" s="439" t="n"/>
      <c r="F94" s="439" t="n"/>
      <c r="G94" s="439" t="n"/>
      <c r="H94" s="439" t="n"/>
      <c r="I94" s="439" t="n"/>
      <c r="J94" s="40" t="n"/>
      <c r="K94" s="337" t="n"/>
      <c r="L94" s="67">
        <f>F63+C84+K89-L93</f>
        <v/>
      </c>
      <c r="M94" s="336" t="n"/>
    </row>
    <row r="95">
      <c r="A95" s="518" t="inlineStr">
        <is>
          <t>H</t>
        </is>
      </c>
      <c r="B95" s="516" t="inlineStr">
        <is>
          <t>Overheads &amp; Profit</t>
        </is>
      </c>
      <c r="C95" s="439" t="n"/>
      <c r="D95" s="439" t="n"/>
      <c r="E95" s="439" t="n"/>
      <c r="F95" s="439" t="n"/>
      <c r="G95" s="439" t="n"/>
      <c r="H95" s="439" t="n"/>
      <c r="I95" s="439" t="n"/>
      <c r="J95" s="40" t="n"/>
      <c r="K95" s="68">
        <f>'INJ. MOULDING ESTIMATION'!A35</f>
        <v/>
      </c>
      <c r="L95" s="67">
        <f>(L94+L97+L98)*K95</f>
        <v/>
      </c>
      <c r="M95" s="336" t="n"/>
    </row>
    <row r="96">
      <c r="A96" s="518" t="inlineStr">
        <is>
          <t>I</t>
        </is>
      </c>
      <c r="B96" s="531" t="inlineStr">
        <is>
          <t>Material Movement &amp; Mold Forwarding</t>
        </is>
      </c>
      <c r="C96" s="439" t="n"/>
      <c r="D96" s="439" t="n"/>
      <c r="E96" s="439" t="n"/>
      <c r="F96" s="439" t="n"/>
      <c r="G96" s="439" t="n"/>
      <c r="H96" s="439" t="n"/>
      <c r="I96" s="439" t="n"/>
      <c r="J96" s="40" t="n">
        <v>5000</v>
      </c>
      <c r="K96" s="69" t="b">
        <v>1</v>
      </c>
      <c r="L96" s="70">
        <f>IF(K96=TRUE,J96,0)</f>
        <v/>
      </c>
      <c r="M96" s="336" t="n"/>
    </row>
    <row r="97">
      <c r="A97" s="518" t="inlineStr">
        <is>
          <t>J</t>
        </is>
      </c>
      <c r="B97" s="516" t="inlineStr">
        <is>
          <t>Hot Runner</t>
        </is>
      </c>
      <c r="C97" s="439" t="n"/>
      <c r="D97" s="439" t="n"/>
      <c r="E97" s="439" t="n"/>
      <c r="F97" s="439" t="n"/>
      <c r="G97" s="439" t="n"/>
      <c r="H97" s="439" t="n"/>
      <c r="I97" s="439" t="n"/>
      <c r="J97" s="40">
        <f>Website!B6</f>
        <v/>
      </c>
      <c r="K97" s="71">
        <f>IF(J97="yes",TRUE,FALSE)</f>
        <v/>
      </c>
      <c r="L97" s="70">
        <f>DASHBOARD!H24</f>
        <v/>
      </c>
      <c r="M97" s="336" t="n"/>
    </row>
    <row r="98">
      <c r="A98" s="518" t="inlineStr">
        <is>
          <t>K</t>
        </is>
      </c>
      <c r="B98" s="516" t="inlineStr">
        <is>
          <t>Texturizing Cost</t>
        </is>
      </c>
      <c r="C98" s="439" t="n"/>
      <c r="D98" s="439" t="n"/>
      <c r="E98" s="439" t="n"/>
      <c r="F98" s="439" t="n"/>
      <c r="G98" s="439" t="n"/>
      <c r="H98" s="439" t="n"/>
      <c r="I98" s="439" t="n"/>
      <c r="J98" s="40" t="n"/>
      <c r="K98" s="71">
        <f>Website!B9</f>
        <v/>
      </c>
      <c r="L98" s="72">
        <f>IF(K98,12000,0)</f>
        <v/>
      </c>
      <c r="M98" s="336" t="n"/>
      <c r="O98" t="inlineStr">
        <is>
          <t>chk how to calc</t>
        </is>
      </c>
    </row>
    <row r="99">
      <c r="A99" s="518" t="inlineStr">
        <is>
          <t>L</t>
        </is>
      </c>
      <c r="B99" s="516" t="inlineStr">
        <is>
          <t>Service Charges</t>
        </is>
      </c>
      <c r="C99" s="439" t="n"/>
      <c r="D99" s="439" t="n"/>
      <c r="E99" s="439" t="n"/>
      <c r="F99" s="439" t="n"/>
      <c r="G99" s="439" t="n"/>
      <c r="H99" s="439" t="n"/>
      <c r="I99" s="439" t="n"/>
      <c r="J99" s="40" t="b">
        <v>0</v>
      </c>
      <c r="K99" s="68" t="n">
        <v>0.04</v>
      </c>
      <c r="L99" s="67">
        <f>IF(J99,SUM(L94:N96,L97,L98)*K99,0)</f>
        <v/>
      </c>
      <c r="M99" s="336" t="n"/>
    </row>
    <row r="100">
      <c r="A100" s="336" t="n"/>
      <c r="B100" s="571" t="inlineStr">
        <is>
          <t>Total Tool Cost</t>
        </is>
      </c>
      <c r="C100" s="336" t="n"/>
      <c r="D100" s="336" t="n"/>
      <c r="E100" s="336" t="n"/>
      <c r="F100" s="336" t="n"/>
      <c r="G100" s="336" t="n"/>
      <c r="H100" s="336" t="n"/>
      <c r="I100" s="336" t="n"/>
      <c r="J100" s="336" t="n"/>
      <c r="K100" s="336" t="n"/>
      <c r="L100" s="73">
        <f>SUM(L94:L99)-L93</f>
        <v/>
      </c>
      <c r="M100" s="336"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6.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50" min="1" max="1"/>
    <col width="13.36328125" customWidth="1" style="450" min="10" max="10"/>
    <col width="31.54296875" customWidth="1" style="450" min="11" max="11"/>
    <col width="13.26953125" customWidth="1" style="450" min="12" max="12"/>
    <col width="29.7265625" customWidth="1" style="450" min="13" max="13"/>
    <col width="9.08984375" bestFit="1" customWidth="1" style="450" min="14" max="14"/>
  </cols>
  <sheetData>
    <row r="1" ht="17" customHeight="1" s="450">
      <c r="M1" s="309" t="n"/>
      <c r="N1" s="309" t="n"/>
      <c r="O1" s="309" t="n"/>
      <c r="P1" s="309" t="n"/>
      <c r="Q1" s="309" t="n"/>
    </row>
    <row r="2" ht="14.5" customHeight="1" s="450">
      <c r="K2" s="310" t="inlineStr">
        <is>
          <t xml:space="preserve">I) DESIGN COST +MOULD FLOW   : </t>
        </is>
      </c>
      <c r="L2" s="59">
        <f>DASHBOARD!C9+DASHBOARD!F9</f>
        <v/>
      </c>
      <c r="M2" s="309" t="n"/>
      <c r="N2" s="309" t="n"/>
      <c r="O2" s="309" t="n"/>
      <c r="P2" s="309" t="n"/>
      <c r="Q2" s="309" t="n"/>
    </row>
    <row r="3">
      <c r="K3" t="inlineStr">
        <is>
          <t>II) RAW MATERIAL COST :</t>
        </is>
      </c>
      <c r="L3">
        <f>DASHBOARD!H28</f>
        <v/>
      </c>
    </row>
    <row r="4">
      <c r="K4" s="23" t="inlineStr">
        <is>
          <t>III) PROCESS COST :</t>
        </is>
      </c>
      <c r="L4">
        <f>DASHBOARD!H52</f>
        <v/>
      </c>
    </row>
    <row r="5">
      <c r="K5" s="23" t="inlineStr">
        <is>
          <t>IV) PROFIT &amp; OVERHEADS COST :</t>
        </is>
      </c>
      <c r="L5">
        <f>DASHBOARD!G61</f>
        <v/>
      </c>
    </row>
    <row r="6">
      <c r="K6" s="308" t="inlineStr">
        <is>
          <t xml:space="preserve">V) OTHER EXPENSES :                         </t>
        </is>
      </c>
      <c r="L6">
        <f>DASHBOARD!H63</f>
        <v/>
      </c>
    </row>
    <row r="11">
      <c r="K11" s="23" t="n"/>
    </row>
    <row r="12">
      <c r="K12" s="23" t="n"/>
    </row>
    <row r="13">
      <c r="K13" s="23" t="n"/>
    </row>
    <row r="14">
      <c r="K14" s="23" t="n"/>
    </row>
    <row r="15">
      <c r="K15" s="23" t="n"/>
    </row>
    <row r="28">
      <c r="M28" s="23" t="n"/>
    </row>
    <row r="29">
      <c r="M29" s="23" t="n"/>
    </row>
    <row r="30">
      <c r="M30" s="23" t="n"/>
    </row>
  </sheetData>
  <pageMargins left="0.75" right="0.75" top="1" bottom="1" header="0.5" footer="0.5"/>
  <pageSetup orientation="portrait" paperSize="9"/>
  <drawing r:id="rId1"/>
</worksheet>
</file>

<file path=xl/worksheets/sheet7.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topLeftCell="A2" zoomScale="85" zoomScaleNormal="85" workbookViewId="0">
      <selection activeCell="D16" sqref="D16"/>
    </sheetView>
  </sheetViews>
  <sheetFormatPr baseColWidth="8" defaultColWidth="9" defaultRowHeight="14.5"/>
  <cols>
    <col width="24.453125" customWidth="1" style="450" min="2" max="2"/>
    <col width="10.36328125" customWidth="1" style="450" min="3" max="3"/>
    <col width="16.453125" customWidth="1" style="450" min="4" max="4"/>
    <col width="31.90625" customWidth="1" style="450" min="5" max="5"/>
    <col width="4" customWidth="1" style="450" min="6" max="6"/>
    <col width="12.08984375" customWidth="1" style="450" min="7" max="7"/>
    <col width="18.1796875" customWidth="1" style="450" min="8" max="8"/>
    <col width="52.1796875" customWidth="1" style="450" min="9" max="9"/>
    <col width="16.36328125" customWidth="1" style="450" min="10" max="11"/>
    <col width="22.54296875" customWidth="1" style="450" min="12" max="15"/>
    <col width="2.54296875" customWidth="1" style="450" min="16" max="16"/>
  </cols>
  <sheetData>
    <row r="1" ht="15" customHeight="1" s="450" thickBot="1">
      <c r="G1" t="inlineStr">
        <is>
          <t>index</t>
        </is>
      </c>
      <c r="J1" s="620" t="n"/>
      <c r="M1" s="59" t="n"/>
      <c r="O1" s="620" t="n"/>
    </row>
    <row r="2" ht="14.5" customHeight="1" s="450">
      <c r="B2" s="534" t="inlineStr">
        <is>
          <t>MANUAL ENTRY</t>
        </is>
      </c>
      <c r="C2" s="447" t="n"/>
      <c r="D2" s="535" t="n"/>
      <c r="E2" s="173" t="inlineStr">
        <is>
          <t>Don’t edit Value in RED</t>
        </is>
      </c>
      <c r="G2" s="266">
        <f>DASHBOARD!B3</f>
        <v/>
      </c>
    </row>
    <row r="3" ht="14.5" customHeight="1" s="450" thickBot="1">
      <c r="B3" s="536" t="n"/>
      <c r="C3" s="478" t="n"/>
      <c r="D3" s="479" t="n"/>
      <c r="E3" s="175" t="inlineStr">
        <is>
          <t>Input Value in YELLOW</t>
        </is>
      </c>
    </row>
    <row r="4" ht="15" customHeight="1" s="450" thickBot="1"/>
    <row r="5">
      <c r="B5" s="176" t="n"/>
      <c r="C5" s="177" t="inlineStr">
        <is>
          <t>Input</t>
        </is>
      </c>
      <c r="D5" s="177" t="inlineStr">
        <is>
          <t>Unit</t>
        </is>
      </c>
      <c r="E5" s="178" t="inlineStr">
        <is>
          <t>Remarks</t>
        </is>
      </c>
      <c r="G5" s="179" t="inlineStr">
        <is>
          <t>Part Cost</t>
        </is>
      </c>
      <c r="H5" s="179" t="n"/>
    </row>
    <row r="6">
      <c r="B6" s="180" t="inlineStr">
        <is>
          <t>Length</t>
        </is>
      </c>
      <c r="C6" s="344">
        <f>DASHBOARD!B6</f>
        <v/>
      </c>
      <c r="D6" s="265" t="inlineStr">
        <is>
          <t>mm</t>
        </is>
      </c>
      <c r="E6" s="182" t="inlineStr">
        <is>
          <t>Longest dimesnion of part</t>
        </is>
      </c>
      <c r="G6" s="1" t="inlineStr">
        <is>
          <t>Total cost/part</t>
        </is>
      </c>
      <c r="H6" s="78">
        <f>'Part Cost'!B13</f>
        <v/>
      </c>
    </row>
    <row r="7">
      <c r="B7" s="180" t="inlineStr">
        <is>
          <t>Width</t>
        </is>
      </c>
      <c r="C7" s="344">
        <f>DASHBOARD!C6</f>
        <v/>
      </c>
      <c r="D7" s="265" t="inlineStr">
        <is>
          <t>mm</t>
        </is>
      </c>
      <c r="E7" s="182" t="inlineStr">
        <is>
          <t>Second longest</t>
        </is>
      </c>
      <c r="G7" s="1" t="inlineStr">
        <is>
          <t>No of parts</t>
        </is>
      </c>
      <c r="H7" s="78">
        <f>'Part Cost'!B14</f>
        <v/>
      </c>
    </row>
    <row r="8">
      <c r="B8" s="180" t="inlineStr">
        <is>
          <t>Height</t>
        </is>
      </c>
      <c r="C8" s="344">
        <f>Website!B3</f>
        <v/>
      </c>
      <c r="D8" s="265" t="inlineStr">
        <is>
          <t>mm</t>
        </is>
      </c>
      <c r="E8" s="182" t="inlineStr">
        <is>
          <t>Smallest dimension</t>
        </is>
      </c>
      <c r="G8" s="183" t="inlineStr">
        <is>
          <t>Total cost</t>
        </is>
      </c>
      <c r="H8" s="184">
        <f>'Part Cost'!B15</f>
        <v/>
      </c>
    </row>
    <row r="9">
      <c r="B9" s="180" t="inlineStr">
        <is>
          <t>Interchange Dim.</t>
        </is>
      </c>
      <c r="C9" s="185" t="b">
        <v>0</v>
      </c>
      <c r="D9" s="265" t="n"/>
      <c r="E9" s="182" t="inlineStr">
        <is>
          <t>Check for the cost change</t>
        </is>
      </c>
    </row>
    <row r="10">
      <c r="B10" s="180" t="inlineStr">
        <is>
          <t>Avg. Wall Thickness</t>
        </is>
      </c>
      <c r="C10" s="181" t="n">
        <v>2</v>
      </c>
      <c r="D10" s="265" t="inlineStr">
        <is>
          <t>mm</t>
        </is>
      </c>
      <c r="E10" s="182" t="inlineStr">
        <is>
          <t>Part Thickness</t>
        </is>
      </c>
    </row>
    <row r="11">
      <c r="B11" s="180" t="inlineStr">
        <is>
          <t>Max. wall Thickness</t>
        </is>
      </c>
      <c r="C11" s="181" t="n">
        <v>3</v>
      </c>
      <c r="D11" s="265" t="inlineStr">
        <is>
          <t>mm</t>
        </is>
      </c>
      <c r="E11" s="182" t="inlineStr">
        <is>
          <t>Part Thickness</t>
        </is>
      </c>
    </row>
    <row r="12" ht="29" customHeight="1" s="450">
      <c r="B12" s="180" t="inlineStr">
        <is>
          <t>Part Material</t>
        </is>
      </c>
      <c r="C12" s="186" t="inlineStr">
        <is>
          <t>ABS</t>
        </is>
      </c>
      <c r="D12" s="265" t="n"/>
      <c r="E12" s="182" t="inlineStr">
        <is>
          <t>Material used for moulding</t>
        </is>
      </c>
      <c r="G12" s="187" t="inlineStr">
        <is>
          <t>COST/Part inc. mould</t>
        </is>
      </c>
      <c r="H12">
        <f>'Input-Output'!D19</f>
        <v/>
      </c>
    </row>
    <row r="13" ht="16.5" customHeight="1" s="450">
      <c r="B13" s="180" t="inlineStr">
        <is>
          <t>Injection Pressure</t>
        </is>
      </c>
      <c r="C13" s="188">
        <f>VLOOKUP(C12,Table11[],3,FALSE)*1000</f>
        <v/>
      </c>
      <c r="D13" s="265" t="inlineStr">
        <is>
          <t>kg/cm2</t>
        </is>
      </c>
      <c r="E13" s="182" t="inlineStr">
        <is>
          <t xml:space="preserve">Based on Tonnage </t>
        </is>
      </c>
      <c r="G13" s="222" t="inlineStr">
        <is>
          <t>Daily expense</t>
        </is>
      </c>
      <c r="H13" s="621">
        <f>'Input-Output'!D20</f>
        <v/>
      </c>
    </row>
    <row r="14">
      <c r="B14" s="180" t="inlineStr">
        <is>
          <t>No of Cavity</t>
        </is>
      </c>
      <c r="C14" s="265">
        <f>IF(E14,C15,'No of Cavity'!B19)</f>
        <v/>
      </c>
      <c r="D14" s="265" t="inlineStr">
        <is>
          <t>Auto/Manual</t>
        </is>
      </c>
      <c r="E14" s="343" t="b">
        <v>1</v>
      </c>
      <c r="G14" s="256" t="n"/>
      <c r="H14" s="256">
        <f>H12</f>
        <v/>
      </c>
    </row>
    <row r="15">
      <c r="B15" s="190" t="inlineStr">
        <is>
          <t>Enter Cavity no</t>
        </is>
      </c>
      <c r="C15" s="185">
        <f>DASHBOARD!B7</f>
        <v/>
      </c>
      <c r="D15" s="185" t="inlineStr">
        <is>
          <t>nos</t>
        </is>
      </c>
      <c r="E15" s="189" t="inlineStr">
        <is>
          <t>Enter manual cavity no in this box</t>
        </is>
      </c>
      <c r="G15" s="256" t="n">
        <v>1</v>
      </c>
      <c r="H15" s="256">
        <f t="dataTable" ref="H15:H19" dt2D="0" dtr="0" r1="C14"/>
        <v/>
      </c>
    </row>
    <row r="16">
      <c r="B16" s="191" t="inlineStr">
        <is>
          <t>Complexity Factor</t>
        </is>
      </c>
      <c r="C16" s="435">
        <f>_xlfn.NUMBERVALUE(DASHBOARD!D7)</f>
        <v/>
      </c>
      <c r="D16" s="192" t="n"/>
      <c r="E16" s="193" t="inlineStr">
        <is>
          <t>Least=1 - Highest=5</t>
        </is>
      </c>
      <c r="G16" s="256" t="n">
        <v>2</v>
      </c>
      <c r="H16" s="257" t="n">
        <v>357.1766729166666</v>
      </c>
      <c r="I16" s="622" t="n"/>
    </row>
    <row r="17">
      <c r="B17" s="180" t="inlineStr">
        <is>
          <t>Part Projection</t>
        </is>
      </c>
      <c r="C17" s="265" t="n">
        <v>80</v>
      </c>
      <c r="D17" s="265" t="inlineStr">
        <is>
          <t>in %</t>
        </is>
      </c>
      <c r="E17" s="182" t="n"/>
      <c r="G17" s="256" t="n">
        <v>4</v>
      </c>
      <c r="H17" s="256" t="n">
        <v>384.9887693055555</v>
      </c>
    </row>
    <row r="18">
      <c r="B18" s="180" t="inlineStr">
        <is>
          <t>No of machine</t>
        </is>
      </c>
      <c r="C18" s="265" t="n">
        <v>1</v>
      </c>
      <c r="D18" s="265" t="n"/>
      <c r="E18" s="182" t="n"/>
      <c r="G18" s="256" t="n">
        <v>6</v>
      </c>
      <c r="H18" s="256" t="n">
        <v>417.6827599537037</v>
      </c>
      <c r="I18" s="623" t="n"/>
    </row>
    <row r="19">
      <c r="B19" s="180" t="inlineStr">
        <is>
          <t>Daily Production</t>
        </is>
      </c>
      <c r="C19" s="81" t="n">
        <v>1000</v>
      </c>
      <c r="D19" s="265" t="inlineStr">
        <is>
          <t>in nos</t>
        </is>
      </c>
      <c r="E19" s="182" t="n"/>
      <c r="G19" s="256" t="n">
        <v>8</v>
      </c>
      <c r="H19" s="258" t="n">
        <v>478.5832565277777</v>
      </c>
    </row>
    <row r="20">
      <c r="B20" s="174" t="inlineStr">
        <is>
          <t xml:space="preserve">Total Part </t>
        </is>
      </c>
      <c r="C20" s="194" t="n">
        <v>20000</v>
      </c>
      <c r="D20" s="194" t="inlineStr">
        <is>
          <t>in nos</t>
        </is>
      </c>
      <c r="E20" s="195" t="inlineStr">
        <is>
          <t>Total part that is required</t>
        </is>
      </c>
      <c r="M20">
        <f>K22</f>
        <v/>
      </c>
    </row>
    <row r="21">
      <c r="J21" s="214" t="inlineStr">
        <is>
          <t>Complexity fact</t>
        </is>
      </c>
      <c r="K21" t="n">
        <v>0.5</v>
      </c>
      <c r="L21" t="n">
        <v>0.5</v>
      </c>
      <c r="M21">
        <f t="dataTable" ref="M21:M26" dt2D="0" dtr="0" r1="K21"/>
        <v/>
      </c>
    </row>
    <row r="22">
      <c r="B22" s="537" t="inlineStr">
        <is>
          <t>MOULD SIZE</t>
        </is>
      </c>
      <c r="C22" s="172" t="inlineStr">
        <is>
          <t>Length</t>
        </is>
      </c>
      <c r="D22" s="196">
        <f>'Mould Costing'!D9</f>
        <v/>
      </c>
      <c r="E22" s="540" t="b">
        <v>1</v>
      </c>
      <c r="J22" s="214" t="inlineStr">
        <is>
          <t>Ratio</t>
        </is>
      </c>
      <c r="K22">
        <f>D27/D26</f>
        <v/>
      </c>
      <c r="L22" t="n">
        <v>1</v>
      </c>
      <c r="M22" t="n">
        <v>1.096779007525272</v>
      </c>
    </row>
    <row r="23">
      <c r="B23" s="538" t="n"/>
      <c r="C23" s="180" t="inlineStr">
        <is>
          <t>Width</t>
        </is>
      </c>
      <c r="D23" s="196">
        <f>'Mould Costing'!E10</f>
        <v/>
      </c>
      <c r="E23" s="512" t="n"/>
      <c r="L23" t="n">
        <v>2</v>
      </c>
      <c r="M23" t="n">
        <v>1.096779007525272</v>
      </c>
    </row>
    <row r="24">
      <c r="B24" s="539" t="n"/>
      <c r="C24" s="197" t="inlineStr">
        <is>
          <t>Height</t>
        </is>
      </c>
      <c r="D24" s="198">
        <f>'Input-Output'!F5</f>
        <v/>
      </c>
      <c r="E24" s="221" t="inlineStr">
        <is>
          <t>Consider Complexity</t>
        </is>
      </c>
      <c r="L24" t="n">
        <v>3</v>
      </c>
      <c r="M24" t="n">
        <v>1.096779007525272</v>
      </c>
    </row>
    <row r="25" ht="24" customHeight="1" s="450">
      <c r="B25" s="199" t="inlineStr">
        <is>
          <t>Total Mould Cost</t>
        </is>
      </c>
      <c r="C25" s="200">
        <f>SUM(C26:C35)</f>
        <v/>
      </c>
      <c r="D25" s="624">
        <f>SUM(D26:D35)</f>
        <v/>
      </c>
      <c r="E25" s="625">
        <f>SUM(E26:E35)</f>
        <v/>
      </c>
      <c r="K25" s="626" t="n"/>
      <c r="L25" t="n">
        <v>4</v>
      </c>
      <c r="M25" t="n">
        <v>1.096779007525272</v>
      </c>
    </row>
    <row r="26">
      <c r="B26" s="201" t="inlineStr">
        <is>
          <t>Material Cost</t>
        </is>
      </c>
      <c r="C26" s="202">
        <f>D26/$D$25</f>
        <v/>
      </c>
      <c r="D26" s="627">
        <f>'Mould Costing'!M22</f>
        <v/>
      </c>
      <c r="E26" s="628">
        <f>D26</f>
        <v/>
      </c>
      <c r="K26" s="626" t="n"/>
      <c r="L26" t="n">
        <v>5</v>
      </c>
      <c r="M26" t="n">
        <v>1.096779007525272</v>
      </c>
    </row>
    <row r="27">
      <c r="B27" s="203" t="inlineStr">
        <is>
          <t>Conversion Cost</t>
        </is>
      </c>
      <c r="C27" s="202">
        <f>D27/$D$25</f>
        <v/>
      </c>
      <c r="D27" s="629">
        <f>'Mould Costing'!C84</f>
        <v/>
      </c>
      <c r="E27" s="628">
        <f>VLOOKUP($C$16,COMPLEXITY!$A$2:$B$7,2,TRUE)*D27</f>
        <v/>
      </c>
      <c r="K27" s="626" t="n"/>
    </row>
    <row r="28">
      <c r="B28" s="203" t="inlineStr">
        <is>
          <t>Standard Items</t>
        </is>
      </c>
      <c r="C28" s="202">
        <f>D28/$D$25</f>
        <v/>
      </c>
      <c r="D28" s="629">
        <f>'Mould Costing'!K50</f>
        <v/>
      </c>
      <c r="E28" s="628">
        <f>D28</f>
        <v/>
      </c>
      <c r="K28" s="626" t="n"/>
    </row>
    <row r="29">
      <c r="B29" s="203" t="inlineStr">
        <is>
          <t>Hot Runner</t>
        </is>
      </c>
      <c r="C29" s="202">
        <f>D29/$D$25</f>
        <v/>
      </c>
      <c r="D29" s="629">
        <f>'Mould Costing'!L97</f>
        <v/>
      </c>
      <c r="E29" s="630">
        <f>'Mould Costing'!L97</f>
        <v/>
      </c>
      <c r="K29" s="626" t="n"/>
    </row>
    <row r="30">
      <c r="B30" s="203" t="inlineStr">
        <is>
          <t>Texturizing</t>
        </is>
      </c>
      <c r="C30" s="202">
        <f>D30/$D$25</f>
        <v/>
      </c>
      <c r="D30" s="629">
        <f>'Mould Costing'!$L$98</f>
        <v/>
      </c>
      <c r="E30" s="630">
        <f>'Mould Costing'!$L$98</f>
        <v/>
      </c>
      <c r="K30" s="626" t="n"/>
    </row>
    <row r="31">
      <c r="B31" s="203" t="inlineStr">
        <is>
          <t>Design &amp; Mould Flow</t>
        </is>
      </c>
      <c r="C31" s="202">
        <f>D31/$D$25</f>
        <v/>
      </c>
      <c r="D31" s="629">
        <f>'Mould Costing'!K60</f>
        <v/>
      </c>
      <c r="E31" s="628">
        <f>D32</f>
        <v/>
      </c>
      <c r="K31" s="626" t="n"/>
    </row>
    <row r="32">
      <c r="B32" s="203" t="inlineStr">
        <is>
          <t>Polishing &amp; Treatment</t>
        </is>
      </c>
      <c r="C32" s="202">
        <f>D32/$D$25</f>
        <v/>
      </c>
      <c r="D32" s="629">
        <f>'Mould Costing'!K89</f>
        <v/>
      </c>
      <c r="E32" s="628">
        <f>VLOOKUP($C$16,COMPLEXITY!$A$2:$B$7,2,TRUE)*D32</f>
        <v/>
      </c>
      <c r="K32" s="626" t="n"/>
    </row>
    <row r="33">
      <c r="B33" s="203" t="inlineStr">
        <is>
          <t>Packaging &amp; Movement</t>
        </is>
      </c>
      <c r="C33" s="202">
        <f>D33/$D$25</f>
        <v/>
      </c>
      <c r="D33" s="629">
        <f>'Mould Costing'!L96</f>
        <v/>
      </c>
      <c r="E33" s="628">
        <f>VLOOKUP($C$16,COMPLEXITY!$A$2:$B$7,2,TRUE)*D33</f>
        <v/>
      </c>
      <c r="K33" s="626" t="n"/>
    </row>
    <row r="34">
      <c r="B34" s="203" t="inlineStr">
        <is>
          <t>Service Charges</t>
        </is>
      </c>
      <c r="C34" s="202">
        <f>D34/$D$25</f>
        <v/>
      </c>
      <c r="D34" s="629">
        <f>'Mould Costing'!$L$99</f>
        <v/>
      </c>
      <c r="E34" s="630">
        <f>'Mould Costing'!$L$99</f>
        <v/>
      </c>
      <c r="K34" s="626" t="n"/>
    </row>
    <row r="35">
      <c r="A35" s="204" t="n">
        <v>0.15</v>
      </c>
      <c r="B35" s="205" t="inlineStr">
        <is>
          <t>Profit &amp; Overhead</t>
        </is>
      </c>
      <c r="C35" s="206">
        <f>D35/$D$25</f>
        <v/>
      </c>
      <c r="D35" s="631">
        <f>'Mould Costing'!L95</f>
        <v/>
      </c>
      <c r="E35" s="632">
        <f>'Mould Costing'!L95</f>
        <v/>
      </c>
      <c r="K35" s="626" t="n"/>
    </row>
  </sheetData>
  <mergeCells count="3">
    <mergeCell ref="B2:D3"/>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8.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opLeftCell="C1" zoomScale="85" zoomScaleNormal="85" workbookViewId="0">
      <selection activeCell="L7" sqref="L7"/>
    </sheetView>
  </sheetViews>
  <sheetFormatPr baseColWidth="8" defaultColWidth="9" defaultRowHeight="14.5"/>
  <cols>
    <col width="20.6328125" customWidth="1" style="450" min="1" max="1"/>
    <col width="15.90625" customWidth="1" style="450" min="2" max="2"/>
    <col width="38.08984375" customWidth="1" style="450" min="3" max="3"/>
    <col width="10.90625" customWidth="1" style="450" min="4" max="4"/>
    <col width="23.08984375" customWidth="1" style="450" min="5" max="5"/>
    <col width="6.08984375" customWidth="1" style="450" min="8" max="8"/>
    <col width="30.26953125" customWidth="1" style="450" min="9" max="9"/>
    <col width="19.36328125" customWidth="1" style="450" min="10" max="10"/>
    <col width="19.36328125" customWidth="1" style="450" min="15" max="15"/>
  </cols>
  <sheetData>
    <row r="1">
      <c r="A1" s="226" t="n"/>
      <c r="B1" s="633" t="n"/>
    </row>
    <row r="2" ht="16.5" customHeight="1" s="450">
      <c r="A2" t="inlineStr">
        <is>
          <t>Various Tool Steel</t>
        </is>
      </c>
      <c r="B2" t="inlineStr">
        <is>
          <t>Density(g/cc3)</t>
        </is>
      </c>
      <c r="C2" t="inlineStr">
        <is>
          <t>Uses</t>
        </is>
      </c>
      <c r="D2" t="inlineStr">
        <is>
          <t>Price/Kg</t>
        </is>
      </c>
      <c r="E2" t="inlineStr">
        <is>
          <t>RM cost</t>
        </is>
      </c>
      <c r="F2" t="inlineStr">
        <is>
          <t>Extra cost</t>
        </is>
      </c>
      <c r="G2" t="inlineStr">
        <is>
          <t>Total</t>
        </is>
      </c>
      <c r="I2" s="168" t="inlineStr">
        <is>
          <t>Machining Process</t>
        </is>
      </c>
      <c r="J2" s="169" t="inlineStr">
        <is>
          <t>MRR in cm3/min</t>
        </is>
      </c>
      <c r="K2" s="453" t="inlineStr">
        <is>
          <t>MHR</t>
        </is>
      </c>
      <c r="L2" t="inlineStr">
        <is>
          <t>Column1</t>
        </is>
      </c>
    </row>
    <row r="3" ht="27.5" customFormat="1" customHeight="1" s="187">
      <c r="A3" s="164" t="inlineStr">
        <is>
          <t>C-45</t>
        </is>
      </c>
      <c r="B3" s="187" t="n">
        <v>7.8</v>
      </c>
      <c r="C3" s="164" t="inlineStr">
        <is>
          <t>Top &amp; Bottom Bolster, Housing, Ejector Plate, Spacers, Locating Ring</t>
        </is>
      </c>
      <c r="D3" s="165">
        <f>Table1[[#This Row],[Total]]</f>
        <v/>
      </c>
      <c r="E3" s="166" t="n">
        <v>128</v>
      </c>
      <c r="F3" s="166" t="n"/>
      <c r="G3" s="166">
        <f>Table1[[#This Row],[RM cost]]+Table1[[#This Row],[Extra cost]]</f>
        <v/>
      </c>
      <c r="I3" s="170" t="inlineStr">
        <is>
          <t>Conv Milling - Facing</t>
        </is>
      </c>
      <c r="J3" s="187" t="n">
        <v>3</v>
      </c>
      <c r="K3" s="187" t="n">
        <v>400</v>
      </c>
    </row>
    <row r="4" ht="26" customHeight="1" s="450">
      <c r="A4" s="62" t="inlineStr">
        <is>
          <t>Case Hardening Steel</t>
        </is>
      </c>
      <c r="B4" t="n">
        <v>7.85</v>
      </c>
      <c r="C4" s="164" t="inlineStr">
        <is>
          <t>Pillar &amp; Bush, Stripper Bolts, wear plates, Finger cams, Etc</t>
        </is>
      </c>
      <c r="D4" s="5">
        <f>Table1[[#This Row],[Total]]</f>
        <v/>
      </c>
      <c r="E4" s="166" t="n">
        <v>120</v>
      </c>
      <c r="F4" s="166" t="n">
        <v>135</v>
      </c>
      <c r="G4" s="166">
        <f>Table1[[#This Row],[RM cost]]+Table1[[#This Row],[Extra cost]]</f>
        <v/>
      </c>
      <c r="I4" s="170" t="inlineStr">
        <is>
          <t>Conv Milling - End Milling</t>
        </is>
      </c>
      <c r="J4" t="n">
        <v>5</v>
      </c>
      <c r="K4" s="187" t="n">
        <v>400</v>
      </c>
    </row>
    <row r="5" ht="20.5" customHeight="1" s="450">
      <c r="A5" s="62" t="inlineStr">
        <is>
          <t>Silver Steel</t>
        </is>
      </c>
      <c r="B5" t="n">
        <v>7.8</v>
      </c>
      <c r="C5" s="62" t="inlineStr">
        <is>
          <t>Ejector pins</t>
        </is>
      </c>
      <c r="D5" s="5">
        <f>Table1[[#This Row],[Total]]</f>
        <v/>
      </c>
      <c r="E5" s="166" t="n">
        <v>150</v>
      </c>
      <c r="F5" s="166" t="n"/>
      <c r="G5" s="166">
        <f>Table1[[#This Row],[RM cost]]+Table1[[#This Row],[Extra cost]]</f>
        <v/>
      </c>
      <c r="I5" s="170" t="inlineStr">
        <is>
          <t>Conv Lathe - Facing / Turning</t>
        </is>
      </c>
      <c r="J5" t="n">
        <v>4</v>
      </c>
      <c r="K5" s="187" t="n">
        <v>400</v>
      </c>
    </row>
    <row r="6" ht="27" customHeight="1" s="450">
      <c r="A6" s="62" t="inlineStr">
        <is>
          <t>OHNS</t>
        </is>
      </c>
      <c r="B6" t="n">
        <v>8.67</v>
      </c>
      <c r="C6" s="164" t="inlineStr">
        <is>
          <t>Push back pin, Ejector pin, Sprue Bush, Wear plates, Pillar and Bush, Forming Punches</t>
        </is>
      </c>
      <c r="D6" s="5">
        <f>Table1[[#This Row],[Total]]</f>
        <v/>
      </c>
      <c r="E6" s="166" t="n">
        <v>125</v>
      </c>
      <c r="F6" s="166" t="n"/>
      <c r="G6" s="166">
        <f>Table1[[#This Row],[RM cost]]+Table1[[#This Row],[Extra cost]]</f>
        <v/>
      </c>
      <c r="I6" s="170" t="inlineStr">
        <is>
          <t>Surface Grinding</t>
        </is>
      </c>
      <c r="J6" t="n">
        <v>0.175</v>
      </c>
      <c r="K6" t="n">
        <v>500</v>
      </c>
    </row>
    <row r="7">
      <c r="A7" s="62" t="inlineStr">
        <is>
          <t>HCHCr</t>
        </is>
      </c>
      <c r="B7" t="n">
        <v>7.7</v>
      </c>
      <c r="C7" s="62" t="inlineStr">
        <is>
          <t>Punch, Die, Inserts, Piercing punches</t>
        </is>
      </c>
      <c r="D7" s="5">
        <f>Table1[[#This Row],[Total]]</f>
        <v/>
      </c>
      <c r="E7" s="166" t="n">
        <v>200</v>
      </c>
      <c r="F7" s="166" t="n"/>
      <c r="G7" s="166">
        <f>Table1[[#This Row],[RM cost]]+Table1[[#This Row],[Extra cost]]</f>
        <v/>
      </c>
      <c r="I7" s="170" t="inlineStr">
        <is>
          <t>Cylindrical Grinding</t>
        </is>
      </c>
      <c r="J7" t="n">
        <v>0.2</v>
      </c>
      <c r="K7" t="n">
        <v>500</v>
      </c>
    </row>
    <row r="8">
      <c r="A8" s="62" t="inlineStr">
        <is>
          <t>HDS</t>
        </is>
      </c>
      <c r="B8" t="n">
        <v>7.8</v>
      </c>
      <c r="C8" s="62" t="inlineStr">
        <is>
          <t>Core &amp; Cavity,Inserts, Core pins, Ejector pins</t>
        </is>
      </c>
      <c r="D8" s="5">
        <f>Table1[[#This Row],[Total]]</f>
        <v/>
      </c>
      <c r="E8" s="166" t="n">
        <v>590</v>
      </c>
      <c r="F8" s="166" t="n"/>
      <c r="G8" s="166">
        <f>Table1[[#This Row],[RM cost]]+Table1[[#This Row],[Extra cost]]</f>
        <v/>
      </c>
      <c r="I8" s="170" t="inlineStr">
        <is>
          <t>Radial Drilling - Hole drilling</t>
        </is>
      </c>
      <c r="J8" t="n">
        <v>1</v>
      </c>
      <c r="K8" t="n">
        <v>500</v>
      </c>
    </row>
    <row r="9">
      <c r="A9" s="62" t="inlineStr">
        <is>
          <t>HSS</t>
        </is>
      </c>
      <c r="B9" t="n">
        <v>8.16</v>
      </c>
      <c r="C9" s="62" t="inlineStr">
        <is>
          <t>Piercing punches &amp; Die</t>
        </is>
      </c>
      <c r="D9" s="5">
        <f>Table1[[#This Row],[Total]]</f>
        <v/>
      </c>
      <c r="E9" s="166" t="n">
        <v>950</v>
      </c>
      <c r="F9" s="166" t="n"/>
      <c r="G9" s="166">
        <f>Table1[[#This Row],[RM cost]]+Table1[[#This Row],[Extra cost]]</f>
        <v/>
      </c>
      <c r="I9" s="170" t="inlineStr">
        <is>
          <t>Radial Drilling - Reaming / Tapping</t>
        </is>
      </c>
      <c r="J9" t="n">
        <v>0.5</v>
      </c>
      <c r="K9" t="n">
        <v>500</v>
      </c>
    </row>
    <row r="10">
      <c r="A10" s="62" t="inlineStr">
        <is>
          <t>SG IRON</t>
        </is>
      </c>
      <c r="B10" t="n">
        <v>7.3</v>
      </c>
      <c r="C10" s="62" t="inlineStr">
        <is>
          <t>Housing for Pressure Die casting</t>
        </is>
      </c>
      <c r="D10" s="5">
        <f>Table1[[#This Row],[Total]]</f>
        <v/>
      </c>
      <c r="E10" s="166" t="n">
        <v>100</v>
      </c>
      <c r="F10" s="166" t="n"/>
      <c r="G10" s="166">
        <f>Table1[[#This Row],[RM cost]]+Table1[[#This Row],[Extra cost]]</f>
        <v/>
      </c>
      <c r="I10" s="170" t="inlineStr">
        <is>
          <t>Pillar Drilling</t>
        </is>
      </c>
      <c r="J10" t="n">
        <v>0.3</v>
      </c>
      <c r="K10" t="n">
        <v>500</v>
      </c>
    </row>
    <row r="11">
      <c r="A11" s="62" t="inlineStr">
        <is>
          <t>P20</t>
        </is>
      </c>
      <c r="B11" t="n">
        <v>7.861</v>
      </c>
      <c r="C11" s="62" t="inlineStr">
        <is>
          <t>Core &amp; Cavity of Plastic Mould</t>
        </is>
      </c>
      <c r="D11" s="5">
        <f>Table1[[#This Row],[Total]]</f>
        <v/>
      </c>
      <c r="E11" s="166" t="n">
        <v>230</v>
      </c>
      <c r="F11" s="166" t="n"/>
      <c r="G11" s="166" t="n">
        <v>230</v>
      </c>
      <c r="I11" s="170" t="inlineStr">
        <is>
          <t>Gun Drilling</t>
        </is>
      </c>
      <c r="J11" t="n">
        <v>2</v>
      </c>
      <c r="K11" t="n">
        <v>500</v>
      </c>
    </row>
    <row r="12">
      <c r="A12" s="62" t="inlineStr">
        <is>
          <t>Dievar</t>
        </is>
      </c>
      <c r="B12" s="62" t="n">
        <v>7.8</v>
      </c>
      <c r="C12" s="62" t="inlineStr">
        <is>
          <t xml:space="preserve">Casting core &amp; cavity-Surface finish will be good </t>
        </is>
      </c>
      <c r="D12" s="5">
        <f>Table1[[#This Row],[Total]]</f>
        <v/>
      </c>
      <c r="E12" s="166" t="n">
        <v>985</v>
      </c>
      <c r="F12" s="166" t="n"/>
      <c r="G12" s="166">
        <f>Table1[[#This Row],[RM cost]]+Table1[[#This Row],[Extra cost]]</f>
        <v/>
      </c>
      <c r="I12" s="170" t="inlineStr">
        <is>
          <t>NC EDM</t>
        </is>
      </c>
      <c r="J12" t="n">
        <v>0.01</v>
      </c>
      <c r="K12" t="n">
        <v>800</v>
      </c>
    </row>
    <row r="13">
      <c r="A13" s="62" t="inlineStr">
        <is>
          <t>FCD55</t>
        </is>
      </c>
      <c r="B13" s="62" t="n"/>
      <c r="C13" s="62" t="inlineStr">
        <is>
          <t>mold base</t>
        </is>
      </c>
      <c r="D13" s="5">
        <f>Table1[[#This Row],[Total]]</f>
        <v/>
      </c>
      <c r="E13" s="166" t="n">
        <v>200</v>
      </c>
      <c r="F13" s="166" t="n"/>
      <c r="G13" s="166">
        <f>Table1[[#This Row],[RM cost]]+Table1[[#This Row],[Extra cost]]</f>
        <v/>
      </c>
      <c r="I13" s="170" t="inlineStr">
        <is>
          <t>Wirecut EDM</t>
        </is>
      </c>
      <c r="J13" t="n">
        <v>0.01</v>
      </c>
      <c r="K13" t="n">
        <v>800</v>
      </c>
    </row>
    <row r="14">
      <c r="A14" s="62" t="inlineStr">
        <is>
          <t>EN8</t>
        </is>
      </c>
      <c r="B14" s="62" t="n"/>
      <c r="C14" s="62" t="inlineStr">
        <is>
          <t>mold base</t>
        </is>
      </c>
      <c r="D14" s="5">
        <f>Table1[[#This Row],[Total]]</f>
        <v/>
      </c>
      <c r="E14" s="166" t="n">
        <v>120</v>
      </c>
      <c r="F14" s="166" t="n"/>
      <c r="G14" s="166">
        <f>Table1[[#This Row],[RM cost]]+Table1[[#This Row],[Extra cost]]</f>
        <v/>
      </c>
      <c r="I14" s="170" t="inlineStr">
        <is>
          <t>Jig Boring</t>
        </is>
      </c>
      <c r="J14" t="n">
        <v>0.2</v>
      </c>
      <c r="K14" t="n">
        <v>500</v>
      </c>
    </row>
    <row r="15">
      <c r="A15" s="62" t="inlineStr">
        <is>
          <t>Orvar</t>
        </is>
      </c>
      <c r="B15" s="62" t="n"/>
      <c r="C15" s="62" t="inlineStr">
        <is>
          <t>core &amp; cavity-casting</t>
        </is>
      </c>
      <c r="D15" s="5">
        <f>Table1[[#This Row],[Total]]</f>
        <v/>
      </c>
      <c r="E15" s="166" t="n">
        <v>500</v>
      </c>
      <c r="F15" s="166" t="n"/>
      <c r="G15" s="166">
        <f>Table1[[#This Row],[RM cost]]+Table1[[#This Row],[Extra cost]]</f>
        <v/>
      </c>
      <c r="I15" s="170" t="inlineStr">
        <is>
          <t>CNC Lathe</t>
        </is>
      </c>
      <c r="J15" t="n">
        <v>1.2</v>
      </c>
      <c r="K15" t="n">
        <v>1200</v>
      </c>
    </row>
    <row r="16">
      <c r="A16" s="223" t="inlineStr">
        <is>
          <t>Graphite</t>
        </is>
      </c>
      <c r="B16" s="62" t="n">
        <v>1.5</v>
      </c>
      <c r="C16" s="62" t="inlineStr">
        <is>
          <t>electrode</t>
        </is>
      </c>
      <c r="D16" s="5">
        <f>Table1[[#This Row],[Total]]</f>
        <v/>
      </c>
      <c r="E16" s="167" t="n"/>
      <c r="F16" s="167" t="n"/>
      <c r="G16" s="167" t="n">
        <v>1500</v>
      </c>
      <c r="I16" s="170" t="inlineStr">
        <is>
          <t>CNC Milling</t>
        </is>
      </c>
      <c r="J16" t="n">
        <v>1</v>
      </c>
      <c r="K16" t="n">
        <v>1200</v>
      </c>
    </row>
    <row r="17">
      <c r="A17" s="62" t="n"/>
      <c r="B17" s="62" t="n"/>
      <c r="C17" s="62" t="n"/>
      <c r="E17" s="62" t="n"/>
      <c r="F17" s="62" t="n"/>
      <c r="G17" s="62" t="n"/>
      <c r="I17" s="171" t="inlineStr">
        <is>
          <t>CNC EDM</t>
        </is>
      </c>
      <c r="J17" t="n">
        <v>1</v>
      </c>
      <c r="K17" t="n">
        <v>1200</v>
      </c>
    </row>
    <row r="19">
      <c r="A19" s="336" t="inlineStr">
        <is>
          <t>Part Material</t>
        </is>
      </c>
      <c r="B19" s="336" t="inlineStr">
        <is>
          <t>Price/kg</t>
        </is>
      </c>
      <c r="C19" s="336" t="inlineStr">
        <is>
          <t>Tonnage Constant(/cm2)</t>
        </is>
      </c>
      <c r="D19" s="336" t="inlineStr">
        <is>
          <t>Density</t>
        </is>
      </c>
      <c r="E19" s="336" t="inlineStr">
        <is>
          <t>Young modulus</t>
        </is>
      </c>
    </row>
    <row r="20">
      <c r="A20" s="336" t="inlineStr">
        <is>
          <t>PS</t>
        </is>
      </c>
      <c r="B20" s="148" t="n">
        <v>136</v>
      </c>
      <c r="C20" s="148" t="n">
        <v>0.32</v>
      </c>
      <c r="D20" s="148" t="n">
        <v>1</v>
      </c>
      <c r="E20" s="148" t="n">
        <v>3</v>
      </c>
    </row>
    <row r="21">
      <c r="A21" s="336" t="inlineStr">
        <is>
          <t>PE</t>
        </is>
      </c>
      <c r="B21" s="148" t="n">
        <v>161</v>
      </c>
      <c r="C21" s="148" t="n">
        <v>0.32</v>
      </c>
      <c r="D21" s="148" t="n">
        <v>0.92</v>
      </c>
      <c r="E21" s="148">
        <f>AVERAGE(0.19,0.3)</f>
        <v/>
      </c>
    </row>
    <row r="22">
      <c r="A22" s="336" t="inlineStr">
        <is>
          <t>PP</t>
        </is>
      </c>
      <c r="B22" s="148" t="n">
        <v>139</v>
      </c>
      <c r="C22" s="148" t="n">
        <v>0.32</v>
      </c>
      <c r="D22" s="148" t="n">
        <v>0.91</v>
      </c>
      <c r="E22" s="148">
        <f>AVERAGE(1,3.5)</f>
        <v/>
      </c>
    </row>
    <row r="23">
      <c r="A23" s="336" t="inlineStr">
        <is>
          <t>ABS</t>
        </is>
      </c>
      <c r="B23" s="148" t="n">
        <v>210</v>
      </c>
      <c r="C23" s="148" t="n">
        <v>0.4</v>
      </c>
      <c r="D23" s="148" t="n">
        <v>1.03</v>
      </c>
      <c r="E23" s="148">
        <f>AVERAGE(1.79,3.2)</f>
        <v/>
      </c>
    </row>
    <row r="24">
      <c r="A24" s="336" t="inlineStr">
        <is>
          <t>PA-unfilled-dupont</t>
        </is>
      </c>
      <c r="B24" s="148" t="n">
        <v>481</v>
      </c>
      <c r="C24" s="148" t="n">
        <v>0.6899999999999999</v>
      </c>
      <c r="D24" s="148" t="n">
        <v>1.01</v>
      </c>
      <c r="E24" s="148">
        <f>AVERAGE(1,3.2)</f>
        <v/>
      </c>
    </row>
    <row r="25">
      <c r="A25" s="336" t="inlineStr">
        <is>
          <t>POM</t>
        </is>
      </c>
      <c r="B25" s="148" t="n">
        <v>300</v>
      </c>
      <c r="C25" s="148" t="n">
        <v>0.6899999999999999</v>
      </c>
      <c r="D25" s="148" t="n">
        <v>1.41</v>
      </c>
      <c r="E25" s="148">
        <f>AVERAGE(2.8,3.4)</f>
        <v/>
      </c>
    </row>
    <row r="26">
      <c r="A26" s="336" t="inlineStr">
        <is>
          <t>Glass fiber-Plain</t>
        </is>
      </c>
      <c r="B26" s="148" t="n">
        <v>220</v>
      </c>
      <c r="C26" s="148" t="n">
        <v>0.6899999999999999</v>
      </c>
      <c r="D26" s="148" t="n">
        <v>2.54</v>
      </c>
      <c r="E26" s="148" t="n">
        <v>72</v>
      </c>
    </row>
    <row r="27">
      <c r="A27" s="336" t="inlineStr">
        <is>
          <t>Nylon-srf</t>
        </is>
      </c>
      <c r="B27" s="148" t="n">
        <v>257</v>
      </c>
      <c r="C27" s="148" t="n">
        <v>0.72</v>
      </c>
      <c r="D27" s="148" t="n">
        <v>1.14</v>
      </c>
      <c r="E27" s="148"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9.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topLeftCell="A5" workbookViewId="0">
      <selection activeCell="E18" sqref="E18"/>
    </sheetView>
  </sheetViews>
  <sheetFormatPr baseColWidth="8" defaultColWidth="9" defaultRowHeight="14.5"/>
  <cols>
    <col width="21.26953125" customWidth="1" style="450" min="1" max="1"/>
    <col width="17.90625" customWidth="1" style="450" min="2" max="2"/>
    <col width="10.81640625" customWidth="1" style="450" min="4" max="4"/>
    <col width="19.1796875" customWidth="1" style="450" min="5" max="5"/>
    <col width="17.36328125" customWidth="1" style="450" min="6" max="6"/>
    <col width="11.453125" customWidth="1" style="450" min="7" max="7"/>
    <col width="11.81640625" customWidth="1" style="450" min="8" max="8"/>
  </cols>
  <sheetData>
    <row r="1">
      <c r="A1" s="563" t="inlineStr">
        <is>
          <t xml:space="preserve">Part </t>
        </is>
      </c>
      <c r="B1" s="563" t="inlineStr">
        <is>
          <t>Dimensions</t>
        </is>
      </c>
      <c r="C1" s="563" t="inlineStr">
        <is>
          <t>unit</t>
        </is>
      </c>
      <c r="E1" s="542" t="inlineStr">
        <is>
          <t>Mould Dimensions Calculation based on Part Data</t>
        </is>
      </c>
      <c r="F1" s="457" t="n"/>
    </row>
    <row r="2" ht="14.5" customHeight="1" s="450">
      <c r="A2" s="336" t="inlineStr">
        <is>
          <t>Length</t>
        </is>
      </c>
      <c r="B2" s="148">
        <f>IF('INJ. MOULDING ESTIMATION'!C9=TRUE,'INJ. MOULDING ESTIMATION'!C6,'INJ. MOULDING ESTIMATION'!C7)</f>
        <v/>
      </c>
      <c r="C2" s="336" t="inlineStr">
        <is>
          <t>mm</t>
        </is>
      </c>
      <c r="E2" s="452" t="n"/>
      <c r="F2" s="454" t="n"/>
    </row>
    <row r="3">
      <c r="A3" s="336" t="inlineStr">
        <is>
          <t>Width</t>
        </is>
      </c>
      <c r="B3" s="148">
        <f>IF('INJ. MOULDING ESTIMATION'!C9=TRUE,'INJ. MOULDING ESTIMATION'!C7,'INJ. MOULDING ESTIMATION'!C6)</f>
        <v/>
      </c>
      <c r="C3" s="336" t="inlineStr">
        <is>
          <t>mm</t>
        </is>
      </c>
      <c r="E3" s="149" t="inlineStr">
        <is>
          <t>Length</t>
        </is>
      </c>
      <c r="F3" s="108">
        <f>VLOOKUP(F6,E12:H16,2,FALSE)+50</f>
        <v/>
      </c>
    </row>
    <row r="4">
      <c r="A4" s="336" t="inlineStr">
        <is>
          <t>Height</t>
        </is>
      </c>
      <c r="B4" s="148">
        <f>'INJ. MOULDING ESTIMATION'!C8</f>
        <v/>
      </c>
      <c r="C4" s="336" t="inlineStr">
        <is>
          <t>mm</t>
        </is>
      </c>
      <c r="E4" s="149" t="inlineStr">
        <is>
          <t xml:space="preserve">Width </t>
        </is>
      </c>
      <c r="F4" s="108">
        <f>VLOOKUP(F6,E12:G16,3,FALSE)+50</f>
        <v/>
      </c>
    </row>
    <row r="5">
      <c r="A5" s="336" t="inlineStr">
        <is>
          <t>Volume</t>
        </is>
      </c>
      <c r="B5" s="148">
        <f>B2*B3*B4</f>
        <v/>
      </c>
      <c r="C5" s="336" t="inlineStr">
        <is>
          <t>mm3</t>
        </is>
      </c>
      <c r="E5" s="149" t="inlineStr">
        <is>
          <t xml:space="preserve">Height </t>
        </is>
      </c>
      <c r="F5" s="108">
        <f>VLOOKUP($F$6,$E$12:$H$16,4,FALSE)</f>
        <v/>
      </c>
    </row>
    <row r="6">
      <c r="A6" s="336" t="inlineStr">
        <is>
          <t>%Projection</t>
        </is>
      </c>
      <c r="B6" s="148">
        <f>'INJ. MOULDING ESTIMATION'!C17/100</f>
        <v/>
      </c>
      <c r="C6" s="336" t="n"/>
      <c r="E6" s="149" t="inlineStr">
        <is>
          <t>Cavity</t>
        </is>
      </c>
      <c r="F6" s="150">
        <f>INT(B10)</f>
        <v/>
      </c>
    </row>
    <row r="7">
      <c r="A7" s="336" t="inlineStr">
        <is>
          <t>Projected Area(in mm2)</t>
        </is>
      </c>
      <c r="B7" s="148">
        <f>B6*B2*B3</f>
        <v/>
      </c>
      <c r="C7" s="336" t="inlineStr">
        <is>
          <t>mm2</t>
        </is>
      </c>
      <c r="E7" s="149" t="inlineStr">
        <is>
          <t>Gap between cavity(T)</t>
        </is>
      </c>
      <c r="F7" s="110" t="n">
        <v>50</v>
      </c>
    </row>
    <row r="8">
      <c r="A8" s="310" t="inlineStr">
        <is>
          <t>surface area(Better estimation then projection area)</t>
        </is>
      </c>
      <c r="B8">
        <f>2*((B2*B3)/2+B3*B4+B2*B4)</f>
        <v/>
      </c>
      <c r="C8" s="336" t="n"/>
      <c r="E8" s="149" t="n"/>
      <c r="F8" s="110" t="n"/>
    </row>
    <row r="9">
      <c r="A9" s="336" t="inlineStr">
        <is>
          <t>Material Used</t>
        </is>
      </c>
      <c r="B9" s="148">
        <f>'INJ. MOULDING ESTIMATION'!C12</f>
        <v/>
      </c>
      <c r="C9" s="336" t="n"/>
      <c r="E9" s="149" t="inlineStr">
        <is>
          <t>Volume(in mm2)</t>
        </is>
      </c>
      <c r="F9" s="150">
        <f>F3*F4*F5</f>
        <v/>
      </c>
    </row>
    <row r="10">
      <c r="A10" s="336" t="inlineStr">
        <is>
          <t>No ofCavity</t>
        </is>
      </c>
      <c r="B10" s="151">
        <f>'INJ. MOULDING ESTIMATION'!C14</f>
        <v/>
      </c>
      <c r="C10" s="336" t="n"/>
    </row>
    <row r="11">
      <c r="A11" s="336" t="inlineStr">
        <is>
          <t xml:space="preserve">No of parts( Dmd. ) </t>
        </is>
      </c>
      <c r="B11" s="148">
        <f>'INJ. MOULDING ESTIMATION'!C20</f>
        <v/>
      </c>
      <c r="C11" s="336" t="n"/>
      <c r="E11" s="152" t="inlineStr">
        <is>
          <t>Cavity</t>
        </is>
      </c>
      <c r="F11" s="153" t="inlineStr">
        <is>
          <t>Length</t>
        </is>
      </c>
      <c r="G11" s="153" t="inlineStr">
        <is>
          <t>Width</t>
        </is>
      </c>
      <c r="H11" s="153" t="inlineStr">
        <is>
          <t>Height</t>
        </is>
      </c>
    </row>
    <row r="12">
      <c r="A12" s="336" t="inlineStr">
        <is>
          <t>Cycle Time</t>
        </is>
      </c>
      <c r="B12" s="154">
        <f>'No of Cavity'!B6</f>
        <v/>
      </c>
      <c r="C12" s="336" t="inlineStr">
        <is>
          <t>sec</t>
        </is>
      </c>
      <c r="E12" s="153" t="n">
        <v>1</v>
      </c>
      <c r="F12" s="155">
        <f>'Mould Layout'!B$28</f>
        <v/>
      </c>
      <c r="G12" s="155">
        <f>'Mould Layout'!B$30</f>
        <v/>
      </c>
      <c r="H12" s="155">
        <f>'Mould Layout'!B$32</f>
        <v/>
      </c>
    </row>
    <row r="13">
      <c r="A13" s="336" t="inlineStr">
        <is>
          <t>Injection Pressure</t>
        </is>
      </c>
      <c r="B13" s="148">
        <f>VLOOKUP(B9,Table11[],3,FALSE)*1000</f>
        <v/>
      </c>
      <c r="C13" s="336" t="n"/>
      <c r="E13" s="153" t="n">
        <v>2</v>
      </c>
      <c r="F13" s="155">
        <f>'Mould Layout'!C$28</f>
        <v/>
      </c>
      <c r="G13" s="155">
        <f>'Mould Layout'!C$30</f>
        <v/>
      </c>
      <c r="H13" s="155">
        <f>'Mould Layout'!C$32</f>
        <v/>
      </c>
    </row>
    <row r="14">
      <c r="A14" s="336" t="inlineStr">
        <is>
          <t>Avg. Wall Thickness</t>
        </is>
      </c>
      <c r="B14" s="148">
        <f>'INJ. MOULDING ESTIMATION'!C10</f>
        <v/>
      </c>
      <c r="C14" s="336" t="inlineStr">
        <is>
          <t>mm</t>
        </is>
      </c>
      <c r="E14" s="153" t="n">
        <v>4</v>
      </c>
      <c r="F14" s="155">
        <f>'Mould Layout'!D$28</f>
        <v/>
      </c>
      <c r="G14" s="155">
        <f>'Mould Layout'!D$30</f>
        <v/>
      </c>
      <c r="H14" s="155">
        <f>'Mould Layout'!D$32</f>
        <v/>
      </c>
    </row>
    <row r="15">
      <c r="A15" s="336" t="inlineStr">
        <is>
          <t>Max wall thickness</t>
        </is>
      </c>
      <c r="B15" s="148">
        <f>'INJ. MOULDING ESTIMATION'!C11</f>
        <v/>
      </c>
      <c r="C15" s="336" t="inlineStr">
        <is>
          <t>mm</t>
        </is>
      </c>
      <c r="E15" s="153" t="n">
        <v>6</v>
      </c>
      <c r="F15" s="155">
        <f>'Mould Layout'!E$28</f>
        <v/>
      </c>
      <c r="G15" s="155">
        <f>'Mould Layout'!E$30</f>
        <v/>
      </c>
      <c r="H15" s="155">
        <f>'Mould Layout'!E$32</f>
        <v/>
      </c>
    </row>
    <row r="16">
      <c r="A16" s="336" t="inlineStr">
        <is>
          <t>Daily production</t>
        </is>
      </c>
      <c r="B16" s="156">
        <f>'INJ. MOULDING ESTIMATION'!C19</f>
        <v/>
      </c>
      <c r="C16" s="336" t="n"/>
      <c r="E16" s="153" t="n">
        <v>8</v>
      </c>
      <c r="F16" s="155">
        <f>'Mould Layout'!F$28</f>
        <v/>
      </c>
      <c r="G16" s="155">
        <f>'Mould Layout'!F30</f>
        <v/>
      </c>
      <c r="H16" s="155">
        <f>'Mould Layout'!F$32</f>
        <v/>
      </c>
    </row>
    <row r="17">
      <c r="A17" s="282" t="inlineStr">
        <is>
          <t>increase no of machine</t>
        </is>
      </c>
      <c r="B17" s="148" t="n"/>
      <c r="C17" s="336" t="n"/>
    </row>
    <row r="18">
      <c r="A18" s="157" t="inlineStr">
        <is>
          <t>Output</t>
        </is>
      </c>
      <c r="B18" s="158" t="inlineStr">
        <is>
          <t>Price</t>
        </is>
      </c>
      <c r="D18">
        <f>B23</f>
        <v/>
      </c>
      <c r="E18" t="inlineStr">
        <is>
          <t>Total cost</t>
        </is>
      </c>
    </row>
    <row r="19">
      <c r="A19" s="437" t="inlineStr">
        <is>
          <t>Mould Cost</t>
        </is>
      </c>
      <c r="B19" s="50">
        <f>'Mould Costing'!L100</f>
        <v/>
      </c>
      <c r="D19">
        <f>D18/B11</f>
        <v/>
      </c>
      <c r="E19" t="inlineStr">
        <is>
          <t>Cost per part</t>
        </is>
      </c>
      <c r="G19" t="inlineStr">
        <is>
          <t>TOTAL WORKING HOUR</t>
        </is>
      </c>
      <c r="I19">
        <f>0.9*8</f>
        <v/>
      </c>
    </row>
    <row r="20">
      <c r="A20" s="437" t="inlineStr">
        <is>
          <t xml:space="preserve">Total Part cost </t>
        </is>
      </c>
      <c r="B20" s="86">
        <f>'Part Cost'!B15</f>
        <v/>
      </c>
      <c r="D20">
        <f>D18/B28</f>
        <v/>
      </c>
      <c r="E20" t="inlineStr">
        <is>
          <t>per day cost</t>
        </is>
      </c>
      <c r="G20" t="inlineStr">
        <is>
          <t>CYCLE TIME</t>
        </is>
      </c>
      <c r="I20">
        <f>B12/3600</f>
        <v/>
      </c>
    </row>
    <row r="21">
      <c r="A21" s="259" t="inlineStr">
        <is>
          <t xml:space="preserve">Total Part </t>
        </is>
      </c>
      <c r="B21" s="86">
        <f>B11</f>
        <v/>
      </c>
      <c r="D21" s="22">
        <f>8*3600/B12*0.9</f>
        <v/>
      </c>
      <c r="E21" t="inlineStr">
        <is>
          <t>no of cycle/day</t>
        </is>
      </c>
      <c r="G21" t="inlineStr">
        <is>
          <t xml:space="preserve">NO OF CYCLE </t>
        </is>
      </c>
      <c r="I21">
        <f>I19/I20</f>
        <v/>
      </c>
    </row>
    <row r="22">
      <c r="A22" s="437" t="n"/>
      <c r="B22" s="86" t="n"/>
      <c r="D22" s="22">
        <f>D21*B28/B10</f>
        <v/>
      </c>
      <c r="E22" t="inlineStr">
        <is>
          <t>total cycle</t>
        </is>
      </c>
      <c r="G22" t="inlineStr">
        <is>
          <t>WASTE TIME</t>
        </is>
      </c>
      <c r="I22">
        <f>10%*I21</f>
        <v/>
      </c>
    </row>
    <row r="23" ht="23.5" customHeight="1" s="450">
      <c r="A23" s="159" t="inlineStr">
        <is>
          <t>Total price</t>
        </is>
      </c>
      <c r="B23" s="160">
        <f>SUM(B19,B20)</f>
        <v/>
      </c>
      <c r="G23" t="inlineStr">
        <is>
          <t>NET CYCLE</t>
        </is>
      </c>
      <c r="I23">
        <f>I21-I22</f>
        <v/>
      </c>
      <c r="J23" t="inlineStr">
        <is>
          <t>P/SEC</t>
        </is>
      </c>
    </row>
    <row r="24">
      <c r="G24" t="inlineStr">
        <is>
          <t>PART PRODUCE</t>
        </is>
      </c>
      <c r="I24">
        <f>I23*B10*'No of Cavity'!B10</f>
        <v/>
      </c>
      <c r="J24">
        <f>I24/(8*3600)</f>
        <v/>
      </c>
    </row>
    <row r="28">
      <c r="A28" s="161" t="inlineStr">
        <is>
          <t>NO OF WORKING DAY REQ</t>
        </is>
      </c>
      <c r="B28" s="162">
        <f>B21/B16</f>
        <v/>
      </c>
      <c r="E28" t="inlineStr">
        <is>
          <t>PROFIT</t>
        </is>
      </c>
      <c r="F28">
        <f>5%*D25</f>
        <v/>
      </c>
    </row>
    <row r="29">
      <c r="A29" s="161" t="n"/>
      <c r="B29" s="162" t="n"/>
      <c r="E29" t="inlineStr">
        <is>
          <t>NET PROFIT</t>
        </is>
      </c>
      <c r="F29">
        <f>F28*B21</f>
        <v/>
      </c>
    </row>
    <row r="30">
      <c r="A30" s="161" t="n"/>
      <c r="B30" s="162" t="n"/>
      <c r="E30" t="inlineStr">
        <is>
          <t>PER DAY PROFIT</t>
        </is>
      </c>
      <c r="F30">
        <f>F29/B28</f>
        <v/>
      </c>
    </row>
    <row r="31">
      <c r="A31" s="161" t="n"/>
      <c r="B31" s="162" t="n"/>
    </row>
    <row r="32">
      <c r="A32" s="161" t="n"/>
      <c r="B32" s="162" t="n"/>
    </row>
    <row r="33">
      <c r="A33" s="163" t="n"/>
      <c r="B33" s="162"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10.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50" min="1" max="1"/>
    <col width="25.81640625" customWidth="1" style="563" min="2" max="2"/>
    <col width="11.54296875" customWidth="1" style="62" min="5" max="5"/>
    <col width="12.26953125" customWidth="1" style="62" min="6" max="6"/>
    <col width="29.81640625" customWidth="1" style="62" min="7" max="7"/>
    <col width="8.81640625" customWidth="1" style="450" min="8" max="9"/>
    <col width="13.453125" customWidth="1" style="450" min="10" max="10"/>
    <col width="9.453125" customWidth="1" style="450" min="11" max="13"/>
  </cols>
  <sheetData>
    <row r="1" ht="20.15" customHeight="1" s="450">
      <c r="A1" s="543" t="inlineStr">
        <is>
          <t>Cavity Calculation</t>
        </is>
      </c>
      <c r="B1" s="439" t="n"/>
      <c r="C1" s="437" t="n"/>
      <c r="E1" s="131" t="inlineStr">
        <is>
          <t>No of Cavity</t>
        </is>
      </c>
      <c r="G1" s="518" t="inlineStr">
        <is>
          <t>Cycle Time calculation</t>
        </is>
      </c>
      <c r="H1" s="439" t="n"/>
      <c r="I1" s="437" t="n"/>
      <c r="J1" s="265" t="inlineStr">
        <is>
          <t>Value in Sec</t>
        </is>
      </c>
    </row>
    <row r="2" ht="20.15" customFormat="1" customHeight="1" s="336">
      <c r="A2" s="558" t="n"/>
      <c r="B2" s="558" t="inlineStr">
        <is>
          <t>Value</t>
        </is>
      </c>
      <c r="C2" s="558" t="inlineStr">
        <is>
          <t>Unit</t>
        </is>
      </c>
      <c r="E2" s="132" t="n">
        <v>1</v>
      </c>
      <c r="G2" s="544" t="inlineStr">
        <is>
          <t>T1 = Injection time + dwelling time</t>
        </is>
      </c>
      <c r="H2" s="439" t="n"/>
      <c r="I2" s="437" t="n"/>
      <c r="J2" s="147" t="n">
        <v>3</v>
      </c>
    </row>
    <row r="3" ht="20.15" customHeight="1" s="450">
      <c r="A3" s="265" t="inlineStr">
        <is>
          <t>Daily Requirements</t>
        </is>
      </c>
      <c r="B3" s="133">
        <f>'Input-Output'!B16</f>
        <v/>
      </c>
      <c r="C3" s="109" t="inlineStr">
        <is>
          <t>No.s</t>
        </is>
      </c>
      <c r="E3" s="132" t="n">
        <v>2</v>
      </c>
      <c r="G3" s="544" t="inlineStr">
        <is>
          <t>T2 = Cooling time</t>
        </is>
      </c>
      <c r="H3" s="439" t="n"/>
      <c r="I3" s="437" t="n"/>
      <c r="J3" s="70">
        <f>INDEX(F11:K19,MATCH('Input-Output'!B9,E11:E19,1),MATCH('Input-Output'!B14,F10:K10,1))*1.2</f>
        <v/>
      </c>
    </row>
    <row r="4" ht="20.15" customHeight="1" s="450">
      <c r="A4" s="265" t="inlineStr">
        <is>
          <t>Efficiency (Labour &amp; Machine)</t>
        </is>
      </c>
      <c r="B4" s="134" t="n">
        <v>0.9</v>
      </c>
      <c r="C4" s="109" t="n"/>
      <c r="E4" s="132" t="n">
        <v>4</v>
      </c>
      <c r="G4" s="544" t="inlineStr">
        <is>
          <t>T3 = Time required to remove the molded product</t>
        </is>
      </c>
      <c r="H4" s="439" t="n"/>
      <c r="I4" s="437" t="n"/>
      <c r="J4" s="265" t="n">
        <v>5</v>
      </c>
    </row>
    <row r="5" ht="20.15" customHeight="1" s="450">
      <c r="A5" s="265" t="inlineStr">
        <is>
          <t>Material Rejection</t>
        </is>
      </c>
      <c r="B5" s="134" t="n">
        <v>0.02</v>
      </c>
      <c r="C5" s="109" t="n"/>
      <c r="E5" s="132" t="n">
        <v>6</v>
      </c>
      <c r="G5" s="544" t="inlineStr">
        <is>
          <t>T4 = Time needed for opening and closing the mold</t>
        </is>
      </c>
      <c r="H5" s="439" t="n"/>
      <c r="I5" s="437" t="n"/>
      <c r="J5" s="265" t="n">
        <v>3</v>
      </c>
    </row>
    <row r="6" ht="20.15" customHeight="1" s="450">
      <c r="A6" s="265" t="inlineStr">
        <is>
          <t>Cycle Time / Part</t>
        </is>
      </c>
      <c r="B6" s="135">
        <f>J6</f>
        <v/>
      </c>
      <c r="C6" s="109" t="inlineStr">
        <is>
          <t>Secs</t>
        </is>
      </c>
      <c r="E6" s="132" t="n">
        <v>8</v>
      </c>
      <c r="G6" s="547" t="inlineStr">
        <is>
          <t>Cycle Time /Part</t>
        </is>
      </c>
      <c r="H6" s="439" t="n"/>
      <c r="I6" s="437" t="n"/>
      <c r="J6" s="5">
        <f>SUM(J2:J5)</f>
        <v/>
      </c>
    </row>
    <row r="7" ht="20.15" customHeight="1" s="450">
      <c r="A7" s="265" t="inlineStr">
        <is>
          <t>Cycle Time / Part</t>
        </is>
      </c>
      <c r="B7" s="136">
        <f>B6/3600</f>
        <v/>
      </c>
      <c r="C7" s="109" t="inlineStr">
        <is>
          <t>Hours</t>
        </is>
      </c>
      <c r="G7" s="62" t="inlineStr">
        <is>
          <t>Nominal thickness</t>
        </is>
      </c>
      <c r="H7">
        <f>ROUNDUP('Input-Output'!B14,0)</f>
        <v/>
      </c>
    </row>
    <row r="8" ht="20.15" customHeight="1" s="450">
      <c r="A8" s="265" t="inlineStr">
        <is>
          <t>Hours per Shift</t>
        </is>
      </c>
      <c r="B8" s="135">
        <f>0.9*8</f>
        <v/>
      </c>
      <c r="C8" s="109" t="inlineStr">
        <is>
          <t>Hours</t>
        </is>
      </c>
      <c r="E8" s="546" t="inlineStr">
        <is>
          <t>Cooling time data</t>
        </is>
      </c>
      <c r="F8" s="439" t="n"/>
      <c r="G8" s="439" t="n"/>
      <c r="H8" s="439" t="n"/>
      <c r="I8" s="439" t="n"/>
      <c r="J8" s="439" t="n"/>
      <c r="K8" s="437" t="n"/>
    </row>
    <row r="9" ht="20.15" customHeight="1" s="450">
      <c r="A9" s="265" t="inlineStr">
        <is>
          <t>No of Shift</t>
        </is>
      </c>
      <c r="B9" s="135" t="n">
        <v>1</v>
      </c>
      <c r="C9" s="109" t="n"/>
      <c r="E9" s="545" t="inlineStr">
        <is>
          <t>Material</t>
        </is>
      </c>
      <c r="F9" s="565" t="inlineStr">
        <is>
          <t>Thickness</t>
        </is>
      </c>
      <c r="G9" s="565" t="inlineStr">
        <is>
          <t>mm</t>
        </is>
      </c>
      <c r="H9" s="565" t="inlineStr">
        <is>
          <t>mm</t>
        </is>
      </c>
      <c r="I9" s="565" t="inlineStr">
        <is>
          <t>mm</t>
        </is>
      </c>
      <c r="J9" s="565" t="inlineStr">
        <is>
          <t>mm</t>
        </is>
      </c>
      <c r="K9" s="565" t="inlineStr">
        <is>
          <t>mm</t>
        </is>
      </c>
    </row>
    <row r="10" ht="20.15" customHeight="1" s="450">
      <c r="A10" s="265" t="inlineStr">
        <is>
          <t>No of machine</t>
        </is>
      </c>
      <c r="B10" s="135">
        <f>'INJ. MOULDING ESTIMATION'!C18</f>
        <v/>
      </c>
      <c r="C10" s="109" t="n"/>
      <c r="E10" s="498" t="n"/>
      <c r="F10" s="545" t="n">
        <v>1</v>
      </c>
      <c r="G10" s="545" t="n">
        <v>2</v>
      </c>
      <c r="H10" s="545" t="n">
        <v>3</v>
      </c>
      <c r="I10" s="545" t="n">
        <v>4</v>
      </c>
      <c r="J10" s="545" t="n">
        <v>5</v>
      </c>
      <c r="K10" s="545" t="n">
        <v>6</v>
      </c>
    </row>
    <row r="11" ht="20.15" customHeight="1" s="450">
      <c r="A11" s="265" t="inlineStr">
        <is>
          <t>Actual QTY Required (Considering efficiency)</t>
        </is>
      </c>
      <c r="B11" s="137">
        <f>B3/B4</f>
        <v/>
      </c>
      <c r="C11" s="109" t="n"/>
      <c r="E11" s="138" t="inlineStr">
        <is>
          <t>ABS</t>
        </is>
      </c>
      <c r="F11" s="139" t="n">
        <v>1.8</v>
      </c>
      <c r="G11" s="139" t="n">
        <v>7</v>
      </c>
      <c r="H11" s="139" t="n">
        <v>15.8</v>
      </c>
      <c r="I11" s="139" t="n">
        <v>28.4</v>
      </c>
      <c r="J11" s="139" t="n">
        <v>44.4</v>
      </c>
      <c r="K11" s="139" t="n">
        <v>63.4</v>
      </c>
    </row>
    <row r="12" ht="20.15" customHeight="1" s="450">
      <c r="A12" s="265" t="inlineStr">
        <is>
          <t>Production QTY Req. (Considering Material Rej)</t>
        </is>
      </c>
      <c r="B12" s="137">
        <f>B11+(B11*B5)</f>
        <v/>
      </c>
      <c r="C12" s="109" t="n"/>
      <c r="E12" s="138" t="inlineStr">
        <is>
          <t>PS</t>
        </is>
      </c>
      <c r="F12" s="139" t="n">
        <v>1.3</v>
      </c>
      <c r="G12" s="139" t="n">
        <v>5.4</v>
      </c>
      <c r="H12" s="139" t="n">
        <v>12.1</v>
      </c>
      <c r="I12" s="139" t="n">
        <v>21.4</v>
      </c>
      <c r="J12" s="139" t="n">
        <v>33.5</v>
      </c>
      <c r="K12" s="139" t="n">
        <v>48.4</v>
      </c>
    </row>
    <row r="13" ht="20.15" customHeight="1" s="450">
      <c r="A13" s="265" t="inlineStr">
        <is>
          <t>Required QTY(Rounding off to nearest integer)</t>
        </is>
      </c>
      <c r="B13" s="135">
        <f>ROUNDUP(B12,0)</f>
        <v/>
      </c>
      <c r="C13" s="109" t="n"/>
      <c r="E13" s="138" t="inlineStr">
        <is>
          <t>PE</t>
        </is>
      </c>
      <c r="F13" s="139" t="n">
        <v>3.2</v>
      </c>
      <c r="G13" s="139" t="n">
        <v>12.6</v>
      </c>
      <c r="H13" s="139" t="n">
        <v>28.4</v>
      </c>
      <c r="I13" s="139" t="n">
        <v>50.1</v>
      </c>
      <c r="J13" s="139" t="n">
        <v>79</v>
      </c>
      <c r="K13" s="139" t="n">
        <v>114</v>
      </c>
    </row>
    <row r="14" ht="20.15" customHeight="1" s="450">
      <c r="A14" s="265" t="inlineStr">
        <is>
          <t>Time Required to produce per day requirement</t>
        </is>
      </c>
      <c r="B14" s="136">
        <f>B7*B13</f>
        <v/>
      </c>
      <c r="C14" s="109" t="inlineStr">
        <is>
          <t>Hours</t>
        </is>
      </c>
      <c r="E14" s="138" t="inlineStr">
        <is>
          <t>PA-unfilled-dupont</t>
        </is>
      </c>
      <c r="F14" s="139" t="n">
        <v>1.6</v>
      </c>
      <c r="G14" s="139" t="n">
        <v>6.4</v>
      </c>
      <c r="H14" s="139" t="n">
        <v>14.4</v>
      </c>
      <c r="I14" s="139" t="n">
        <v>25.6</v>
      </c>
      <c r="J14" s="139" t="n">
        <v>40</v>
      </c>
      <c r="K14" s="139" t="n">
        <v>57.6</v>
      </c>
    </row>
    <row r="15" ht="20.15" customHeight="1" s="450">
      <c r="A15" s="265" t="inlineStr">
        <is>
          <t>Time Available for production</t>
        </is>
      </c>
      <c r="B15" s="119">
        <f>B10*B9*B8</f>
        <v/>
      </c>
      <c r="C15" s="109" t="inlineStr">
        <is>
          <t>Hours</t>
        </is>
      </c>
      <c r="E15" s="138" t="inlineStr">
        <is>
          <t>PC</t>
        </is>
      </c>
      <c r="F15" s="139" t="n">
        <v>2.1</v>
      </c>
      <c r="G15" s="139" t="n">
        <v>8.199999999999999</v>
      </c>
      <c r="H15" s="139" t="n">
        <v>18.5</v>
      </c>
      <c r="I15" s="139" t="n">
        <v>32.8</v>
      </c>
      <c r="J15" s="139" t="n">
        <v>51.5</v>
      </c>
      <c r="K15" s="139" t="n">
        <v>74.2</v>
      </c>
    </row>
    <row r="16" ht="20.15" customHeight="1" s="450">
      <c r="A16" s="265" t="inlineStr">
        <is>
          <t>No of Cavity (Calculated)</t>
        </is>
      </c>
      <c r="B16" s="136">
        <f>B14/B15</f>
        <v/>
      </c>
      <c r="C16" s="109" t="n"/>
      <c r="E16" s="138" t="inlineStr">
        <is>
          <t>POM</t>
        </is>
      </c>
      <c r="F16" s="139" t="n">
        <v>1.9</v>
      </c>
      <c r="G16" s="139" t="n">
        <v>7.7</v>
      </c>
      <c r="H16" s="139" t="n">
        <v>17.3</v>
      </c>
      <c r="I16" s="139" t="n">
        <v>30.7</v>
      </c>
      <c r="J16" s="139" t="n">
        <v>48</v>
      </c>
      <c r="K16" s="139" t="n">
        <v>69.2</v>
      </c>
    </row>
    <row r="17" ht="20.15" customHeight="1" s="450">
      <c r="A17" s="265" t="inlineStr">
        <is>
          <t>Round of cavity( based on No of part)</t>
        </is>
      </c>
      <c r="B17" s="140">
        <f>IF(B16&lt;1,1,IF(B16&lt;2,2,IF(B16&lt;4,4,IF(B16&lt;6,6,IF(B16&gt;6,8)))))</f>
        <v/>
      </c>
      <c r="C17" s="141" t="n"/>
      <c r="E17" s="138" t="inlineStr">
        <is>
          <t>PP</t>
        </is>
      </c>
      <c r="F17" s="139" t="n">
        <v>2.5</v>
      </c>
      <c r="G17" s="139" t="n">
        <v>9.9</v>
      </c>
      <c r="H17" s="139" t="n">
        <v>22.3</v>
      </c>
      <c r="I17" s="139" t="n">
        <v>39.5</v>
      </c>
      <c r="J17" s="139" t="n">
        <v>61.8</v>
      </c>
      <c r="K17" s="139" t="n">
        <v>88.90000000000001</v>
      </c>
    </row>
    <row r="18" ht="20.15" customHeight="1" s="450">
      <c r="A18" s="79" t="inlineStr">
        <is>
          <t>No of cavity( As per part length)</t>
        </is>
      </c>
      <c r="B18" s="142">
        <f>IF('Input-Output'!B2&lt;100,8,IF('Input-Output'!B2&lt;300,6,IF('Input-Output'!B2&lt;400,4,IF('Input-Output'!B2&lt;500,2,IF('Input-Output'!B2&gt;=500,1)))))</f>
        <v/>
      </c>
      <c r="C18" s="109" t="n"/>
      <c r="E18" s="138" t="inlineStr">
        <is>
          <t>Nylon-srf</t>
        </is>
      </c>
      <c r="F18" s="634" t="n">
        <v>1.925</v>
      </c>
      <c r="G18" s="634" t="n">
        <v>7.4</v>
      </c>
      <c r="H18" s="634" t="n">
        <v>16.475</v>
      </c>
      <c r="I18" s="634" t="n">
        <v>29.0625</v>
      </c>
      <c r="J18" s="634" t="n">
        <v>45.4</v>
      </c>
      <c r="K18" s="634" t="n">
        <v>65.21250000000001</v>
      </c>
    </row>
    <row r="19" ht="20.15" customHeight="1" s="450">
      <c r="A19" s="265" t="inlineStr">
        <is>
          <t>No of Cavity</t>
        </is>
      </c>
      <c r="B19" s="143">
        <f>MIN(B18,B17)</f>
        <v/>
      </c>
      <c r="C19" s="109" t="n"/>
      <c r="E19" s="138" t="inlineStr">
        <is>
          <t>Glass fiber-Plain</t>
        </is>
      </c>
      <c r="F19" s="634" t="n">
        <v>2.040625</v>
      </c>
      <c r="G19" s="634" t="n">
        <v>8.074999999999999</v>
      </c>
      <c r="H19" s="634" t="n">
        <v>18.159375</v>
      </c>
      <c r="I19" s="634" t="n">
        <v>32.1953125</v>
      </c>
      <c r="J19" s="634" t="n">
        <v>50.45</v>
      </c>
      <c r="K19" s="634" t="n">
        <v>72.6140625</v>
      </c>
    </row>
    <row r="21" ht="20.15" customHeight="1" s="450">
      <c r="A21" s="144" t="inlineStr">
        <is>
          <t>Length</t>
        </is>
      </c>
      <c r="B21" s="144" t="inlineStr">
        <is>
          <t>cavity 1</t>
        </is>
      </c>
      <c r="C21" s="144" t="inlineStr">
        <is>
          <t>cavity 2</t>
        </is>
      </c>
      <c r="D21" s="144" t="inlineStr">
        <is>
          <t>cavity 4</t>
        </is>
      </c>
      <c r="E21" s="144" t="inlineStr">
        <is>
          <t>cavity 6</t>
        </is>
      </c>
      <c r="F21" s="144" t="inlineStr">
        <is>
          <t>cavity 8</t>
        </is>
      </c>
    </row>
    <row r="22" ht="20.15" customHeight="1" s="450">
      <c r="A22" s="144" t="inlineStr">
        <is>
          <t>Part</t>
        </is>
      </c>
      <c r="B22" s="144" t="inlineStr">
        <is>
          <t>Mould</t>
        </is>
      </c>
      <c r="C22" s="144" t="n"/>
      <c r="D22" s="144" t="n"/>
      <c r="E22" s="144" t="n"/>
      <c r="F22" s="144" t="n"/>
    </row>
    <row r="23" ht="20.15" customHeight="1" s="450">
      <c r="A23" s="145" t="n">
        <v>700</v>
      </c>
      <c r="B23" s="146" t="n">
        <v>976</v>
      </c>
      <c r="C23" s="146" t="n"/>
      <c r="D23" s="146" t="n"/>
      <c r="E23" s="146" t="n"/>
      <c r="F23" s="146" t="n"/>
    </row>
    <row r="24" ht="20.15" customHeight="1" s="450">
      <c r="A24" s="146" t="n">
        <v>600</v>
      </c>
      <c r="B24" s="146" t="n">
        <v>849</v>
      </c>
      <c r="C24" s="146" t="n"/>
      <c r="D24" s="146" t="n"/>
      <c r="E24" s="146" t="n"/>
      <c r="F24" s="146" t="n"/>
    </row>
    <row r="25" ht="20.15" customHeight="1" s="450">
      <c r="A25" s="146" t="n">
        <v>500</v>
      </c>
      <c r="B25" s="146" t="n">
        <v>722</v>
      </c>
      <c r="C25" s="146" t="n"/>
      <c r="D25" s="146" t="n"/>
      <c r="E25" s="146" t="n"/>
      <c r="F25" s="146" t="n"/>
    </row>
    <row r="26" ht="20.15" customHeight="1" s="450">
      <c r="A26" s="146" t="n">
        <v>400</v>
      </c>
      <c r="B26" s="146" t="n">
        <v>594</v>
      </c>
      <c r="C26" s="146" t="n">
        <v>1153</v>
      </c>
      <c r="D26" s="146" t="n"/>
      <c r="E26" s="146" t="n"/>
      <c r="F26" s="146" t="n"/>
    </row>
    <row r="27" ht="20.15" customHeight="1" s="450">
      <c r="A27" s="146" t="n">
        <v>300</v>
      </c>
      <c r="B27" s="146" t="n">
        <v>476</v>
      </c>
      <c r="C27" s="146" t="n">
        <v>899</v>
      </c>
      <c r="D27" s="146" t="n">
        <v>1029</v>
      </c>
      <c r="E27" s="146" t="n">
        <v>1159</v>
      </c>
      <c r="F27" s="146" t="n"/>
    </row>
    <row r="28" ht="20.15" customHeight="1" s="450">
      <c r="A28" s="146" t="n">
        <v>200</v>
      </c>
      <c r="B28" s="146" t="n">
        <v>357</v>
      </c>
      <c r="C28" s="146" t="n">
        <v>644</v>
      </c>
      <c r="D28" s="146" t="n">
        <v>753</v>
      </c>
      <c r="E28" s="146" t="n">
        <v>845</v>
      </c>
      <c r="F28" s="146" t="n"/>
    </row>
    <row r="29" ht="20.15" customHeight="1" s="450">
      <c r="A29" s="146" t="n">
        <v>100</v>
      </c>
      <c r="B29" s="146" t="n">
        <v>246</v>
      </c>
      <c r="C29" s="146" t="n">
        <v>422</v>
      </c>
      <c r="D29" s="146" t="n">
        <v>475</v>
      </c>
      <c r="E29" s="146" t="n">
        <v>528</v>
      </c>
      <c r="F29" s="146" t="n">
        <v>881</v>
      </c>
    </row>
  </sheetData>
  <mergeCells count="9">
    <mergeCell ref="G2:I2"/>
    <mergeCell ref="E9:E10"/>
    <mergeCell ref="E8:K8"/>
    <mergeCell ref="G6:I6"/>
    <mergeCell ref="G5:I5"/>
    <mergeCell ref="A1:C1"/>
    <mergeCell ref="G4:I4"/>
    <mergeCell ref="G3:I3"/>
    <mergeCell ref="G1:I1"/>
  </mergeCells>
  <conditionalFormatting sqref="B10">
    <cfRule type="expression" priority="2" dxfId="112">
      <formula>$B$16&gt;$B$18</formula>
    </cfRule>
  </conditionalFormatting>
  <pageMargins left="0.7" right="0.7" top="0.75" bottom="0.75" header="0.3" footer="0.3"/>
  <drawing r:id="rId1"/>
</worksheet>
</file>

<file path=xl/worksheets/sheet11.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E5" sqref="E5"/>
    </sheetView>
  </sheetViews>
  <sheetFormatPr baseColWidth="8" defaultColWidth="9" defaultRowHeight="14.5"/>
  <cols>
    <col width="17.7265625" customWidth="1" style="450" min="1" max="1"/>
    <col width="17.453125" customWidth="1" style="450" min="2" max="2"/>
  </cols>
  <sheetData>
    <row r="1">
      <c r="A1" t="inlineStr">
        <is>
          <t>Complexity index</t>
        </is>
      </c>
      <c r="B1" t="inlineStr">
        <is>
          <t>Complexity factor</t>
        </is>
      </c>
    </row>
    <row r="2">
      <c r="A2" s="22" t="n">
        <v>0.5</v>
      </c>
      <c r="B2" s="22" t="n">
        <v>0.7</v>
      </c>
    </row>
    <row r="3">
      <c r="A3" t="n">
        <v>1</v>
      </c>
      <c r="B3" s="22" t="n">
        <v>1</v>
      </c>
    </row>
    <row r="4">
      <c r="A4" t="n">
        <v>2</v>
      </c>
      <c r="B4" s="22" t="n">
        <v>1.43964313567828</v>
      </c>
    </row>
    <row r="5">
      <c r="A5" t="n">
        <v>3</v>
      </c>
      <c r="B5" s="22" t="n">
        <v>1.84507505967945</v>
      </c>
    </row>
    <row r="6">
      <c r="A6" t="n">
        <v>4</v>
      </c>
      <c r="B6" s="22" t="n">
        <v>2.30699477542575</v>
      </c>
    </row>
    <row r="7">
      <c r="A7" t="n">
        <v>5</v>
      </c>
      <c r="B7" s="22" t="n">
        <v>2.71608734139087</v>
      </c>
    </row>
    <row r="8" ht="15" customHeight="1" s="450" thickBot="1"/>
    <row r="9" ht="26" customHeight="1" s="450">
      <c r="A9" s="555" t="inlineStr">
        <is>
          <t>Mould Complexity Rating Scale for Injection Moulding:</t>
        </is>
      </c>
      <c r="B9" s="556" t="n"/>
      <c r="C9" s="556" t="n"/>
      <c r="D9" s="556" t="n"/>
      <c r="E9" s="556" t="n"/>
      <c r="F9" s="556" t="n"/>
      <c r="G9" s="556" t="n"/>
      <c r="H9" s="556" t="n"/>
      <c r="I9" s="556" t="n"/>
      <c r="J9" s="557" t="n"/>
    </row>
    <row r="10">
      <c r="A10" s="551" t="inlineStr">
        <is>
          <t xml:space="preserve">0.5: Very Simple Part (Easy to Design) </t>
        </is>
      </c>
      <c r="B10" s="439" t="n"/>
      <c r="C10" s="439" t="n"/>
      <c r="D10" s="439" t="n"/>
      <c r="E10" s="439" t="n"/>
      <c r="F10" s="439" t="n"/>
      <c r="G10" s="439" t="n"/>
      <c r="H10" s="439" t="n"/>
      <c r="I10" s="439" t="n"/>
      <c r="J10" s="552" t="n"/>
    </row>
    <row r="11" ht="39" customHeight="1" s="450">
      <c r="A11" s="553" t="inlineStr">
        <is>
          <t>·This rating indicates that the part design is straightforward and uncomplicated. It doesn't require any complex features or additional components. Designing the mould for this part should be relatively simple.</t>
        </is>
      </c>
      <c r="B11" s="453" t="n"/>
      <c r="C11" s="453" t="n"/>
      <c r="D11" s="453" t="n"/>
      <c r="E11" s="453" t="n"/>
      <c r="F11" s="453" t="n"/>
      <c r="G11" s="453" t="n"/>
      <c r="H11" s="453" t="n"/>
      <c r="I11" s="453" t="n"/>
      <c r="J11" s="554" t="n"/>
    </row>
    <row r="12" ht="11" customHeight="1" s="450">
      <c r="A12" s="216" t="n"/>
      <c r="B12" s="215" t="n"/>
      <c r="C12" s="215" t="n"/>
      <c r="D12" s="215" t="n"/>
      <c r="E12" s="215" t="n"/>
      <c r="F12" s="215" t="n"/>
      <c r="G12" s="215" t="n"/>
      <c r="H12" s="215" t="n"/>
      <c r="I12" s="215" t="n"/>
      <c r="J12" s="217" t="n"/>
    </row>
    <row r="13">
      <c r="A13" s="551" t="inlineStr">
        <is>
          <t xml:space="preserve">1: Normal Part (Generally Symmetric) </t>
        </is>
      </c>
      <c r="B13" s="439" t="n"/>
      <c r="C13" s="439" t="n"/>
      <c r="D13" s="439" t="n"/>
      <c r="E13" s="439" t="n"/>
      <c r="F13" s="439" t="n"/>
      <c r="G13" s="439" t="n"/>
      <c r="H13" s="439" t="n"/>
      <c r="I13" s="439" t="n"/>
      <c r="J13" s="552" t="n"/>
    </row>
    <row r="14" ht="48" customHeight="1" s="450">
      <c r="A14" s="553" t="inlineStr">
        <is>
          <t>·A rating of 1 suggests that the part is relatively common and exhibits symmetrical characteristics. The mould design should follow standard practices and considerations for ensuring balanced filling and ejection.</t>
        </is>
      </c>
      <c r="B14" s="453" t="n"/>
      <c r="C14" s="453" t="n"/>
      <c r="D14" s="453" t="n"/>
      <c r="E14" s="453" t="n"/>
      <c r="F14" s="453" t="n"/>
      <c r="G14" s="453" t="n"/>
      <c r="H14" s="453" t="n"/>
      <c r="I14" s="453" t="n"/>
      <c r="J14" s="554" t="n"/>
    </row>
    <row r="15" ht="11.5" customHeight="1" s="450">
      <c r="A15" s="216" t="n"/>
      <c r="B15" s="215" t="n"/>
      <c r="C15" s="215" t="n"/>
      <c r="D15" s="215" t="n"/>
      <c r="E15" s="215" t="n"/>
      <c r="F15" s="215" t="n"/>
      <c r="G15" s="215" t="n"/>
      <c r="H15" s="215" t="n"/>
      <c r="I15" s="215" t="n"/>
      <c r="J15" s="217" t="n"/>
    </row>
    <row r="16" ht="14" customHeight="1" s="450">
      <c r="A16" s="551" t="inlineStr">
        <is>
          <t xml:space="preserve">2: Normal Part (Use of Side Cores, Lifters, Inserts Pins for Adding Features) </t>
        </is>
      </c>
      <c r="B16" s="439" t="n"/>
      <c r="C16" s="439" t="n"/>
      <c r="D16" s="439" t="n"/>
      <c r="E16" s="439" t="n"/>
      <c r="F16" s="439" t="n"/>
      <c r="G16" s="439" t="n"/>
      <c r="H16" s="439" t="n"/>
      <c r="I16" s="439" t="n"/>
      <c r="J16" s="552" t="n"/>
    </row>
    <row r="17" ht="49.5" customHeight="1" s="450">
      <c r="A17" s="553"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53" t="n"/>
      <c r="C17" s="453" t="n"/>
      <c r="D17" s="453" t="n"/>
      <c r="E17" s="453" t="n"/>
      <c r="F17" s="453" t="n"/>
      <c r="G17" s="453" t="n"/>
      <c r="H17" s="453" t="n"/>
      <c r="I17" s="453" t="n"/>
      <c r="J17" s="554" t="n"/>
    </row>
    <row r="18" ht="14.5" customHeight="1" s="450">
      <c r="A18" s="216" t="n"/>
      <c r="B18" s="215" t="n"/>
      <c r="C18" s="215" t="n"/>
      <c r="D18" s="215" t="n"/>
      <c r="E18" s="215" t="n"/>
      <c r="F18" s="215" t="n"/>
      <c r="G18" s="215" t="n"/>
      <c r="H18" s="215" t="n"/>
      <c r="I18" s="215" t="n"/>
      <c r="J18" s="217" t="n"/>
    </row>
    <row r="19">
      <c r="A19" s="551" t="inlineStr">
        <is>
          <t>3: Moderately Complex Part</t>
        </is>
      </c>
      <c r="B19" s="439" t="n"/>
      <c r="C19" s="439" t="n"/>
      <c r="D19" s="439" t="n"/>
      <c r="E19" s="439" t="n"/>
      <c r="F19" s="439" t="n"/>
      <c r="G19" s="439" t="n"/>
      <c r="H19" s="439" t="n"/>
      <c r="I19" s="439" t="n"/>
      <c r="J19" s="552" t="n"/>
    </row>
    <row r="20" ht="52" customHeight="1" s="450">
      <c r="A20" s="553"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53" t="n"/>
      <c r="C20" s="453" t="n"/>
      <c r="D20" s="453" t="n"/>
      <c r="E20" s="453" t="n"/>
      <c r="F20" s="453" t="n"/>
      <c r="G20" s="453" t="n"/>
      <c r="H20" s="453" t="n"/>
      <c r="I20" s="453" t="n"/>
      <c r="J20" s="554" t="n"/>
    </row>
    <row r="21" ht="11" customHeight="1" s="450">
      <c r="A21" s="218" t="n"/>
      <c r="B21" s="219" t="n"/>
      <c r="C21" s="219" t="n"/>
      <c r="D21" s="219" t="n"/>
      <c r="E21" s="219" t="n"/>
      <c r="F21" s="219" t="n"/>
      <c r="G21" s="219" t="n"/>
      <c r="H21" s="219" t="n"/>
      <c r="I21" s="219" t="n"/>
      <c r="J21" s="220" t="n"/>
    </row>
    <row r="22">
      <c r="A22" s="551" t="inlineStr">
        <is>
          <t xml:space="preserve">4: Complex Part, High Features, More Holes, Instruction Need to be Followed </t>
        </is>
      </c>
      <c r="B22" s="439" t="n"/>
      <c r="C22" s="439" t="n"/>
      <c r="D22" s="439" t="n"/>
      <c r="E22" s="439" t="n"/>
      <c r="F22" s="439" t="n"/>
      <c r="G22" s="439" t="n"/>
      <c r="H22" s="439" t="n"/>
      <c r="I22" s="439" t="n"/>
      <c r="J22" s="552" t="n"/>
    </row>
    <row r="23" ht="46" customHeight="1" s="450">
      <c r="A23" s="553"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53" t="n"/>
      <c r="C23" s="453" t="n"/>
      <c r="D23" s="453" t="n"/>
      <c r="E23" s="453" t="n"/>
      <c r="F23" s="453" t="n"/>
      <c r="G23" s="453" t="n"/>
      <c r="H23" s="453" t="n"/>
      <c r="I23" s="453" t="n"/>
      <c r="J23" s="554" t="n"/>
    </row>
    <row r="24">
      <c r="A24" s="216" t="n"/>
      <c r="B24" s="215" t="n"/>
      <c r="C24" s="215" t="n"/>
      <c r="D24" s="215" t="n"/>
      <c r="E24" s="215" t="n"/>
      <c r="F24" s="215" t="n"/>
      <c r="G24" s="215" t="n"/>
      <c r="H24" s="215" t="n"/>
      <c r="I24" s="215" t="n"/>
      <c r="J24" s="217" t="n"/>
    </row>
    <row r="25">
      <c r="A25" s="551" t="inlineStr">
        <is>
          <t>5: Very Complex Part, Lots of Features, Large Part Size, High Electrode Requirement, Detailed Design Instructions</t>
        </is>
      </c>
      <c r="B25" s="439" t="n"/>
      <c r="C25" s="439" t="n"/>
      <c r="D25" s="439" t="n"/>
      <c r="E25" s="439" t="n"/>
      <c r="F25" s="439" t="n"/>
      <c r="G25" s="439" t="n"/>
      <c r="H25" s="439" t="n"/>
      <c r="I25" s="439" t="n"/>
      <c r="J25" s="552" t="n"/>
    </row>
    <row r="26" ht="49.5" customHeight="1" s="450">
      <c r="A26" s="553"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53" t="n"/>
      <c r="C26" s="453" t="n"/>
      <c r="D26" s="453" t="n"/>
      <c r="E26" s="453" t="n"/>
      <c r="F26" s="453" t="n"/>
      <c r="G26" s="453" t="n"/>
      <c r="H26" s="453" t="n"/>
      <c r="I26" s="453" t="n"/>
      <c r="J26" s="554" t="n"/>
    </row>
    <row r="27" ht="47" customHeight="1" s="450" thickBot="1">
      <c r="A27" s="548"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49" t="n"/>
      <c r="C27" s="549" t="n"/>
      <c r="D27" s="549" t="n"/>
      <c r="E27" s="549" t="n"/>
      <c r="F27" s="549" t="n"/>
      <c r="G27" s="549" t="n"/>
      <c r="H27" s="549" t="n"/>
      <c r="I27" s="549" t="n"/>
      <c r="J27" s="550"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2.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50" min="2" max="2"/>
    <col width="40.81640625" customWidth="1" style="450" min="3" max="3"/>
  </cols>
  <sheetData>
    <row r="2">
      <c r="B2" s="558" t="inlineStr">
        <is>
          <t>Guide Pillar Working Diameter Calculation</t>
        </is>
      </c>
      <c r="C2" s="459" t="n"/>
      <c r="D2" s="457" t="n"/>
      <c r="E2" s="125" t="n"/>
    </row>
    <row r="3">
      <c r="B3" s="452" t="n"/>
      <c r="C3" s="453" t="n"/>
      <c r="D3" s="454" t="n"/>
      <c r="E3" s="125" t="n"/>
    </row>
    <row r="4">
      <c r="B4" s="70" t="inlineStr">
        <is>
          <t>Overall Dimension of Guide Pillar=</t>
        </is>
      </c>
      <c r="C4" s="70" t="inlineStr">
        <is>
          <t>Working Diameter of Guide Pillar(d)+1+1</t>
        </is>
      </c>
      <c r="D4" s="70" t="n"/>
      <c r="E4" s="62" t="n"/>
    </row>
    <row r="5">
      <c r="B5" s="70" t="n"/>
      <c r="C5" s="635">
        <f>C16+1+1</f>
        <v/>
      </c>
      <c r="D5" s="70" t="inlineStr">
        <is>
          <t>in cm</t>
        </is>
      </c>
      <c r="E5" s="62" t="n"/>
    </row>
    <row r="6">
      <c r="B6" s="70" t="n"/>
      <c r="C6" s="70" t="n"/>
      <c r="D6" s="70" t="n"/>
      <c r="E6" s="62" t="n"/>
    </row>
    <row r="7">
      <c r="B7" s="559" t="inlineStr">
        <is>
          <t>Side Thrust(Q) acting on the guide pillar</t>
        </is>
      </c>
      <c r="C7" s="437" t="n"/>
      <c r="D7" s="70" t="n"/>
      <c r="E7" s="62" t="n"/>
    </row>
    <row r="8" ht="26" customHeight="1" s="450">
      <c r="B8" s="70" t="n"/>
      <c r="C8" s="126" t="inlineStr">
        <is>
          <t>Q = 2/3 x D x h x Pc</t>
        </is>
      </c>
      <c r="D8" s="265" t="n"/>
      <c r="F8" s="127" t="inlineStr">
        <is>
          <t>ø</t>
        </is>
      </c>
    </row>
    <row r="9">
      <c r="B9" s="70" t="inlineStr">
        <is>
          <t>Where,</t>
        </is>
      </c>
      <c r="C9" s="128">
        <f>(2/3*'Input-Output'!B2/10*'Input-Output'!B3/10*'Input-Output'!B10*'Input-Output'!B13*0.33)*'Input-Output'!B10</f>
        <v/>
      </c>
      <c r="D9" s="70" t="inlineStr">
        <is>
          <t>in Kg</t>
        </is>
      </c>
      <c r="E9" s="62" t="n"/>
    </row>
    <row r="10" ht="26" customHeight="1" s="450">
      <c r="B10" s="70" t="inlineStr">
        <is>
          <t>D is the diameter of the part</t>
        </is>
      </c>
      <c r="C10" s="70" t="n"/>
      <c r="D10" s="70" t="n"/>
      <c r="E10" s="62" t="n"/>
      <c r="F10" s="31">
        <f>C5*10</f>
        <v/>
      </c>
      <c r="H10" s="129" t="inlineStr">
        <is>
          <t>ø</t>
        </is>
      </c>
      <c r="I10" s="31">
        <f>C17*10</f>
        <v/>
      </c>
      <c r="L10" s="129" t="inlineStr">
        <is>
          <t>ø</t>
        </is>
      </c>
      <c r="M10" s="31">
        <f>C16*10</f>
        <v/>
      </c>
    </row>
    <row r="11">
      <c r="B11" s="70" t="inlineStr">
        <is>
          <t>h is the height of th part</t>
        </is>
      </c>
      <c r="C11" s="70" t="n"/>
      <c r="D11" s="70" t="n"/>
      <c r="E11" s="62" t="n"/>
    </row>
    <row r="12">
      <c r="B12" s="70" t="inlineStr">
        <is>
          <t>Pc is the cavity pressure</t>
        </is>
      </c>
      <c r="C12" s="70" t="n"/>
      <c r="D12" s="70" t="n"/>
      <c r="E12" s="62" t="n"/>
    </row>
    <row r="13">
      <c r="B13" s="70" t="n"/>
      <c r="C13" s="70" t="n"/>
      <c r="D13" s="70" t="n"/>
      <c r="E13" s="62" t="n"/>
    </row>
    <row r="14">
      <c r="B14" s="70" t="inlineStr">
        <is>
          <t>Working diameter(d) of guide pillar is given by</t>
        </is>
      </c>
      <c r="C14" s="70" t="n"/>
      <c r="D14" s="70" t="n"/>
      <c r="E14" s="62" t="n"/>
    </row>
    <row r="15">
      <c r="B15" s="70" t="n"/>
      <c r="C15" s="126" t="inlineStr">
        <is>
          <t>d ≥ Ö (4 x Q)/ (N x fs x p)</t>
        </is>
      </c>
      <c r="D15" s="70" t="n"/>
      <c r="E15" s="62" t="n"/>
    </row>
    <row r="16">
      <c r="B16" s="70" t="n"/>
      <c r="C16" s="635">
        <f>SQRT((4*C9)/(C19*C20*3.14))</f>
        <v/>
      </c>
      <c r="D16" s="70" t="inlineStr">
        <is>
          <t>in cm</t>
        </is>
      </c>
      <c r="E16" s="62" t="n"/>
    </row>
    <row r="17">
      <c r="B17" s="70" t="n"/>
      <c r="C17" s="635">
        <f>C16+1</f>
        <v/>
      </c>
      <c r="D17" s="70" t="n"/>
      <c r="E17" s="62" t="n"/>
    </row>
    <row r="18">
      <c r="B18" s="70" t="inlineStr">
        <is>
          <t>Where</t>
        </is>
      </c>
      <c r="C18" s="70" t="n"/>
      <c r="D18" s="70" t="n"/>
      <c r="E18" s="62" t="n"/>
    </row>
    <row r="19">
      <c r="B19" s="70" t="inlineStr">
        <is>
          <t>N is the no. of guide pillars</t>
        </is>
      </c>
      <c r="C19" s="130" t="n">
        <v>4</v>
      </c>
      <c r="D19" s="70" t="n"/>
      <c r="E19" s="62" t="n"/>
      <c r="H19" s="81">
        <f>'Mould Costing'!F15</f>
        <v/>
      </c>
      <c r="L19" s="81">
        <f>'Mould Costing'!F14</f>
        <v/>
      </c>
    </row>
    <row r="20" ht="16.5" customHeight="1" s="450">
      <c r="B20" s="70" t="inlineStr">
        <is>
          <t>fs is the shear force for steel</t>
        </is>
      </c>
      <c r="C20" s="130" t="n">
        <v>1600</v>
      </c>
      <c r="D20" s="70" t="inlineStr">
        <is>
          <t>Kg/cm2</t>
        </is>
      </c>
      <c r="E20" s="62" t="n"/>
    </row>
  </sheetData>
  <mergeCells count="2">
    <mergeCell ref="B2:D3"/>
    <mergeCell ref="B7:C7"/>
  </mergeCells>
  <pageMargins left="0.7" right="0.7" top="0.75" bottom="0.75" header="0.3" footer="0.3"/>
  <pageSetup orientation="portrait"/>
</worksheet>
</file>

<file path=xl/worksheets/sheet13.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B32" sqref="B32"/>
    </sheetView>
  </sheetViews>
  <sheetFormatPr baseColWidth="8" defaultColWidth="9" defaultRowHeight="14.5"/>
  <cols>
    <col width="14.1796875" customWidth="1" style="450" min="1" max="1"/>
    <col width="9.26953125" customWidth="1" style="450" min="10" max="10"/>
    <col width="8.54296875" customWidth="1" style="450" min="11" max="11"/>
    <col width="20.1796875" customWidth="1" style="450" min="14" max="14"/>
    <col width="8.81640625" customWidth="1" style="563" min="15" max="15"/>
    <col width="10.1796875" customWidth="1" style="450" min="17" max="17"/>
  </cols>
  <sheetData>
    <row r="2">
      <c r="K2" t="n">
        <v>25</v>
      </c>
    </row>
    <row r="4">
      <c r="L4" s="563" t="n">
        <v>25</v>
      </c>
      <c r="N4" s="562" t="inlineStr">
        <is>
          <t>Mould Dimensions</t>
        </is>
      </c>
    </row>
    <row r="5">
      <c r="K5" s="59">
        <f>'Guide Pillar'!F10</f>
        <v/>
      </c>
    </row>
    <row r="7">
      <c r="J7" s="62" t="n">
        <v>50</v>
      </c>
      <c r="N7" s="119" t="n"/>
      <c r="O7" s="561" t="n"/>
      <c r="P7" s="119" t="inlineStr">
        <is>
          <t>Length</t>
        </is>
      </c>
      <c r="Q7" s="119" t="inlineStr">
        <is>
          <t>Width</t>
        </is>
      </c>
    </row>
    <row r="8">
      <c r="N8" s="119" t="inlineStr">
        <is>
          <t>Mould Layout</t>
        </is>
      </c>
      <c r="O8" s="561" t="inlineStr">
        <is>
          <t>in mm</t>
        </is>
      </c>
      <c r="P8" s="225">
        <f>VLOOKUP(O11,N13:P18,2,FALSE)</f>
        <v/>
      </c>
      <c r="Q8" s="225">
        <f>VLOOKUP(O11,N13:P18,3,FALSE)</f>
        <v/>
      </c>
    </row>
    <row r="9">
      <c r="N9" s="119" t="inlineStr">
        <is>
          <t>Mould Layout</t>
        </is>
      </c>
      <c r="O9" s="561" t="inlineStr">
        <is>
          <t>in cm</t>
        </is>
      </c>
      <c r="P9" s="636">
        <f>P8/10</f>
        <v/>
      </c>
      <c r="Q9" s="636">
        <f>Q8/10</f>
        <v/>
      </c>
    </row>
    <row r="11">
      <c r="N11" s="561" t="inlineStr">
        <is>
          <t>Cavity</t>
        </is>
      </c>
      <c r="O11" s="561">
        <f>'Input-Output'!B10</f>
        <v/>
      </c>
    </row>
    <row r="12">
      <c r="K12" s="563">
        <f>'Input-Output'!B3</f>
        <v/>
      </c>
    </row>
    <row r="13">
      <c r="N13" s="119" t="n"/>
      <c r="O13" s="561" t="inlineStr">
        <is>
          <t>Length</t>
        </is>
      </c>
      <c r="P13" s="119" t="inlineStr">
        <is>
          <t>Width</t>
        </is>
      </c>
    </row>
    <row r="14">
      <c r="N14" s="561">
        <f t="array" ref="N14:N18">TRANSPOSE(B26:F26)</f>
        <v/>
      </c>
      <c r="O14" s="120">
        <f t="array" ref="O14:O18">TRANSPOSE(B28:F28)</f>
        <v/>
      </c>
      <c r="P14" s="121">
        <f t="array" ref="P14:P18">TRANSPOSE(B30:F30)</f>
        <v/>
      </c>
      <c r="Q14" s="124" t="n"/>
    </row>
    <row r="15">
      <c r="N15" s="561" t="n">
        <v>2</v>
      </c>
      <c r="O15" s="120" t="n">
        <v>477.4335930061532</v>
      </c>
      <c r="P15" s="121" t="n">
        <v>427.4335930061532</v>
      </c>
      <c r="Q15" s="124" t="n"/>
    </row>
    <row r="16">
      <c r="N16" s="561" t="n">
        <v>4</v>
      </c>
      <c r="O16" s="120" t="n">
        <v>477.4335930061532</v>
      </c>
      <c r="P16" s="121" t="n">
        <v>677.4335930061532</v>
      </c>
    </row>
    <row r="17">
      <c r="I17" s="563">
        <f>'Input-Output'!B2</f>
        <v/>
      </c>
      <c r="N17" s="561" t="n">
        <v>6</v>
      </c>
      <c r="O17" s="120" t="n">
        <v>477.4335930061532</v>
      </c>
      <c r="P17" s="121" t="n">
        <v>927.4335930061532</v>
      </c>
    </row>
    <row r="18">
      <c r="N18" s="561" t="n">
        <v>8</v>
      </c>
      <c r="O18" s="120" t="n">
        <v>777.4335930061532</v>
      </c>
      <c r="P18" s="121" t="n">
        <v>677.4335930061532</v>
      </c>
    </row>
    <row r="25">
      <c r="A25" s="560" t="inlineStr">
        <is>
          <t>Mould Dimensions</t>
        </is>
      </c>
      <c r="B25" s="561" t="inlineStr">
        <is>
          <t>cavity</t>
        </is>
      </c>
      <c r="C25" s="439" t="n"/>
      <c r="D25" s="439" t="n"/>
      <c r="E25" s="439" t="n"/>
      <c r="F25" s="437" t="n"/>
    </row>
    <row r="26">
      <c r="A26" s="498" t="n"/>
      <c r="B26" s="561" t="n">
        <v>1</v>
      </c>
      <c r="C26" s="561" t="n">
        <v>2</v>
      </c>
      <c r="D26" s="561" t="n">
        <v>4</v>
      </c>
      <c r="E26" s="561" t="n">
        <v>6</v>
      </c>
      <c r="F26" s="561" t="n">
        <v>8</v>
      </c>
      <c r="H26" s="523" t="inlineStr">
        <is>
          <t>l=length of part</t>
        </is>
      </c>
      <c r="I26" s="439" t="n"/>
      <c r="J26" s="437" t="n"/>
      <c r="K26" s="122">
        <f>'Input-Output'!B2</f>
        <v/>
      </c>
      <c r="L26" s="457" t="inlineStr">
        <is>
          <t>mm</t>
        </is>
      </c>
    </row>
    <row r="27">
      <c r="A27" s="115" t="inlineStr">
        <is>
          <t>L(formula)</t>
        </is>
      </c>
      <c r="B27" s="565" t="inlineStr">
        <is>
          <t>l+2G</t>
        </is>
      </c>
      <c r="C27" s="565" t="inlineStr">
        <is>
          <t>2l+T+2G</t>
        </is>
      </c>
      <c r="D27" s="565" t="inlineStr">
        <is>
          <t>2l+T+2G</t>
        </is>
      </c>
      <c r="E27" s="565" t="inlineStr">
        <is>
          <t>2l+T+2G</t>
        </is>
      </c>
      <c r="F27" s="565" t="inlineStr">
        <is>
          <t>3T+4l+2G</t>
        </is>
      </c>
      <c r="H27" s="523" t="inlineStr">
        <is>
          <t>w=width of part</t>
        </is>
      </c>
      <c r="I27" s="439" t="n"/>
      <c r="J27" s="437" t="n"/>
      <c r="K27" s="122">
        <f>'Input-Output'!B3</f>
        <v/>
      </c>
      <c r="L27" s="457" t="inlineStr">
        <is>
          <t>mm</t>
        </is>
      </c>
    </row>
    <row r="28" ht="29" customHeight="1" s="450">
      <c r="A28" s="116" t="inlineStr">
        <is>
          <t>Value in mm</t>
        </is>
      </c>
      <c r="B28" s="117">
        <f>K26+2*K29</f>
        <v/>
      </c>
      <c r="C28" s="117">
        <f>2*K26+K28+2*K29</f>
        <v/>
      </c>
      <c r="D28" s="117">
        <f>2*K26+K28+2*K29</f>
        <v/>
      </c>
      <c r="E28" s="117">
        <f>2*K26+K28+2*K29</f>
        <v/>
      </c>
      <c r="F28" s="117">
        <f>4*K26+3*K28+2*K29</f>
        <v/>
      </c>
      <c r="H28" s="523" t="inlineStr">
        <is>
          <t>T=tolerance b/w parts</t>
        </is>
      </c>
      <c r="I28" s="439" t="n"/>
      <c r="J28" s="437" t="n"/>
      <c r="K28" s="122">
        <f>'Input-Output'!F7</f>
        <v/>
      </c>
      <c r="L28" s="457" t="inlineStr">
        <is>
          <t>mm</t>
        </is>
      </c>
    </row>
    <row r="29">
      <c r="A29" s="115" t="inlineStr">
        <is>
          <t>W(formula)</t>
        </is>
      </c>
      <c r="B29" s="565" t="inlineStr">
        <is>
          <t>w+2G</t>
        </is>
      </c>
      <c r="C29" s="565" t="inlineStr">
        <is>
          <t>2G+w</t>
        </is>
      </c>
      <c r="D29" s="565" t="inlineStr">
        <is>
          <t>T+2w+2G</t>
        </is>
      </c>
      <c r="E29" s="565" t="inlineStr">
        <is>
          <t>3w+2T+2G</t>
        </is>
      </c>
      <c r="F29" s="565" t="inlineStr">
        <is>
          <t>2w+T+2G</t>
        </is>
      </c>
      <c r="H29" s="523" t="inlineStr">
        <is>
          <t>G=Guide pillar clearance</t>
        </is>
      </c>
      <c r="I29" s="439" t="n"/>
      <c r="J29" s="437" t="n"/>
      <c r="K29" s="123">
        <f>L4+K5+J7</f>
        <v/>
      </c>
      <c r="L29" s="437" t="inlineStr">
        <is>
          <t>mm</t>
        </is>
      </c>
    </row>
    <row r="30">
      <c r="A30" s="116" t="inlineStr">
        <is>
          <t>Value in mm</t>
        </is>
      </c>
      <c r="B30" s="117">
        <f>K27+2*K29</f>
        <v/>
      </c>
      <c r="C30" s="117">
        <f>K27+2*K29</f>
        <v/>
      </c>
      <c r="D30" s="117">
        <f>K28+2*K27+2*K29</f>
        <v/>
      </c>
      <c r="E30" s="117">
        <f>3*K27+2*K28+2*K29</f>
        <v/>
      </c>
      <c r="F30" s="117">
        <f>2*K27+K28+2*K29</f>
        <v/>
      </c>
    </row>
    <row r="31">
      <c r="A31" s="115" t="inlineStr">
        <is>
          <t>H</t>
        </is>
      </c>
      <c r="B31" s="561" t="n"/>
      <c r="C31" s="561" t="n"/>
      <c r="D31" s="561" t="n"/>
      <c r="E31" s="561" t="n"/>
      <c r="F31" s="561" t="n"/>
    </row>
    <row r="32">
      <c r="A32" s="116" t="inlineStr">
        <is>
          <t>Value in mm</t>
        </is>
      </c>
      <c r="B32" s="118">
        <f>'Mould Costing'!$F$9+'Mould Costing'!$F$10+'Mould Costing'!$F$11+'Mould Costing'!$F$14+'Mould Costing'!$F$15</f>
        <v/>
      </c>
      <c r="C32" s="118">
        <f>'Mould Costing'!$F$9+'Mould Costing'!$F$10+'Mould Costing'!$F$11+'Mould Costing'!$F$14+'Mould Costing'!$F$15</f>
        <v/>
      </c>
      <c r="D32" s="118">
        <f>'Mould Costing'!$F$9+'Mould Costing'!$F$10+'Mould Costing'!$F$11+'Mould Costing'!$F$14+'Mould Costing'!$F$15</f>
        <v/>
      </c>
      <c r="E32" s="118">
        <f>'Mould Costing'!$F$9+'Mould Costing'!$F$10+'Mould Costing'!$F$11+'Mould Costing'!$F$14+'Mould Costing'!$F$15</f>
        <v/>
      </c>
      <c r="F32" s="118">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4.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D7" sqref="D7"/>
    </sheetView>
  </sheetViews>
  <sheetFormatPr baseColWidth="8" defaultColWidth="9" defaultRowHeight="14.5"/>
  <cols>
    <col width="3.90625" customWidth="1" style="450" min="1" max="1"/>
    <col width="57.453125" customWidth="1" style="450" min="2" max="2"/>
    <col width="17" customWidth="1" style="450" min="3" max="3"/>
    <col width="23.90625" customWidth="1" style="450" min="6" max="6"/>
    <col width="20.1796875" customWidth="1" style="450" min="8" max="8"/>
    <col width="17.81640625" customWidth="1" style="450" min="10" max="10"/>
    <col width="3.1796875" customWidth="1" style="450" min="11" max="11"/>
    <col width="17.90625" customWidth="1" style="450" min="19" max="19"/>
    <col width="14.1796875" customWidth="1" style="450" min="20" max="20"/>
    <col width="18.26953125" customWidth="1" style="450" min="21" max="21"/>
    <col width="15.6328125" customWidth="1" style="450" min="22" max="22"/>
    <col width="12.1796875" customWidth="1" style="450" min="23" max="23"/>
  </cols>
  <sheetData>
    <row r="1">
      <c r="A1" s="91" t="n"/>
      <c r="B1" s="447" t="n"/>
      <c r="C1" s="447" t="n"/>
      <c r="D1" s="447" t="n"/>
      <c r="E1" s="447" t="n"/>
      <c r="F1" s="447" t="n"/>
      <c r="G1" s="447" t="n"/>
      <c r="H1" s="447" t="n"/>
      <c r="I1" s="447" t="n"/>
      <c r="J1" s="447" t="n"/>
      <c r="K1" s="482" t="n"/>
    </row>
    <row r="2">
      <c r="A2" s="92" t="n"/>
      <c r="B2" s="569" t="inlineStr">
        <is>
          <t>Core Plate thickness</t>
        </is>
      </c>
      <c r="C2" s="439" t="n"/>
      <c r="D2" s="437" t="n"/>
      <c r="F2" s="567" t="inlineStr">
        <is>
          <t>Database</t>
        </is>
      </c>
      <c r="G2" s="439" t="n"/>
      <c r="H2" s="439" t="n"/>
      <c r="I2" s="439" t="n"/>
      <c r="J2" s="437" t="n"/>
      <c r="K2" s="512" t="n"/>
    </row>
    <row r="3">
      <c r="A3" s="92" t="n"/>
      <c r="B3" s="568" t="inlineStr">
        <is>
          <t>Considering the core plate as a simply supported beam with uniformly distributed load</t>
        </is>
      </c>
      <c r="C3" s="439" t="n"/>
      <c r="D3" s="437" t="n"/>
      <c r="F3" s="93" t="inlineStr">
        <is>
          <t>Part Material</t>
        </is>
      </c>
      <c r="G3" s="93" t="inlineStr">
        <is>
          <t>COF,u</t>
        </is>
      </c>
      <c r="H3" s="93" t="inlineStr">
        <is>
          <t>Poisson's ratio</t>
        </is>
      </c>
      <c r="I3" s="93" t="inlineStr">
        <is>
          <t>COE</t>
        </is>
      </c>
      <c r="J3" s="93" t="inlineStr">
        <is>
          <t>Soft. Temp</t>
        </is>
      </c>
      <c r="K3" s="512" t="n"/>
    </row>
    <row r="4">
      <c r="A4" s="92" t="n"/>
      <c r="B4" s="265" t="n"/>
      <c r="C4" s="265" t="n"/>
      <c r="D4" s="265" t="n"/>
      <c r="F4" s="94" t="inlineStr">
        <is>
          <t>PS</t>
        </is>
      </c>
      <c r="G4" s="95" t="n">
        <v>0.33</v>
      </c>
      <c r="H4" s="95" t="n">
        <v>0.35</v>
      </c>
      <c r="I4" s="95" t="n">
        <v>8.000000000000001e-05</v>
      </c>
      <c r="J4" s="95" t="n">
        <v>100</v>
      </c>
      <c r="K4" s="512" t="n"/>
    </row>
    <row r="5">
      <c r="A5" s="92" t="n"/>
      <c r="B5" s="70" t="inlineStr">
        <is>
          <t>t is the thickness of the plate in cm</t>
        </is>
      </c>
      <c r="C5" s="523" t="inlineStr">
        <is>
          <t>in cm</t>
        </is>
      </c>
      <c r="D5" s="96">
        <f>POWER(((5*D6*D7^4)/(32*(2*10^6)*D9*D10)),1/3)</f>
        <v/>
      </c>
      <c r="F5" s="97" t="inlineStr">
        <is>
          <t>PE</t>
        </is>
      </c>
      <c r="G5" s="95" t="n">
        <v>0.2</v>
      </c>
      <c r="H5" s="95" t="n">
        <v>0.42</v>
      </c>
      <c r="I5" s="95" t="n">
        <v>0.0002</v>
      </c>
      <c r="J5" s="95" t="n">
        <v>110</v>
      </c>
      <c r="K5" s="512" t="n"/>
    </row>
    <row r="6" ht="16.5" customHeight="1" s="450">
      <c r="A6" s="92" t="n"/>
      <c r="B6" s="70" t="inlineStr">
        <is>
          <t>w is the load acting on the plate = injection pressure in kg/cm2</t>
        </is>
      </c>
      <c r="C6" s="523" t="inlineStr">
        <is>
          <t>Kg/cm2</t>
        </is>
      </c>
      <c r="D6" s="523">
        <f>'Input-Output'!B13*0.33</f>
        <v/>
      </c>
      <c r="F6" s="94" t="inlineStr">
        <is>
          <t>PP</t>
        </is>
      </c>
      <c r="G6" s="95" t="n">
        <v>0.47</v>
      </c>
      <c r="H6" s="95" t="n">
        <v>0.42</v>
      </c>
      <c r="I6" s="95" t="n">
        <v>0.0002</v>
      </c>
      <c r="J6" s="95" t="n">
        <v>150</v>
      </c>
      <c r="K6" s="512" t="n"/>
    </row>
    <row r="7">
      <c r="A7" s="92" t="n"/>
      <c r="B7" s="70" t="inlineStr">
        <is>
          <t>l is the length of the plate in cm</t>
        </is>
      </c>
      <c r="C7" s="523" t="inlineStr">
        <is>
          <t>in cm</t>
        </is>
      </c>
      <c r="D7" s="98">
        <f>'Mould Costing'!B3/10</f>
        <v/>
      </c>
      <c r="F7" s="97" t="inlineStr">
        <is>
          <t>ABS</t>
        </is>
      </c>
      <c r="G7" s="95" t="n">
        <v>0.35</v>
      </c>
      <c r="H7" s="95" t="n">
        <v>0.35</v>
      </c>
      <c r="I7" s="95" t="n">
        <v>8.000000000000001e-05</v>
      </c>
      <c r="J7" s="95" t="n">
        <v>105</v>
      </c>
      <c r="K7" s="512" t="n"/>
    </row>
    <row r="8" ht="16.5" customHeight="1" s="450">
      <c r="A8" s="92" t="n"/>
      <c r="B8" s="70" t="inlineStr">
        <is>
          <t>E is the moulus of elasticity  (for steel)</t>
        </is>
      </c>
      <c r="C8" s="523" t="inlineStr">
        <is>
          <t xml:space="preserve"> kg / cm2</t>
        </is>
      </c>
      <c r="D8" s="523" t="inlineStr">
        <is>
          <t>2 x 106</t>
        </is>
      </c>
      <c r="F8" s="94" t="inlineStr">
        <is>
          <t>PA-unfilled-dupont</t>
        </is>
      </c>
      <c r="G8" s="95" t="n">
        <v>0.4</v>
      </c>
      <c r="H8" s="95" t="n">
        <v>0.35</v>
      </c>
      <c r="I8" s="95" t="n">
        <v>8.000000000000001e-05</v>
      </c>
      <c r="J8" s="95" t="n">
        <v>200</v>
      </c>
      <c r="K8" s="512" t="n"/>
    </row>
    <row r="9">
      <c r="A9" s="92" t="n"/>
      <c r="B9" s="70" t="inlineStr">
        <is>
          <t>d is the width of the plate in cm</t>
        </is>
      </c>
      <c r="C9" s="523" t="inlineStr">
        <is>
          <t>in cm</t>
        </is>
      </c>
      <c r="D9" s="98">
        <f>'Mould Costing'!B4/10</f>
        <v/>
      </c>
      <c r="F9" s="97" t="inlineStr">
        <is>
          <t>POM</t>
        </is>
      </c>
      <c r="G9" s="95" t="n">
        <v>0.28</v>
      </c>
      <c r="H9" s="95" t="n">
        <v>0.36</v>
      </c>
      <c r="I9" s="95" t="n">
        <v>0.00011</v>
      </c>
      <c r="J9" s="95" t="n">
        <v>170</v>
      </c>
      <c r="K9" s="512" t="n"/>
    </row>
    <row r="10">
      <c r="A10" s="92" t="n"/>
      <c r="B10" s="99" t="inlineStr">
        <is>
          <t>d is the maximum allowable deflection 0.005 cm</t>
        </is>
      </c>
      <c r="C10" s="523" t="inlineStr">
        <is>
          <t>in cm</t>
        </is>
      </c>
      <c r="D10" s="523" t="n">
        <v>0.005</v>
      </c>
      <c r="F10" s="94" t="inlineStr">
        <is>
          <t>Glass fiber-Plain</t>
        </is>
      </c>
      <c r="G10" s="95" t="n">
        <v>0.26</v>
      </c>
      <c r="H10" s="95" t="n">
        <v>0.2</v>
      </c>
      <c r="I10" s="95" t="n">
        <v>6e-05</v>
      </c>
      <c r="J10" s="95" t="n">
        <v>260</v>
      </c>
      <c r="K10" s="512" t="n"/>
    </row>
    <row r="11">
      <c r="A11" s="92" t="n"/>
      <c r="B11" s="62" t="n"/>
      <c r="C11" s="62" t="n"/>
      <c r="D11" s="62" t="n"/>
      <c r="E11" s="62" t="n"/>
      <c r="F11" s="97" t="inlineStr">
        <is>
          <t>Nylon-srf</t>
        </is>
      </c>
      <c r="G11" s="95" t="n">
        <v>0.37</v>
      </c>
      <c r="H11" s="95" t="n">
        <v>0.4</v>
      </c>
      <c r="I11" s="95" t="n">
        <v>0.00015</v>
      </c>
      <c r="J11" s="95" t="n">
        <v>225</v>
      </c>
      <c r="K11" s="512" t="n"/>
    </row>
    <row r="12">
      <c r="A12" s="92" t="n"/>
      <c r="B12" s="100" t="inlineStr">
        <is>
          <t>Runner Diameter = Max Part Wall Thickness+1.5</t>
        </is>
      </c>
      <c r="C12" s="101">
        <f>'Input-Output'!B15+1.5</f>
        <v/>
      </c>
      <c r="D12" s="102" t="inlineStr">
        <is>
          <t>mm</t>
        </is>
      </c>
      <c r="K12" s="512" t="n"/>
    </row>
    <row r="13">
      <c r="A13" s="103" t="n"/>
      <c r="B13" s="104" t="inlineStr">
        <is>
          <t>Gate Diameter = dr/dg=4.5</t>
        </is>
      </c>
      <c r="C13" s="101">
        <f>C12/4.5</f>
        <v/>
      </c>
      <c r="D13" s="102" t="inlineStr">
        <is>
          <t>mm</t>
        </is>
      </c>
      <c r="F13" s="564" t="inlineStr">
        <is>
          <t>Ejector Force Calculation</t>
        </is>
      </c>
      <c r="G13" s="437" t="n"/>
      <c r="H13" s="564" t="n"/>
      <c r="I13" s="437" t="n"/>
      <c r="K13" s="512" t="n"/>
    </row>
    <row r="14">
      <c r="A14" s="92" t="n"/>
      <c r="F14" s="341" t="inlineStr">
        <is>
          <t>Fp</t>
        </is>
      </c>
      <c r="G14" s="342" t="n"/>
      <c r="H14" s="78">
        <f>C25</f>
        <v/>
      </c>
      <c r="I14" s="265" t="inlineStr">
        <is>
          <t>kN</t>
        </is>
      </c>
      <c r="K14" s="512" t="n"/>
    </row>
    <row r="15">
      <c r="A15" s="92" t="n"/>
      <c r="B15" s="570" t="inlineStr">
        <is>
          <t>Ejector plate thickness</t>
        </is>
      </c>
      <c r="C15" s="439" t="n"/>
      <c r="D15" s="437" t="n"/>
      <c r="F15" s="341" t="inlineStr">
        <is>
          <t>Fp</t>
        </is>
      </c>
      <c r="G15" s="342" t="n"/>
      <c r="H15" s="78">
        <f>H14*G19</f>
        <v/>
      </c>
      <c r="I15" s="265" t="inlineStr">
        <is>
          <t>KgF</t>
        </is>
      </c>
      <c r="K15" s="512" t="n"/>
    </row>
    <row r="16" ht="29" customHeight="1" s="450">
      <c r="A16" s="92" t="n"/>
      <c r="B16" s="566" t="inlineStr">
        <is>
          <t>Considering both ejector plate and ejector back plate as simply supported beam with uniformly distributed load</t>
        </is>
      </c>
      <c r="C16" s="439" t="n"/>
      <c r="D16" s="437" t="n"/>
      <c r="F16" s="565" t="inlineStr">
        <is>
          <t>No of Cavity</t>
        </is>
      </c>
      <c r="G16" s="437" t="n"/>
      <c r="H16" s="78">
        <f>'Input-Output'!B10</f>
        <v/>
      </c>
      <c r="I16" s="265" t="n"/>
      <c r="K16" s="512" t="n"/>
      <c r="P16" t="inlineStr">
        <is>
          <t>`</t>
        </is>
      </c>
    </row>
    <row r="17" ht="16.5" customHeight="1" s="450">
      <c r="A17" s="92" t="n"/>
      <c r="B17" s="105" t="inlineStr">
        <is>
          <t xml:space="preserve"> t=3Ö5 w l4  / 32 E d d=</t>
        </is>
      </c>
      <c r="C17" s="106">
        <f>POWER(((5*C18*C19^4)/(32*(2*10^6)*C21*C22)),1/3)</f>
        <v/>
      </c>
      <c r="D17" s="265" t="inlineStr">
        <is>
          <t>cm</t>
        </is>
      </c>
      <c r="E17" s="105" t="n"/>
      <c r="F17" s="565" t="inlineStr">
        <is>
          <t>Total Ejection Force</t>
        </is>
      </c>
      <c r="G17" s="437" t="n"/>
      <c r="H17" s="78">
        <f>H16*H15</f>
        <v/>
      </c>
      <c r="I17" s="265" t="inlineStr">
        <is>
          <t>KgF</t>
        </is>
      </c>
      <c r="K17" s="512" t="n"/>
    </row>
    <row r="18">
      <c r="A18" s="92" t="n"/>
      <c r="B18" s="107" t="inlineStr">
        <is>
          <t>Ejection force required in Kgf , w=</t>
        </is>
      </c>
      <c r="C18" s="108">
        <f>C25*G19</f>
        <v/>
      </c>
      <c r="D18" s="265" t="n"/>
      <c r="F18" s="265" t="inlineStr">
        <is>
          <t>kN</t>
        </is>
      </c>
      <c r="G18" s="265" t="inlineStr">
        <is>
          <t>KgF</t>
        </is>
      </c>
      <c r="K18" s="512" t="n"/>
    </row>
    <row r="19">
      <c r="A19" s="92" t="n"/>
      <c r="B19" s="107" t="inlineStr">
        <is>
          <t>Length of the ejector plate in cm, l=</t>
        </is>
      </c>
      <c r="C19" s="108">
        <f>'Mould Costing'!D13/10</f>
        <v/>
      </c>
      <c r="D19" s="265" t="inlineStr">
        <is>
          <t>cm</t>
        </is>
      </c>
      <c r="F19" s="109" t="n">
        <v>1</v>
      </c>
      <c r="G19" s="265" t="n">
        <v>0.101972</v>
      </c>
      <c r="K19" s="512" t="n"/>
    </row>
    <row r="20" ht="16.5" customHeight="1" s="450">
      <c r="A20" s="92" t="n"/>
      <c r="B20" s="107" t="inlineStr">
        <is>
          <t>Moulus of elasticity 2 x 106 kg / cm2 (for steel), E=</t>
        </is>
      </c>
      <c r="C20" s="110" t="inlineStr">
        <is>
          <t>2 x 106</t>
        </is>
      </c>
      <c r="D20" s="265" t="n"/>
      <c r="K20" s="512" t="n"/>
    </row>
    <row r="21">
      <c r="A21" s="92" t="n"/>
      <c r="B21" s="107" t="inlineStr">
        <is>
          <t>Width of the ejector plate in cm, d=</t>
        </is>
      </c>
      <c r="C21" s="108">
        <f>'Mould Costing'!E13/10</f>
        <v/>
      </c>
      <c r="D21" s="265" t="inlineStr">
        <is>
          <t>cm</t>
        </is>
      </c>
      <c r="F21" s="111" t="n"/>
      <c r="K21" s="512" t="n"/>
    </row>
    <row r="22">
      <c r="A22" s="92" t="n"/>
      <c r="B22" s="107" t="inlineStr">
        <is>
          <t>Maximum allowable deflection 0.005 cm</t>
        </is>
      </c>
      <c r="C22" s="110" t="n">
        <v>0.005</v>
      </c>
      <c r="D22" s="265" t="inlineStr">
        <is>
          <t>cm</t>
        </is>
      </c>
      <c r="K22" s="512" t="n"/>
    </row>
    <row r="23">
      <c r="A23" s="92" t="n"/>
      <c r="K23" s="512" t="n"/>
    </row>
    <row r="24">
      <c r="A24" s="92" t="n"/>
      <c r="B24" s="112" t="inlineStr">
        <is>
          <t>where</t>
        </is>
      </c>
      <c r="K24" s="512" t="n"/>
    </row>
    <row r="25">
      <c r="A25" s="92" t="n"/>
      <c r="B25" s="112" t="inlineStr">
        <is>
          <t>Fp</t>
        </is>
      </c>
      <c r="C25" s="22">
        <f>(C26*C27*C28*C31*C32)/(C30/(2*C33)*(1-(C29/2)))</f>
        <v/>
      </c>
      <c r="D25" t="inlineStr">
        <is>
          <t>kn</t>
        </is>
      </c>
      <c r="E25" t="inlineStr">
        <is>
          <t>Ejection resistance force (N)</t>
        </is>
      </c>
      <c r="K25" s="512" t="n"/>
    </row>
    <row r="26">
      <c r="A26" s="92" t="n"/>
      <c r="B26" s="112" t="inlineStr">
        <is>
          <t>E</t>
        </is>
      </c>
      <c r="C26">
        <f>VLOOKUP('Input-Output'!B9,Table11[],5,0)*10^5</f>
        <v/>
      </c>
      <c r="D26" t="inlineStr">
        <is>
          <t>(N/cm2)</t>
        </is>
      </c>
      <c r="E26" t="inlineStr">
        <is>
          <t>Young’s modulus of the polymer</t>
        </is>
      </c>
      <c r="K26" s="512" t="n"/>
    </row>
    <row r="27">
      <c r="A27" s="92" t="n"/>
      <c r="B27" s="112" t="inlineStr">
        <is>
          <t>A</t>
        </is>
      </c>
      <c r="C27">
        <f>2*'Input-Output'!B4/10*'Input-Output'!B3/10+2*'Input-Output'!B4/10*'Input-Output'!B2/10</f>
        <v/>
      </c>
      <c r="D27" t="inlineStr">
        <is>
          <t>(cm2)</t>
        </is>
      </c>
      <c r="E27" t="inlineStr">
        <is>
          <t>total surface area of moulding in contact with cavity or core, in line of draw</t>
        </is>
      </c>
      <c r="K27" s="512" t="n"/>
    </row>
    <row r="28">
      <c r="A28" s="92" t="n"/>
      <c r="B28" s="112" t="inlineStr">
        <is>
          <t>μ</t>
        </is>
      </c>
      <c r="C28" s="113">
        <f>VLOOKUP('Input-Output'!$B$9,'Core &amp; Ejector Plate'!$F$4:$J$11,2,FALSE)</f>
        <v/>
      </c>
      <c r="E28" t="inlineStr">
        <is>
          <t>coefficient of friction, polymer on steel</t>
        </is>
      </c>
      <c r="K28" s="512" t="n"/>
    </row>
    <row r="29">
      <c r="A29" s="92" t="n"/>
      <c r="B29" s="112" t="inlineStr">
        <is>
          <t>m</t>
        </is>
      </c>
      <c r="C29" s="113">
        <f>VLOOKUP('Input-Output'!$B$9,'Core &amp; Ejector Plate'!$F$4:$J$11,3,FALSE)</f>
        <v/>
      </c>
      <c r="E29" t="inlineStr">
        <is>
          <t>Poisson’s ratio</t>
        </is>
      </c>
      <c r="K29" s="512" t="n"/>
    </row>
    <row r="30">
      <c r="A30" s="92" t="n"/>
      <c r="B30" s="112" t="inlineStr">
        <is>
          <t>d</t>
        </is>
      </c>
      <c r="C30" s="114">
        <f>((2*'Input-Output'!B2/10+(2*'Input-Output'!B3/10))/3.14)</f>
        <v/>
      </c>
      <c r="D30" t="inlineStr">
        <is>
          <t>(cm)</t>
        </is>
      </c>
      <c r="E30" t="inlineStr">
        <is>
          <t>the diameter of a circle whose circumference is equal to the total projected perimeter of the moulding</t>
        </is>
      </c>
      <c r="K30" s="512" t="n"/>
    </row>
    <row r="31">
      <c r="A31" s="92" t="n"/>
      <c r="B31" s="112" t="inlineStr">
        <is>
          <t>∝</t>
        </is>
      </c>
      <c r="C31" s="113">
        <f>VLOOKUP('Input-Output'!$B$9,'Core &amp; Ejector Plate'!$F$4:$J$11,4,FALSE)</f>
        <v/>
      </c>
      <c r="D31" t="inlineStr">
        <is>
          <t>(cm/°C)</t>
        </is>
      </c>
      <c r="E31" t="inlineStr">
        <is>
          <t>the coefficient of linear expansion of the polymer</t>
        </is>
      </c>
      <c r="K31" s="512" t="n"/>
    </row>
    <row r="32">
      <c r="A32" s="92" t="n"/>
      <c r="B32" s="112" t="inlineStr">
        <is>
          <t>Δt</t>
        </is>
      </c>
      <c r="C32" s="113">
        <f>VLOOKUP('Input-Output'!$B$9,'Core &amp; Ejector Plate'!$F$4:$J$11,5,FALSE)-20</f>
        <v/>
      </c>
      <c r="D32" t="inlineStr">
        <is>
          <t xml:space="preserve"> (°C)</t>
        </is>
      </c>
      <c r="E32" t="inlineStr">
        <is>
          <t>(polymer softening temperature) - (mould tool temperature)</t>
        </is>
      </c>
      <c r="K32" s="512" t="n"/>
    </row>
    <row r="33">
      <c r="A33" s="92" t="n"/>
      <c r="B33" s="112" t="inlineStr">
        <is>
          <t>t</t>
        </is>
      </c>
      <c r="C33">
        <f>'Input-Output'!B14/10</f>
        <v/>
      </c>
      <c r="D33" t="inlineStr">
        <is>
          <t>(cm)</t>
        </is>
      </c>
      <c r="E33" t="inlineStr">
        <is>
          <t>average wall thickness of part</t>
        </is>
      </c>
      <c r="K33" s="512" t="n"/>
    </row>
    <row r="34">
      <c r="A34" s="483" t="n"/>
      <c r="B34" s="444" t="n"/>
      <c r="C34" s="444" t="n"/>
      <c r="D34" s="444" t="n"/>
      <c r="E34" s="444" t="n"/>
      <c r="F34" s="444" t="n"/>
      <c r="G34" s="444" t="n"/>
      <c r="H34" s="444" t="n"/>
      <c r="I34" s="444" t="n"/>
      <c r="J34" s="444" t="n"/>
      <c r="K34" s="462" t="n"/>
    </row>
  </sheetData>
  <mergeCells count="9">
    <mergeCell ref="B3:D3"/>
    <mergeCell ref="F16:G16"/>
    <mergeCell ref="B16:D16"/>
    <mergeCell ref="F13:G13"/>
    <mergeCell ref="B15:D15"/>
    <mergeCell ref="H13:I13"/>
    <mergeCell ref="F17:G17"/>
    <mergeCell ref="B2:D2"/>
    <mergeCell ref="F2:J2"/>
  </mergeCells>
  <pageMargins left="0.7" right="0.7" top="0.75" bottom="0.75" header="0.3" footer="0.3"/>
  <pageSetup orientation="landscape" scale="54" fitToHeight="0"/>
</worksheet>
</file>

<file path=xl/worksheets/sheet15.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50" min="1" max="1"/>
    <col width="24.26953125" customWidth="1" style="450" min="2" max="2"/>
    <col width="31.81640625" customWidth="1" style="450" min="3" max="3"/>
    <col width="21.1796875" customWidth="1" style="450" min="4" max="4"/>
    <col width="20.36328125" customWidth="1" style="450" min="5" max="5"/>
    <col width="29.26953125" customWidth="1" style="450" min="6" max="6"/>
    <col width="27.7265625" customWidth="1" style="450" min="7" max="7"/>
    <col width="18.36328125" customWidth="1" style="450" min="8" max="8"/>
    <col width="14.26953125" customWidth="1" style="450" min="9" max="9"/>
    <col width="17.90625" customWidth="1" style="450" min="10" max="10"/>
    <col width="25.36328125" customWidth="1" style="450" min="11" max="11"/>
    <col width="16.1796875" customWidth="1" style="450" min="12" max="12"/>
  </cols>
  <sheetData>
    <row r="1">
      <c r="M1" s="563" t="n"/>
      <c r="N1" s="563" t="n"/>
    </row>
    <row r="2">
      <c r="A2" s="571" t="inlineStr">
        <is>
          <t>Top Clamp Plate</t>
        </is>
      </c>
      <c r="C2" s="74">
        <f>SUM(L4:L19)</f>
        <v/>
      </c>
      <c r="D2" s="74" t="n"/>
      <c r="E2" s="74" t="n"/>
      <c r="M2" s="563" t="n"/>
      <c r="N2" s="637" t="n"/>
    </row>
    <row r="3" ht="16.5" customHeight="1" s="450">
      <c r="A3" s="75" t="inlineStr">
        <is>
          <t>Opn No</t>
        </is>
      </c>
      <c r="B3" s="76" t="inlineStr">
        <is>
          <t>Operation Name</t>
        </is>
      </c>
      <c r="C3" s="76" t="inlineStr">
        <is>
          <t>M/c Selected</t>
        </is>
      </c>
      <c r="D3" s="77" t="inlineStr">
        <is>
          <t>Initial Volume in cm3</t>
        </is>
      </c>
      <c r="E3" s="77" t="inlineStr">
        <is>
          <t>Final Volume in cm3</t>
        </is>
      </c>
      <c r="F3" s="77" t="inlineStr">
        <is>
          <t>Material to be removed in cm3</t>
        </is>
      </c>
      <c r="G3" s="77" t="inlineStr">
        <is>
          <t>Standard MRR in cm3 per min</t>
        </is>
      </c>
      <c r="H3" s="77" t="inlineStr">
        <is>
          <t>Cycle Time in Mins</t>
        </is>
      </c>
      <c r="I3" s="77" t="inlineStr">
        <is>
          <t>Programming</t>
        </is>
      </c>
      <c r="J3" s="77" t="inlineStr">
        <is>
          <t>Tool Change Time</t>
        </is>
      </c>
      <c r="K3" s="77" t="inlineStr">
        <is>
          <t>Fixture Set-up time in mins</t>
        </is>
      </c>
      <c r="L3" s="82" t="inlineStr">
        <is>
          <t>M/c Time in Hrs</t>
        </is>
      </c>
      <c r="M3" s="336" t="n"/>
      <c r="N3" s="336" t="n"/>
      <c r="O3" s="336" t="n"/>
    </row>
    <row r="4">
      <c r="A4" s="342" t="n">
        <v>1</v>
      </c>
      <c r="B4" s="70" t="inlineStr">
        <is>
          <t>Rough Milling - Sizing</t>
        </is>
      </c>
      <c r="C4" s="70" t="inlineStr">
        <is>
          <t>Conv Milling - Facing</t>
        </is>
      </c>
      <c r="D4" s="78">
        <f>(('Mould Costing'!$D$9+10)/10)*(('Mould Costing'!$E$9+10)/10)*(('Mould Costing'!$F$9+10)/10)</f>
        <v/>
      </c>
      <c r="E4" s="78">
        <f>(('Mould Costing'!$D$9)/10)*(('Mould Costing'!$E$9)/10)*(('Mould Costing'!$F$9)/10)</f>
        <v/>
      </c>
      <c r="F4" s="78">
        <f>D4-E4</f>
        <v/>
      </c>
      <c r="G4" s="78">
        <f>VLOOKUP(C4,Table15[],2,FALSE)</f>
        <v/>
      </c>
      <c r="H4" s="78">
        <f>F4/G4</f>
        <v/>
      </c>
      <c r="I4" s="78" t="n"/>
      <c r="J4" s="83" t="n">
        <v>30</v>
      </c>
      <c r="K4" s="83" t="n">
        <v>45</v>
      </c>
      <c r="L4" s="42">
        <f>ROUNDUP((K4+J4+H4+I4)/60,0)</f>
        <v/>
      </c>
      <c r="M4" s="336" t="n"/>
      <c r="N4" s="336" t="n"/>
    </row>
    <row r="5">
      <c r="A5" s="342" t="n">
        <v>2</v>
      </c>
      <c r="B5" s="265" t="inlineStr">
        <is>
          <t>Finishing</t>
        </is>
      </c>
      <c r="C5" s="70" t="inlineStr">
        <is>
          <t>Surface Grinding</t>
        </is>
      </c>
      <c r="D5" s="78">
        <f>(('Mould Costing'!$D$9+1)/10)*(('Mould Costing'!$E$9+1)/10)*(('Mould Costing'!$F$9+1)/10)</f>
        <v/>
      </c>
      <c r="E5" s="78">
        <f>(('Mould Costing'!$D$9)/10)*(('Mould Costing'!$E$9)/10)*(('Mould Costing'!$F$9)/10)</f>
        <v/>
      </c>
      <c r="F5" s="78">
        <f>D5-E5</f>
        <v/>
      </c>
      <c r="G5" s="78">
        <f>VLOOKUP(C5,Table15[],2,FALSE)</f>
        <v/>
      </c>
      <c r="H5" s="78">
        <f>F5/G5</f>
        <v/>
      </c>
      <c r="I5" s="265" t="n"/>
      <c r="J5" s="83" t="n">
        <v>30</v>
      </c>
      <c r="K5" s="83" t="n">
        <v>45</v>
      </c>
      <c r="L5" s="42">
        <f>ROUNDUP((K5+H5+I5+J5)/60,0)</f>
        <v/>
      </c>
      <c r="M5" s="336" t="n"/>
      <c r="N5" s="336" t="n"/>
    </row>
    <row r="6">
      <c r="A6" s="342" t="n">
        <v>3</v>
      </c>
      <c r="B6" s="265" t="inlineStr">
        <is>
          <t>Drilling - Locating Ring &amp; Sprue Bush</t>
        </is>
      </c>
      <c r="C6" s="70" t="inlineStr">
        <is>
          <t>Radial Drilling - Hole drilling</t>
        </is>
      </c>
      <c r="D6" s="78">
        <f>3.14/4*('Mould Costing'!$E$21/10*('Mould Costing'!$E$21+10)/10*('Mould Costing'!F9/10))</f>
        <v/>
      </c>
      <c r="E6" s="78" t="n">
        <v>0</v>
      </c>
      <c r="F6" s="78">
        <f>D6-E6</f>
        <v/>
      </c>
      <c r="G6" s="78">
        <f>VLOOKUP(C6,Table15[],2,FALSE)</f>
        <v/>
      </c>
      <c r="H6" s="78">
        <f>F6/G6</f>
        <v/>
      </c>
      <c r="I6" s="265" t="n"/>
      <c r="J6" s="83" t="n">
        <v>30</v>
      </c>
      <c r="K6" s="83" t="n">
        <v>45</v>
      </c>
      <c r="L6" s="42">
        <f>ROUNDUP((K6+H6+I6+J6)/60,0)</f>
        <v/>
      </c>
      <c r="M6" s="336" t="n"/>
      <c r="N6" s="336" t="n"/>
    </row>
    <row r="7">
      <c r="A7" s="342" t="n">
        <v>4</v>
      </c>
      <c r="B7" s="265" t="inlineStr">
        <is>
          <t>Boring - Sprue Bush</t>
        </is>
      </c>
      <c r="C7" s="70" t="inlineStr">
        <is>
          <t>Radial Drilling - Hole drilling</t>
        </is>
      </c>
      <c r="D7" s="78">
        <f>0.785*3*3*'Mould Costing'!F9/10</f>
        <v/>
      </c>
      <c r="E7" s="78" t="n">
        <v>0</v>
      </c>
      <c r="F7" s="78">
        <f>D7-E7</f>
        <v/>
      </c>
      <c r="G7" s="78">
        <f>VLOOKUP(C7,Table15[],2,FALSE)</f>
        <v/>
      </c>
      <c r="H7" s="78">
        <f>F7/G7</f>
        <v/>
      </c>
      <c r="I7" s="265" t="n"/>
      <c r="J7" s="83" t="n">
        <v>30</v>
      </c>
      <c r="K7" s="83" t="n">
        <v>45</v>
      </c>
      <c r="L7" s="42">
        <f>ROUNDUP((K7+H7+I7+J7)/60,0)</f>
        <v/>
      </c>
    </row>
    <row r="8">
      <c r="A8" s="342" t="n">
        <v>5</v>
      </c>
      <c r="B8" s="265" t="inlineStr">
        <is>
          <t>Tapping</t>
        </is>
      </c>
      <c r="C8" s="70" t="inlineStr">
        <is>
          <t>Radial Drilling - Reaming / Tapping</t>
        </is>
      </c>
      <c r="D8" s="78">
        <f>0.785*2*('Mould Costing'!F9/10)*4</f>
        <v/>
      </c>
      <c r="E8" s="78" t="n">
        <v>0</v>
      </c>
      <c r="F8" s="78">
        <f>D8-E8</f>
        <v/>
      </c>
      <c r="G8" s="78">
        <f>VLOOKUP(C8,Table15[],2,FALSE)</f>
        <v/>
      </c>
      <c r="H8" s="78">
        <f>F8/G8</f>
        <v/>
      </c>
      <c r="I8" s="265" t="n"/>
      <c r="J8" s="83" t="n">
        <v>30</v>
      </c>
      <c r="K8" s="83" t="n">
        <v>45</v>
      </c>
      <c r="L8" s="42">
        <f>ROUNDUP((K8+H8+I8+J8)/60,0)</f>
        <v/>
      </c>
    </row>
    <row r="9">
      <c r="A9" s="342" t="n">
        <v>6</v>
      </c>
      <c r="B9" s="265" t="inlineStr">
        <is>
          <t>Bench Work</t>
        </is>
      </c>
      <c r="C9" s="70" t="inlineStr">
        <is>
          <t>Conv Milling - Facing</t>
        </is>
      </c>
      <c r="D9" s="265" t="n"/>
      <c r="E9" s="265" t="n"/>
      <c r="F9" s="265" t="n"/>
      <c r="G9" s="78">
        <f>VLOOKUP(C9,Table15[],2,FALSE)</f>
        <v/>
      </c>
      <c r="H9" s="265" t="n"/>
      <c r="I9" s="265" t="n"/>
      <c r="J9" s="83" t="n"/>
      <c r="K9" s="83" t="n"/>
      <c r="L9" s="42">
        <f>ROUNDUP((K9+H9+I9+J9)/60,0)</f>
        <v/>
      </c>
    </row>
    <row r="10">
      <c r="A10" s="342" t="n"/>
      <c r="B10" s="265" t="n"/>
      <c r="C10" s="70" t="inlineStr">
        <is>
          <t>Conv Milling - Facing</t>
        </is>
      </c>
      <c r="D10" s="265" t="n"/>
      <c r="E10" s="265" t="n"/>
      <c r="F10" s="265" t="n"/>
      <c r="G10" s="78">
        <f>VLOOKUP(C10,Table15[],2,FALSE)</f>
        <v/>
      </c>
      <c r="H10" s="265" t="n"/>
      <c r="I10" s="265" t="n"/>
      <c r="J10" s="265" t="n"/>
      <c r="K10" s="265" t="n"/>
      <c r="L10" s="42">
        <f>ROUNDUP((K10+H10+I10+J10)/60,0)</f>
        <v/>
      </c>
    </row>
    <row r="11">
      <c r="A11" s="342" t="n"/>
      <c r="B11" s="265" t="n"/>
      <c r="C11" s="70" t="inlineStr">
        <is>
          <t>Conv Milling - Facing</t>
        </is>
      </c>
      <c r="D11" s="265" t="n"/>
      <c r="E11" s="265" t="n"/>
      <c r="F11" s="265" t="n"/>
      <c r="G11" s="78">
        <f>VLOOKUP(C11,Table15[],2,FALSE)</f>
        <v/>
      </c>
      <c r="H11" s="265" t="n"/>
      <c r="I11" s="265" t="n"/>
      <c r="J11" s="265" t="n"/>
      <c r="K11" s="265" t="n"/>
      <c r="L11" s="42">
        <f>ROUNDUP((K11+H11+I11+J11)/60,0)</f>
        <v/>
      </c>
    </row>
    <row r="12">
      <c r="A12" s="342" t="n"/>
      <c r="B12" s="265" t="n"/>
      <c r="C12" s="70" t="inlineStr">
        <is>
          <t>Conv Milling - Facing</t>
        </is>
      </c>
      <c r="D12" s="265" t="n"/>
      <c r="E12" s="265" t="n"/>
      <c r="F12" s="265" t="n"/>
      <c r="G12" s="78">
        <f>VLOOKUP(C12,Table15[],2,FALSE)</f>
        <v/>
      </c>
      <c r="H12" s="265" t="n"/>
      <c r="I12" s="265" t="n"/>
      <c r="J12" s="265" t="n"/>
      <c r="K12" s="265" t="n"/>
      <c r="L12" s="42">
        <f>ROUNDUP((K12+H12+I12+J12)/60,0)</f>
        <v/>
      </c>
    </row>
    <row r="13">
      <c r="A13" s="342" t="n"/>
      <c r="B13" s="265" t="n"/>
      <c r="C13" s="70" t="inlineStr">
        <is>
          <t>Conv Milling - Facing</t>
        </is>
      </c>
      <c r="D13" s="265" t="n"/>
      <c r="E13" s="265" t="n"/>
      <c r="F13" s="265" t="n"/>
      <c r="G13" s="78">
        <f>VLOOKUP(C13,Table15[],2,FALSE)</f>
        <v/>
      </c>
      <c r="H13" s="265" t="n"/>
      <c r="I13" s="265" t="n"/>
      <c r="J13" s="265" t="n"/>
      <c r="K13" s="265" t="n"/>
      <c r="L13" s="42">
        <f>ROUNDUP((K13+H13+I13+J13)/60,0)</f>
        <v/>
      </c>
    </row>
    <row r="14">
      <c r="A14" s="342" t="n"/>
      <c r="B14" s="265" t="n"/>
      <c r="C14" s="70" t="inlineStr">
        <is>
          <t>Conv Milling - Facing</t>
        </is>
      </c>
      <c r="D14" s="265" t="n"/>
      <c r="E14" s="265" t="n"/>
      <c r="F14" s="265" t="n"/>
      <c r="G14" s="78">
        <f>VLOOKUP(C14,Table15[],2,FALSE)</f>
        <v/>
      </c>
      <c r="H14" s="265" t="n"/>
      <c r="I14" s="265" t="n"/>
      <c r="J14" s="265" t="n"/>
      <c r="K14" s="265" t="n"/>
      <c r="L14" s="42">
        <f>ROUNDUP((K14+H14+I14+J14)/60,0)</f>
        <v/>
      </c>
    </row>
    <row r="15">
      <c r="A15" s="342" t="n"/>
      <c r="B15" s="265" t="n"/>
      <c r="C15" s="70" t="inlineStr">
        <is>
          <t>Conv Milling - Facing</t>
        </is>
      </c>
      <c r="D15" s="265" t="n"/>
      <c r="E15" s="265" t="n"/>
      <c r="F15" s="265" t="n"/>
      <c r="G15" s="78">
        <f>VLOOKUP(C15,Table15[],2,FALSE)</f>
        <v/>
      </c>
      <c r="H15" s="265" t="n"/>
      <c r="I15" s="265" t="n"/>
      <c r="J15" s="265" t="n"/>
      <c r="K15" s="265" t="n"/>
      <c r="L15" s="42">
        <f>ROUNDUP((K15+H15+I15+J15)/60,0)</f>
        <v/>
      </c>
    </row>
    <row r="16">
      <c r="A16" s="342" t="n"/>
      <c r="B16" s="265" t="n"/>
      <c r="C16" s="70" t="inlineStr">
        <is>
          <t>Conv Milling - Facing</t>
        </is>
      </c>
      <c r="D16" s="265" t="n"/>
      <c r="E16" s="265" t="n"/>
      <c r="F16" s="265" t="n"/>
      <c r="G16" s="78">
        <f>VLOOKUP(C16,Table15[],2,FALSE)</f>
        <v/>
      </c>
      <c r="H16" s="265" t="n"/>
      <c r="I16" s="265" t="n"/>
      <c r="J16" s="265" t="n"/>
      <c r="K16" s="265" t="n"/>
      <c r="L16" s="42">
        <f>ROUNDUP((K16+H16+I16+J16)/60,0)</f>
        <v/>
      </c>
    </row>
    <row r="17">
      <c r="A17" s="342" t="n"/>
      <c r="B17" s="265" t="n"/>
      <c r="C17" s="70" t="inlineStr">
        <is>
          <t>Conv Milling - Facing</t>
        </is>
      </c>
      <c r="D17" s="265" t="n"/>
      <c r="E17" s="265" t="n"/>
      <c r="F17" s="265" t="n"/>
      <c r="G17" s="78">
        <f>VLOOKUP(C17,Table15[],2,FALSE)</f>
        <v/>
      </c>
      <c r="H17" s="265" t="n"/>
      <c r="I17" s="265" t="n"/>
      <c r="J17" s="265" t="n"/>
      <c r="K17" s="265" t="n"/>
      <c r="L17" s="42">
        <f>ROUNDUP((K17+H17+I17+J17)/60,0)</f>
        <v/>
      </c>
    </row>
    <row r="18">
      <c r="A18" s="342" t="n"/>
      <c r="B18" s="265" t="n"/>
      <c r="C18" s="70" t="inlineStr">
        <is>
          <t>Conv Milling - Facing</t>
        </is>
      </c>
      <c r="D18" s="265" t="n"/>
      <c r="E18" s="265" t="n"/>
      <c r="F18" s="265" t="n"/>
      <c r="G18" s="78">
        <f>VLOOKUP(C18,Table15[],2,FALSE)</f>
        <v/>
      </c>
      <c r="H18" s="265" t="n"/>
      <c r="I18" s="265" t="n"/>
      <c r="J18" s="265" t="n"/>
      <c r="K18" s="265" t="n"/>
      <c r="L18" s="42">
        <f>ROUNDUP((K18+H18+I18+J18)/60,0)</f>
        <v/>
      </c>
    </row>
    <row r="19">
      <c r="A19" s="457" t="n"/>
      <c r="B19" s="79" t="n"/>
      <c r="C19" s="79" t="n"/>
      <c r="D19" s="79" t="n"/>
      <c r="E19" s="79" t="n"/>
      <c r="F19" s="79" t="n"/>
      <c r="G19" s="79" t="n"/>
      <c r="H19" s="79" t="n"/>
      <c r="I19" s="79" t="n"/>
      <c r="J19" s="79" t="n"/>
      <c r="K19" s="79" t="n"/>
      <c r="L19" s="44">
        <f>ROUNDUP((K19+H19+I19+J19)/60,0)</f>
        <v/>
      </c>
    </row>
    <row r="21">
      <c r="A21" s="571" t="inlineStr">
        <is>
          <t>Bottom Clamp Plate</t>
        </is>
      </c>
      <c r="C21" s="74">
        <f>SUM(L23:L38)</f>
        <v/>
      </c>
      <c r="D21" s="74" t="n"/>
      <c r="E21" s="74" t="n"/>
      <c r="M21" s="563" t="n"/>
      <c r="N21" s="637" t="n"/>
    </row>
    <row r="22" ht="16.5" customHeight="1" s="450">
      <c r="A22" s="75" t="inlineStr">
        <is>
          <t>Opn No</t>
        </is>
      </c>
      <c r="B22" s="76" t="inlineStr">
        <is>
          <t>Operation Name</t>
        </is>
      </c>
      <c r="C22" s="76" t="inlineStr">
        <is>
          <t>M/c Selected</t>
        </is>
      </c>
      <c r="D22" s="77" t="inlineStr">
        <is>
          <t>Initial Volume in cm3</t>
        </is>
      </c>
      <c r="E22" s="77" t="inlineStr">
        <is>
          <t>Final Volume in cm3</t>
        </is>
      </c>
      <c r="F22" s="77" t="inlineStr">
        <is>
          <t>Material to be removed in cm3</t>
        </is>
      </c>
      <c r="G22" s="77" t="inlineStr">
        <is>
          <t>Standard MRR in cm3 per min</t>
        </is>
      </c>
      <c r="H22" s="77" t="inlineStr">
        <is>
          <t>Cycle Time in Mins</t>
        </is>
      </c>
      <c r="I22" s="77" t="inlineStr">
        <is>
          <t>Programming</t>
        </is>
      </c>
      <c r="J22" s="77" t="inlineStr">
        <is>
          <t>Tool Change Time</t>
        </is>
      </c>
      <c r="K22" s="77" t="inlineStr">
        <is>
          <t>Fixture Set-up time in mins</t>
        </is>
      </c>
      <c r="L22" s="82" t="inlineStr">
        <is>
          <t>M/c Time in Hrs</t>
        </is>
      </c>
      <c r="M22" s="336" t="n"/>
      <c r="N22" s="336" t="n"/>
      <c r="O22" s="336" t="n"/>
    </row>
    <row r="23">
      <c r="A23" s="342" t="n">
        <v>1</v>
      </c>
      <c r="B23" s="70" t="inlineStr">
        <is>
          <t>Rough Milling - Sizing</t>
        </is>
      </c>
      <c r="C23" s="70" t="inlineStr">
        <is>
          <t>Conv Milling - Facing</t>
        </is>
      </c>
      <c r="D23" s="78">
        <f>(('Mould Costing'!$D$10+10)/10)*(('Mould Costing'!$E$10+10)/10)*(('Mould Costing'!$F$10+10)/10)</f>
        <v/>
      </c>
      <c r="E23" s="78">
        <f>(('Mould Costing'!$D$10)/10)*(('Mould Costing'!$E$10)/10)*(('Mould Costing'!$F$10)/10)</f>
        <v/>
      </c>
      <c r="F23" s="78">
        <f>D23-E23</f>
        <v/>
      </c>
      <c r="G23" s="78">
        <f>VLOOKUP(C23,Table15[],2,FALSE)</f>
        <v/>
      </c>
      <c r="H23" s="78">
        <f>F23/G23</f>
        <v/>
      </c>
      <c r="I23" s="78" t="n"/>
      <c r="J23" s="265" t="n">
        <v>30</v>
      </c>
      <c r="K23" s="265" t="n">
        <v>45</v>
      </c>
      <c r="L23" s="42">
        <f>ROUNDUP((K23+J23+H23+I23)/60,0)</f>
        <v/>
      </c>
      <c r="M23" s="84" t="n"/>
    </row>
    <row r="24">
      <c r="A24" s="342" t="n">
        <v>2</v>
      </c>
      <c r="B24" s="265" t="inlineStr">
        <is>
          <t>Finishing</t>
        </is>
      </c>
      <c r="C24" s="70" t="inlineStr">
        <is>
          <t>Surface Grinding</t>
        </is>
      </c>
      <c r="D24" s="78">
        <f>(('Mould Costing'!$D$10+1)/10)*(('Mould Costing'!$E$10+1)/10)*(('Mould Costing'!$F$10+1)/10)</f>
        <v/>
      </c>
      <c r="E24" s="78">
        <f>(('Mould Costing'!$D$10)/10)*(('Mould Costing'!$E$10)/10)*(('Mould Costing'!$F$10)/10)</f>
        <v/>
      </c>
      <c r="F24" s="78">
        <f>D24-E24</f>
        <v/>
      </c>
      <c r="G24" s="78">
        <f>VLOOKUP(C24,Table15[],2,FALSE)</f>
        <v/>
      </c>
      <c r="H24" s="78">
        <f>F24/G24</f>
        <v/>
      </c>
      <c r="I24" s="265" t="n"/>
      <c r="J24" s="265" t="n">
        <v>30</v>
      </c>
      <c r="K24" s="265" t="n">
        <v>45</v>
      </c>
      <c r="L24" s="42">
        <f>ROUNDUP((K24+H24+I24+J24)/60,0)</f>
        <v/>
      </c>
    </row>
    <row r="25">
      <c r="A25" s="342" t="n">
        <v>3</v>
      </c>
      <c r="B25" s="265" t="inlineStr">
        <is>
          <t>Drilling - For Knock-out rod</t>
        </is>
      </c>
      <c r="C25" s="70" t="inlineStr">
        <is>
          <t>Radial Drilling - Hole drilling</t>
        </is>
      </c>
      <c r="D25" s="78">
        <f>3.14/4*4*4*('Mould Costing'!$F$10/10)</f>
        <v/>
      </c>
      <c r="E25" s="78" t="n">
        <v>0</v>
      </c>
      <c r="F25" s="78">
        <f>D25-E25</f>
        <v/>
      </c>
      <c r="G25" s="78">
        <f>VLOOKUP(C25,Table15[],2,FALSE)</f>
        <v/>
      </c>
      <c r="H25" s="78">
        <f>F25/G25</f>
        <v/>
      </c>
      <c r="I25" s="265" t="n"/>
      <c r="J25" s="265" t="n">
        <v>30</v>
      </c>
      <c r="K25" s="265" t="n">
        <v>45</v>
      </c>
      <c r="L25" s="42">
        <f>ROUNDUP((K25+H25+I25+J25)/60,0)</f>
        <v/>
      </c>
    </row>
    <row r="26">
      <c r="A26" s="342" t="n">
        <v>4</v>
      </c>
      <c r="B26" s="265" t="inlineStr">
        <is>
          <t>Tapping</t>
        </is>
      </c>
      <c r="C26" s="70" t="inlineStr">
        <is>
          <t>Radial Drilling - Reaming / Tapping</t>
        </is>
      </c>
      <c r="D26" s="78">
        <f>0.785*2*('Mould Costing'!F10/10)*4</f>
        <v/>
      </c>
      <c r="E26" s="78" t="n">
        <v>0</v>
      </c>
      <c r="F26" s="78">
        <f>D26-E26</f>
        <v/>
      </c>
      <c r="G26" s="78">
        <f>VLOOKUP(C26,Table15[],2,FALSE)</f>
        <v/>
      </c>
      <c r="H26" s="78">
        <f>F26/G26</f>
        <v/>
      </c>
      <c r="I26" s="265" t="n"/>
      <c r="J26" s="265" t="n">
        <v>30</v>
      </c>
      <c r="K26" s="265" t="n">
        <v>45</v>
      </c>
      <c r="L26" s="42">
        <f>ROUNDUP((K26+H26+I26+J26)/60,0)</f>
        <v/>
      </c>
    </row>
    <row r="27">
      <c r="A27" s="342" t="n">
        <v>5</v>
      </c>
      <c r="B27" s="265" t="inlineStr">
        <is>
          <t>Bench Work</t>
        </is>
      </c>
      <c r="C27" s="70" t="inlineStr">
        <is>
          <t>Radial Drilling - Reaming / Tapping</t>
        </is>
      </c>
      <c r="D27" s="78" t="n"/>
      <c r="E27" s="78" t="n"/>
      <c r="F27" s="78">
        <f>D27-E27</f>
        <v/>
      </c>
      <c r="G27" s="78">
        <f>VLOOKUP(C27,Table15[],2,FALSE)</f>
        <v/>
      </c>
      <c r="H27" s="78">
        <f>F27/G27</f>
        <v/>
      </c>
      <c r="I27" s="265" t="n"/>
      <c r="J27" s="265" t="n"/>
      <c r="K27" s="265" t="n"/>
      <c r="L27" s="42">
        <f>ROUNDUP((K27+H27+I27+J27)/60,0)</f>
        <v/>
      </c>
    </row>
    <row r="28">
      <c r="A28" s="342" t="n"/>
      <c r="B28" s="265" t="n"/>
      <c r="C28" s="70" t="inlineStr">
        <is>
          <t>Conv Milling - Facing</t>
        </is>
      </c>
      <c r="D28" s="265" t="n"/>
      <c r="E28" s="265" t="n"/>
      <c r="F28" s="265" t="n"/>
      <c r="G28" s="78">
        <f>VLOOKUP(C28,Table15[],2,FALSE)</f>
        <v/>
      </c>
      <c r="H28" s="265" t="n"/>
      <c r="I28" s="265" t="n"/>
      <c r="J28" s="265" t="n"/>
      <c r="K28" s="265" t="n"/>
      <c r="L28" s="42">
        <f>ROUNDUP((K28+H28+I28+J28)/60,0)</f>
        <v/>
      </c>
    </row>
    <row r="29">
      <c r="A29" s="342" t="n"/>
      <c r="B29" s="265" t="n"/>
      <c r="C29" s="70" t="inlineStr">
        <is>
          <t>Conv Milling - Facing</t>
        </is>
      </c>
      <c r="D29" s="265" t="n"/>
      <c r="E29" s="265" t="n"/>
      <c r="F29" s="265" t="n"/>
      <c r="G29" s="78">
        <f>VLOOKUP(C29,Table15[],2,FALSE)</f>
        <v/>
      </c>
      <c r="H29" s="265" t="n"/>
      <c r="I29" s="265" t="n"/>
      <c r="J29" s="265" t="n"/>
      <c r="K29" s="265" t="n"/>
      <c r="L29" s="42">
        <f>ROUNDUP((K29+H29+I29+J29)/60,0)</f>
        <v/>
      </c>
    </row>
    <row r="30">
      <c r="A30" s="342" t="n"/>
      <c r="B30" s="265" t="n"/>
      <c r="C30" s="70" t="inlineStr">
        <is>
          <t>Conv Milling - Facing</t>
        </is>
      </c>
      <c r="D30" s="265" t="n"/>
      <c r="E30" s="265" t="n"/>
      <c r="F30" s="265" t="n"/>
      <c r="G30" s="78">
        <f>VLOOKUP(C30,Table15[],2,FALSE)</f>
        <v/>
      </c>
      <c r="H30" s="265" t="n"/>
      <c r="I30" s="265" t="n"/>
      <c r="J30" s="265" t="n"/>
      <c r="K30" s="265" t="n"/>
      <c r="L30" s="42">
        <f>ROUNDUP((K30+H30+I30+J30)/60,0)</f>
        <v/>
      </c>
    </row>
    <row r="31">
      <c r="A31" s="342" t="n"/>
      <c r="B31" s="265" t="n"/>
      <c r="C31" s="70" t="inlineStr">
        <is>
          <t>Conv Milling - Facing</t>
        </is>
      </c>
      <c r="D31" s="265" t="n"/>
      <c r="E31" s="265" t="n"/>
      <c r="F31" s="265" t="n"/>
      <c r="G31" s="78">
        <f>VLOOKUP(C31,Table15[],2,FALSE)</f>
        <v/>
      </c>
      <c r="H31" s="265" t="n"/>
      <c r="I31" s="265" t="n"/>
      <c r="J31" s="265" t="n"/>
      <c r="K31" s="265" t="n"/>
      <c r="L31" s="42">
        <f>ROUNDUP((K31+H31+I31+J31)/60,0)</f>
        <v/>
      </c>
    </row>
    <row r="32">
      <c r="A32" s="342" t="n"/>
      <c r="B32" s="265" t="n"/>
      <c r="C32" s="70" t="inlineStr">
        <is>
          <t>Conv Milling - Facing</t>
        </is>
      </c>
      <c r="D32" s="265" t="n"/>
      <c r="E32" s="265" t="n"/>
      <c r="F32" s="265" t="n"/>
      <c r="G32" s="78">
        <f>VLOOKUP(C32,Table15[],2,FALSE)</f>
        <v/>
      </c>
      <c r="H32" s="265" t="n"/>
      <c r="I32" s="265" t="n"/>
      <c r="J32" s="265" t="n"/>
      <c r="K32" s="265" t="n"/>
      <c r="L32" s="42">
        <f>ROUNDUP((K32+H32+I32+J32)/60,0)</f>
        <v/>
      </c>
    </row>
    <row r="33">
      <c r="A33" s="342" t="n"/>
      <c r="B33" s="265" t="n"/>
      <c r="C33" s="70" t="inlineStr">
        <is>
          <t>Conv Milling - Facing</t>
        </is>
      </c>
      <c r="D33" s="265" t="n"/>
      <c r="E33" s="265" t="n"/>
      <c r="F33" s="265" t="n"/>
      <c r="G33" s="78">
        <f>VLOOKUP(C33,Table15[],2,FALSE)</f>
        <v/>
      </c>
      <c r="H33" s="265" t="n"/>
      <c r="I33" s="265" t="n"/>
      <c r="J33" s="265" t="n"/>
      <c r="K33" s="265" t="n"/>
      <c r="L33" s="42">
        <f>ROUNDUP((K33+H33+I33+J33)/60,0)</f>
        <v/>
      </c>
    </row>
    <row r="34">
      <c r="A34" s="342" t="n"/>
      <c r="B34" s="265" t="n"/>
      <c r="C34" s="70" t="inlineStr">
        <is>
          <t>Conv Milling - Facing</t>
        </is>
      </c>
      <c r="D34" s="265" t="n"/>
      <c r="E34" s="265" t="n"/>
      <c r="F34" s="265" t="n"/>
      <c r="G34" s="78">
        <f>VLOOKUP(C34,Table15[],2,FALSE)</f>
        <v/>
      </c>
      <c r="H34" s="265" t="n"/>
      <c r="I34" s="265" t="n"/>
      <c r="J34" s="265" t="n"/>
      <c r="K34" s="265" t="n"/>
      <c r="L34" s="42">
        <f>ROUNDUP((K34+H34+I34+J34)/60,0)</f>
        <v/>
      </c>
    </row>
    <row r="35">
      <c r="A35" s="342" t="n"/>
      <c r="B35" s="265" t="n"/>
      <c r="C35" s="70" t="inlineStr">
        <is>
          <t>Conv Milling - Facing</t>
        </is>
      </c>
      <c r="D35" s="265" t="n"/>
      <c r="E35" s="265" t="n"/>
      <c r="F35" s="265" t="n"/>
      <c r="G35" s="78">
        <f>VLOOKUP(C35,Table15[],2,FALSE)</f>
        <v/>
      </c>
      <c r="H35" s="265" t="n"/>
      <c r="I35" s="265" t="n"/>
      <c r="J35" s="265" t="n"/>
      <c r="K35" s="265" t="n"/>
      <c r="L35" s="42">
        <f>ROUNDUP((K35+H35+I35+J35)/60,0)</f>
        <v/>
      </c>
    </row>
    <row r="36">
      <c r="A36" s="342" t="n"/>
      <c r="B36" s="265" t="n"/>
      <c r="C36" s="70" t="inlineStr">
        <is>
          <t>Conv Milling - Facing</t>
        </is>
      </c>
      <c r="D36" s="265" t="n"/>
      <c r="E36" s="265" t="n"/>
      <c r="F36" s="265" t="n"/>
      <c r="G36" s="78">
        <f>VLOOKUP(C36,Table15[],2,FALSE)</f>
        <v/>
      </c>
      <c r="H36" s="265" t="n"/>
      <c r="I36" s="265" t="n"/>
      <c r="J36" s="265" t="n"/>
      <c r="K36" s="265" t="n"/>
      <c r="L36" s="42">
        <f>ROUNDUP((K36+H36+I36+J36)/60,0)</f>
        <v/>
      </c>
    </row>
    <row r="37">
      <c r="A37" s="342" t="n"/>
      <c r="B37" s="265" t="n"/>
      <c r="C37" s="70" t="inlineStr">
        <is>
          <t>Conv Milling - Facing</t>
        </is>
      </c>
      <c r="D37" s="265" t="n"/>
      <c r="E37" s="265" t="n"/>
      <c r="F37" s="265" t="n"/>
      <c r="G37" s="78">
        <f>VLOOKUP(C37,Table15[],2,FALSE)</f>
        <v/>
      </c>
      <c r="H37" s="265" t="n"/>
      <c r="I37" s="265" t="n"/>
      <c r="J37" s="265" t="n"/>
      <c r="K37" s="265" t="n"/>
      <c r="L37" s="42">
        <f>ROUNDUP((K37+H37+I37+J37)/60,0)</f>
        <v/>
      </c>
    </row>
    <row r="38">
      <c r="A38" s="457" t="n"/>
      <c r="B38" s="79" t="n"/>
      <c r="C38" s="79" t="n"/>
      <c r="D38" s="79" t="n"/>
      <c r="E38" s="79" t="n"/>
      <c r="F38" s="79" t="n"/>
      <c r="G38" s="80" t="n"/>
      <c r="H38" s="79" t="n"/>
      <c r="I38" s="79" t="n"/>
      <c r="J38" s="79" t="n"/>
      <c r="K38" s="79" t="n"/>
      <c r="L38" s="44">
        <f>ROUNDUP((K38+H38+I38+J38)/60,0)</f>
        <v/>
      </c>
    </row>
    <row r="40">
      <c r="A40" s="571" t="inlineStr">
        <is>
          <t>Spacer Block</t>
        </is>
      </c>
      <c r="C40" s="74">
        <f>SUM(L42:L57)</f>
        <v/>
      </c>
      <c r="D40" s="74" t="n"/>
      <c r="E40" s="74" t="n"/>
    </row>
    <row r="41" ht="16.5" customHeight="1" s="450">
      <c r="A41" s="75" t="inlineStr">
        <is>
          <t>Opn No</t>
        </is>
      </c>
      <c r="B41" s="76" t="inlineStr">
        <is>
          <t>Operation Name</t>
        </is>
      </c>
      <c r="C41" s="76" t="inlineStr">
        <is>
          <t>M/c Selected</t>
        </is>
      </c>
      <c r="D41" s="77" t="inlineStr">
        <is>
          <t>Initial Volume in cm3</t>
        </is>
      </c>
      <c r="E41" s="77" t="inlineStr">
        <is>
          <t>Final Volume in cm3</t>
        </is>
      </c>
      <c r="F41" s="77" t="inlineStr">
        <is>
          <t>Material to be removed in cm3</t>
        </is>
      </c>
      <c r="G41" s="77" t="inlineStr">
        <is>
          <t>Standard MRR in cm3 per min</t>
        </is>
      </c>
      <c r="H41" s="77" t="inlineStr">
        <is>
          <t>Cycle Time in Mins</t>
        </is>
      </c>
      <c r="I41" s="77" t="inlineStr">
        <is>
          <t>Programming</t>
        </is>
      </c>
      <c r="J41" s="77" t="inlineStr">
        <is>
          <t>Tool Change Time</t>
        </is>
      </c>
      <c r="K41" s="77" t="inlineStr">
        <is>
          <t>Fixture Set-up time in mins</t>
        </is>
      </c>
      <c r="L41" s="85" t="inlineStr">
        <is>
          <t>M/c Time</t>
        </is>
      </c>
    </row>
    <row r="42">
      <c r="A42" s="342" t="n">
        <v>1</v>
      </c>
      <c r="B42" s="70" t="inlineStr">
        <is>
          <t>Rough Milling - Sizing</t>
        </is>
      </c>
      <c r="C42" s="70" t="inlineStr">
        <is>
          <t>Conv Milling - Facing</t>
        </is>
      </c>
      <c r="D42" s="78">
        <f>('Mould Costing'!$D$11+30)*('Mould Costing'!$E$11+30)*('Mould Costing'!$F$11+10)/1000</f>
        <v/>
      </c>
      <c r="E42" s="78">
        <f>('Mould Costing'!$D$11)*('Mould Costing'!$E$11)*('Mould Costing'!$F$11)/1000</f>
        <v/>
      </c>
      <c r="F42" s="78">
        <f>D42-E42</f>
        <v/>
      </c>
      <c r="G42" s="78">
        <f>VLOOKUP(C42,Table15[],2,FALSE)</f>
        <v/>
      </c>
      <c r="H42" s="81">
        <f>F42/G42</f>
        <v/>
      </c>
      <c r="I42" s="265" t="n"/>
      <c r="J42" s="265" t="n">
        <v>30</v>
      </c>
      <c r="K42" s="265" t="n">
        <v>45</v>
      </c>
      <c r="L42" s="42">
        <f>ROUNDUP((K42+H42+I42+J42)/60,0)</f>
        <v/>
      </c>
    </row>
    <row r="43">
      <c r="A43" s="342" t="n">
        <v>2</v>
      </c>
      <c r="B43" s="265" t="inlineStr">
        <is>
          <t>Finishing</t>
        </is>
      </c>
      <c r="C43" s="70" t="inlineStr">
        <is>
          <t>Surface Grinding</t>
        </is>
      </c>
      <c r="D43" s="78">
        <f>('Mould Costing'!$D$11+1)*('Mould Costing'!$E$11+1)*('Mould Costing'!$F$11+1)/1000</f>
        <v/>
      </c>
      <c r="E43" s="78">
        <f>('Mould Costing'!$D$11)*('Mould Costing'!$E$11)*('Mould Costing'!$F$11)/1000</f>
        <v/>
      </c>
      <c r="F43" s="78">
        <f>D43-E43</f>
        <v/>
      </c>
      <c r="G43" s="78">
        <f>VLOOKUP(C43,Table15[],2,FALSE)</f>
        <v/>
      </c>
      <c r="H43" s="78">
        <f>F43/G43</f>
        <v/>
      </c>
      <c r="I43" s="265" t="n"/>
      <c r="J43" s="265" t="n">
        <v>30</v>
      </c>
      <c r="K43" s="265" t="n">
        <v>45</v>
      </c>
      <c r="L43" s="42">
        <f>ROUNDUP((K43+H43+I43+J43)/60,0)</f>
        <v/>
      </c>
    </row>
    <row r="44">
      <c r="A44" s="342" t="n">
        <v>3</v>
      </c>
      <c r="B44" s="265" t="inlineStr">
        <is>
          <t>Drilling - As a air vent</t>
        </is>
      </c>
      <c r="C44" s="70" t="inlineStr">
        <is>
          <t>Radial Drilling - Hole drilling</t>
        </is>
      </c>
      <c r="D44" s="78">
        <f>3.14/4*4*4*('Mould Costing'!F11/10)</f>
        <v/>
      </c>
      <c r="E44" s="265" t="n">
        <v>0</v>
      </c>
      <c r="F44" s="78">
        <f>D44-E44</f>
        <v/>
      </c>
      <c r="G44" s="78">
        <f>VLOOKUP(C44,Table15[],2,FALSE)</f>
        <v/>
      </c>
      <c r="H44" s="78">
        <f>F44/G44</f>
        <v/>
      </c>
      <c r="I44" s="265" t="n"/>
      <c r="J44" s="265" t="n">
        <v>30</v>
      </c>
      <c r="K44" s="265" t="n">
        <v>45</v>
      </c>
      <c r="L44" s="42">
        <f>ROUNDUP((K44+H44+I44+J44)/60,0)</f>
        <v/>
      </c>
    </row>
    <row r="45">
      <c r="A45" s="342" t="n">
        <v>4</v>
      </c>
      <c r="B45" s="265" t="inlineStr">
        <is>
          <t>Drilling - For Clamping</t>
        </is>
      </c>
      <c r="C45" s="70" t="inlineStr">
        <is>
          <t>Radial Drilling - Hole drilling</t>
        </is>
      </c>
      <c r="D45" s="78">
        <f>3.14/4*2*2*('Mould Costing'!F12/10)</f>
        <v/>
      </c>
      <c r="E45" s="265" t="n">
        <v>0</v>
      </c>
      <c r="F45" s="78">
        <f>D45-E45</f>
        <v/>
      </c>
      <c r="G45" s="78">
        <f>VLOOKUP(C45,Table15[],2,FALSE)</f>
        <v/>
      </c>
      <c r="H45" s="78">
        <f>F45/G45</f>
        <v/>
      </c>
      <c r="I45" s="265" t="n"/>
      <c r="J45" s="265" t="n">
        <v>30</v>
      </c>
      <c r="K45" s="265" t="n">
        <v>45</v>
      </c>
      <c r="L45" s="42">
        <f>ROUNDUP((K45+H45+I45+J45)/60,0)</f>
        <v/>
      </c>
    </row>
    <row r="46">
      <c r="A46" s="437" t="n"/>
      <c r="B46" s="265" t="n"/>
      <c r="C46" s="70" t="n"/>
      <c r="D46" s="265" t="n"/>
      <c r="E46" s="265" t="n"/>
      <c r="F46" s="265" t="n"/>
      <c r="G46" s="265" t="n"/>
      <c r="H46" s="265" t="n"/>
      <c r="I46" s="265" t="n"/>
      <c r="J46" s="265" t="n"/>
      <c r="K46" s="265" t="n"/>
      <c r="L46" s="86" t="n"/>
    </row>
    <row r="47">
      <c r="A47" s="437" t="n"/>
      <c r="B47" s="265" t="n"/>
      <c r="C47" s="70" t="n"/>
      <c r="D47" s="265" t="n"/>
      <c r="E47" s="265" t="n"/>
      <c r="F47" s="265" t="n"/>
      <c r="G47" s="265" t="n"/>
      <c r="H47" s="265" t="n"/>
      <c r="I47" s="265" t="n"/>
      <c r="J47" s="265" t="n"/>
      <c r="K47" s="265" t="n"/>
      <c r="L47" s="86" t="n"/>
    </row>
    <row r="48">
      <c r="A48" s="437" t="n"/>
      <c r="B48" s="265" t="n"/>
      <c r="C48" s="70" t="n"/>
      <c r="D48" s="265" t="n"/>
      <c r="E48" s="265" t="n"/>
      <c r="F48" s="265" t="n"/>
      <c r="G48" s="265" t="n"/>
      <c r="H48" s="265" t="n"/>
      <c r="I48" s="265" t="n"/>
      <c r="J48" s="265" t="n"/>
      <c r="K48" s="265" t="n"/>
      <c r="L48" s="86" t="n"/>
    </row>
    <row r="49">
      <c r="A49" s="437" t="n"/>
      <c r="B49" s="265" t="n"/>
      <c r="C49" s="70" t="n"/>
      <c r="D49" s="265" t="n"/>
      <c r="E49" s="265" t="n"/>
      <c r="F49" s="265" t="n"/>
      <c r="G49" s="265" t="n"/>
      <c r="H49" s="265" t="n"/>
      <c r="I49" s="265" t="n"/>
      <c r="J49" s="265" t="n"/>
      <c r="K49" s="265" t="n"/>
      <c r="L49" s="86" t="n"/>
    </row>
    <row r="50">
      <c r="A50" s="437" t="n"/>
      <c r="B50" s="265" t="n"/>
      <c r="C50" s="70" t="n"/>
      <c r="D50" s="265" t="n"/>
      <c r="E50" s="265" t="n"/>
      <c r="F50" s="265" t="n"/>
      <c r="G50" s="265" t="n"/>
      <c r="H50" s="265" t="n"/>
      <c r="I50" s="265" t="n"/>
      <c r="J50" s="265" t="n"/>
      <c r="K50" s="265" t="n"/>
      <c r="L50" s="86" t="n"/>
    </row>
    <row r="51">
      <c r="A51" s="437" t="n"/>
      <c r="B51" s="265" t="n"/>
      <c r="C51" s="70" t="n"/>
      <c r="D51" s="265" t="n"/>
      <c r="E51" s="265" t="n"/>
      <c r="F51" s="265" t="n"/>
      <c r="G51" s="265" t="n"/>
      <c r="H51" s="265" t="n"/>
      <c r="I51" s="265" t="n"/>
      <c r="J51" s="265" t="n"/>
      <c r="K51" s="265" t="n"/>
      <c r="L51" s="86" t="n"/>
    </row>
    <row r="52">
      <c r="A52" s="437" t="n"/>
      <c r="B52" s="265" t="n"/>
      <c r="C52" s="70" t="n"/>
      <c r="D52" s="265" t="n"/>
      <c r="E52" s="265" t="n"/>
      <c r="F52" s="265" t="n"/>
      <c r="G52" s="265" t="n"/>
      <c r="H52" s="265" t="n"/>
      <c r="I52" s="265" t="n"/>
      <c r="J52" s="265" t="n"/>
      <c r="K52" s="265" t="n"/>
      <c r="L52" s="86" t="n"/>
    </row>
    <row r="53">
      <c r="A53" s="437" t="n"/>
      <c r="B53" s="265" t="n"/>
      <c r="C53" s="70" t="n"/>
      <c r="D53" s="265" t="n"/>
      <c r="E53" s="265" t="n"/>
      <c r="F53" s="265" t="n"/>
      <c r="G53" s="265" t="n"/>
      <c r="H53" s="265" t="n"/>
      <c r="I53" s="265" t="n"/>
      <c r="J53" s="265" t="n"/>
      <c r="K53" s="265" t="n"/>
      <c r="L53" s="86" t="n"/>
    </row>
    <row r="54">
      <c r="A54" s="437" t="n"/>
      <c r="B54" s="265" t="n"/>
      <c r="C54" s="70" t="n"/>
      <c r="D54" s="265" t="n"/>
      <c r="E54" s="265" t="n"/>
      <c r="F54" s="265" t="n"/>
      <c r="G54" s="265" t="n"/>
      <c r="H54" s="265" t="n"/>
      <c r="I54" s="265" t="n"/>
      <c r="J54" s="265" t="n"/>
      <c r="K54" s="265" t="n"/>
      <c r="L54" s="86" t="n"/>
    </row>
    <row r="55">
      <c r="A55" s="437" t="n"/>
      <c r="B55" s="265" t="n"/>
      <c r="C55" s="70" t="n"/>
      <c r="D55" s="265" t="n"/>
      <c r="E55" s="265" t="n"/>
      <c r="F55" s="265" t="n"/>
      <c r="G55" s="265" t="n"/>
      <c r="H55" s="265" t="n"/>
      <c r="I55" s="265" t="n"/>
      <c r="J55" s="265" t="n"/>
      <c r="K55" s="265" t="n"/>
      <c r="L55" s="86" t="n"/>
    </row>
    <row r="56">
      <c r="A56" s="437" t="n"/>
      <c r="B56" s="265" t="n"/>
      <c r="C56" s="70" t="n"/>
      <c r="D56" s="265" t="n"/>
      <c r="E56" s="265" t="n"/>
      <c r="F56" s="265" t="n"/>
      <c r="G56" s="265" t="n"/>
      <c r="H56" s="265" t="n"/>
      <c r="I56" s="265" t="n"/>
      <c r="J56" s="265" t="n"/>
      <c r="K56" s="265" t="n"/>
      <c r="L56" s="86" t="n"/>
    </row>
    <row r="57">
      <c r="A57" s="457" t="n"/>
      <c r="B57" s="79" t="n"/>
      <c r="C57" s="79" t="n"/>
      <c r="D57" s="79" t="n"/>
      <c r="E57" s="79" t="n"/>
      <c r="F57" s="79" t="n"/>
      <c r="G57" s="79" t="n"/>
      <c r="H57" s="79" t="n"/>
      <c r="I57" s="79" t="n"/>
      <c r="J57" s="79" t="n"/>
      <c r="K57" s="79" t="n"/>
      <c r="L57" s="87" t="n"/>
    </row>
    <row r="59">
      <c r="A59" s="571" t="inlineStr">
        <is>
          <t>Ejector Retainer Plate</t>
        </is>
      </c>
      <c r="C59" s="74">
        <f>SUM(L61:L76)</f>
        <v/>
      </c>
      <c r="D59" s="74" t="n"/>
      <c r="E59" s="74" t="n"/>
    </row>
    <row r="60" ht="16.5" customHeight="1" s="450">
      <c r="A60" s="75" t="inlineStr">
        <is>
          <t>Opn No</t>
        </is>
      </c>
      <c r="B60" s="76" t="inlineStr">
        <is>
          <t>Operation Name</t>
        </is>
      </c>
      <c r="C60" s="76" t="inlineStr">
        <is>
          <t>M/c Selected</t>
        </is>
      </c>
      <c r="D60" s="77" t="inlineStr">
        <is>
          <t>Initial Volume in cm3</t>
        </is>
      </c>
      <c r="E60" s="77" t="inlineStr">
        <is>
          <t>Final Volume in cm3</t>
        </is>
      </c>
      <c r="F60" s="77" t="inlineStr">
        <is>
          <t>Material to be removed in cm3</t>
        </is>
      </c>
      <c r="G60" s="77" t="inlineStr">
        <is>
          <t>Standard MRR in cm3 per min</t>
        </is>
      </c>
      <c r="H60" s="77" t="inlineStr">
        <is>
          <t>Cycle Time in Mins</t>
        </is>
      </c>
      <c r="I60" s="77" t="inlineStr">
        <is>
          <t>Programming</t>
        </is>
      </c>
      <c r="J60" s="77" t="inlineStr">
        <is>
          <t>Tool Change Time</t>
        </is>
      </c>
      <c r="K60" s="77" t="inlineStr">
        <is>
          <t>Fixture Set-up time in mins</t>
        </is>
      </c>
      <c r="L60" s="85" t="inlineStr">
        <is>
          <t>M/c Time</t>
        </is>
      </c>
    </row>
    <row r="61">
      <c r="A61" s="342" t="n">
        <v>1</v>
      </c>
      <c r="B61" s="70" t="inlineStr">
        <is>
          <t>Rough Milling - Sizing</t>
        </is>
      </c>
      <c r="C61" s="70" t="inlineStr">
        <is>
          <t>Conv Milling - Facing</t>
        </is>
      </c>
      <c r="D61" s="78">
        <f>('Mould Costing'!$D$12+10)*('Mould Costing'!$E$12+10)*('Mould Costing'!$F$12+10)/1000</f>
        <v/>
      </c>
      <c r="E61" s="78">
        <f>('Mould Costing'!$D$12)*('Mould Costing'!$E$12)*('Mould Costing'!$F$12)/1000</f>
        <v/>
      </c>
      <c r="F61" s="78">
        <f>D61-E61</f>
        <v/>
      </c>
      <c r="G61" s="78">
        <f>VLOOKUP(C61,Table15[],2,FALSE)</f>
        <v/>
      </c>
      <c r="H61" s="81">
        <f>F61/G61</f>
        <v/>
      </c>
      <c r="I61" s="265" t="n"/>
      <c r="J61" s="265" t="n">
        <v>30</v>
      </c>
      <c r="K61" s="265" t="n">
        <v>45</v>
      </c>
      <c r="L61" s="42">
        <f>ROUNDUP((K61+H61+I61+J61)/60,0)</f>
        <v/>
      </c>
    </row>
    <row r="62">
      <c r="A62" s="342" t="n">
        <v>2</v>
      </c>
      <c r="B62" s="265" t="inlineStr">
        <is>
          <t>Finishing</t>
        </is>
      </c>
      <c r="C62" s="70" t="inlineStr">
        <is>
          <t>Surface Grinding</t>
        </is>
      </c>
      <c r="D62" s="78">
        <f>('Mould Costing'!$D$12+1)*('Mould Costing'!$E$12+1)*('Mould Costing'!$F$12+1)/1000</f>
        <v/>
      </c>
      <c r="E62" s="78">
        <f>('Mould Costing'!$D$12)*('Mould Costing'!$E$12)*('Mould Costing'!$F$12)/1000</f>
        <v/>
      </c>
      <c r="F62" s="78">
        <f>D62-E62</f>
        <v/>
      </c>
      <c r="G62" s="78">
        <f>VLOOKUP(C62,Table15[],2,FALSE)</f>
        <v/>
      </c>
      <c r="H62" s="78">
        <f>F62/G62</f>
        <v/>
      </c>
      <c r="I62" s="265" t="n"/>
      <c r="J62" s="265" t="n">
        <v>30</v>
      </c>
      <c r="K62" s="265" t="n">
        <v>45</v>
      </c>
      <c r="L62" s="42">
        <f>ROUNDUP((K62+H62+I62+J62)/60,0)</f>
        <v/>
      </c>
    </row>
    <row r="63">
      <c r="A63" s="342" t="n">
        <v>3</v>
      </c>
      <c r="B63" s="265" t="inlineStr">
        <is>
          <t>Drilling - For Ejector Pins</t>
        </is>
      </c>
      <c r="C63" s="70" t="inlineStr">
        <is>
          <t>Radial Drilling - Hole drilling</t>
        </is>
      </c>
      <c r="D63" s="78">
        <f>3.14*1.5*1.5*('Mould Costing'!F12/10)*4</f>
        <v/>
      </c>
      <c r="E63" s="265" t="n">
        <v>0</v>
      </c>
      <c r="F63" s="78">
        <f>D63-E63</f>
        <v/>
      </c>
      <c r="G63" s="78">
        <f>VLOOKUP(C63,Table15[],2,FALSE)</f>
        <v/>
      </c>
      <c r="H63" s="78">
        <f>F63/G63</f>
        <v/>
      </c>
      <c r="I63" s="265" t="n"/>
      <c r="J63" s="265" t="n">
        <v>30</v>
      </c>
      <c r="K63" s="265" t="n">
        <v>45</v>
      </c>
      <c r="L63" s="42">
        <f>ROUNDUP((K63+H63+I63+J63)/60,0)</f>
        <v/>
      </c>
    </row>
    <row r="64">
      <c r="A64" s="342" t="n">
        <v>4</v>
      </c>
      <c r="B64" s="265" t="inlineStr">
        <is>
          <t>Boring - For Ejector Pins Collar</t>
        </is>
      </c>
      <c r="C64" s="70" t="inlineStr">
        <is>
          <t>Conv Milling - End Milling</t>
        </is>
      </c>
      <c r="D64" s="78">
        <f>3.14/4*2*2*1*4</f>
        <v/>
      </c>
      <c r="E64" s="265" t="n">
        <v>0</v>
      </c>
      <c r="F64" s="78">
        <f>D64-E64</f>
        <v/>
      </c>
      <c r="G64" s="78">
        <f>VLOOKUP(C64,Table15[],2,FALSE)</f>
        <v/>
      </c>
      <c r="H64" s="78">
        <f>F64/G64</f>
        <v/>
      </c>
      <c r="I64" s="265" t="n"/>
      <c r="J64" s="265" t="n">
        <v>30</v>
      </c>
      <c r="K64" s="265" t="n">
        <v>45</v>
      </c>
      <c r="L64" s="42">
        <f>ROUNDUP((K64+H64+I64+J64)/60,0)</f>
        <v/>
      </c>
    </row>
    <row r="65">
      <c r="A65" s="342" t="n">
        <v>5</v>
      </c>
      <c r="B65" s="265" t="inlineStr">
        <is>
          <t>Tapping</t>
        </is>
      </c>
      <c r="C65" s="70" t="inlineStr">
        <is>
          <t>Radial Drilling - Reaming / Tapping</t>
        </is>
      </c>
      <c r="D65" s="78">
        <f>0.785*0.6*0.6*'Mould Costing'!F12</f>
        <v/>
      </c>
      <c r="E65" s="265" t="n">
        <v>0</v>
      </c>
      <c r="F65" s="78">
        <f>D65-E65</f>
        <v/>
      </c>
      <c r="G65" s="78">
        <f>VLOOKUP(C65,Table15[],2,FALSE)</f>
        <v/>
      </c>
      <c r="H65" s="78">
        <f>F65/G65</f>
        <v/>
      </c>
      <c r="I65" s="265" t="n"/>
      <c r="J65" s="265" t="n">
        <v>30</v>
      </c>
      <c r="K65" s="265" t="n">
        <v>45</v>
      </c>
      <c r="L65" s="42">
        <f>ROUNDUP((K65+H65+I65+J65)/60,0)</f>
        <v/>
      </c>
    </row>
    <row r="66">
      <c r="A66" s="437" t="n">
        <v>6</v>
      </c>
      <c r="B66" s="265" t="inlineStr">
        <is>
          <t>EJector pin Hole</t>
        </is>
      </c>
      <c r="C66" s="70" t="inlineStr">
        <is>
          <t>CNC EDM</t>
        </is>
      </c>
      <c r="D66" s="78">
        <f>50%*D63</f>
        <v/>
      </c>
      <c r="E66" s="265" t="n">
        <v>0</v>
      </c>
      <c r="F66" s="78">
        <f>D66-E66</f>
        <v/>
      </c>
      <c r="G66" s="78">
        <f>VLOOKUP(C66,Table15[],2,FALSE)</f>
        <v/>
      </c>
      <c r="H66" s="78">
        <f>F66/G66</f>
        <v/>
      </c>
      <c r="I66" s="265" t="n">
        <v>30</v>
      </c>
      <c r="J66" s="265" t="n"/>
      <c r="K66" s="265" t="n"/>
      <c r="L66" s="42">
        <f>ROUNDUP((K66+H66+I66+J66)/60,0)</f>
        <v/>
      </c>
    </row>
    <row r="67">
      <c r="A67" s="437" t="n"/>
      <c r="B67" s="265" t="n"/>
      <c r="C67" s="70" t="n"/>
      <c r="D67" s="265" t="n"/>
      <c r="E67" s="265" t="n"/>
      <c r="F67" s="78">
        <f>D67-E67</f>
        <v/>
      </c>
      <c r="G67" s="78">
        <f>VLOOKUP(C67,Table15[],2,FALSE)</f>
        <v/>
      </c>
      <c r="H67" s="78">
        <f>F67/G67</f>
        <v/>
      </c>
      <c r="I67" s="265" t="n"/>
      <c r="J67" s="265" t="n"/>
      <c r="K67" s="265" t="n"/>
      <c r="L67" s="42">
        <f>ROUNDUP((K67+H67+I67+J67)/60,0)</f>
        <v/>
      </c>
    </row>
    <row r="68">
      <c r="A68" s="437" t="n"/>
      <c r="B68" s="265" t="n"/>
      <c r="C68" s="70" t="n"/>
      <c r="D68" s="265" t="n"/>
      <c r="E68" s="265" t="n"/>
      <c r="F68" s="78">
        <f>D68-E68</f>
        <v/>
      </c>
      <c r="G68" s="78">
        <f>VLOOKUP(C68,Table15[],2,FALSE)</f>
        <v/>
      </c>
      <c r="H68" s="78">
        <f>F68/G68</f>
        <v/>
      </c>
      <c r="I68" s="265" t="n"/>
      <c r="J68" s="265" t="n"/>
      <c r="K68" s="265" t="n"/>
      <c r="L68" s="42">
        <f>ROUNDUP((K68+H68+I68+J68)/60,0)</f>
        <v/>
      </c>
    </row>
    <row r="69">
      <c r="A69" s="437" t="n"/>
      <c r="B69" s="265" t="n"/>
      <c r="C69" s="70" t="n"/>
      <c r="D69" s="265" t="n"/>
      <c r="E69" s="265" t="n"/>
      <c r="F69" s="78">
        <f>D69-E69</f>
        <v/>
      </c>
      <c r="G69" s="78">
        <f>VLOOKUP(C69,Table15[],2,FALSE)</f>
        <v/>
      </c>
      <c r="H69" s="78">
        <f>F69/G69</f>
        <v/>
      </c>
      <c r="I69" s="265" t="n"/>
      <c r="J69" s="265" t="n"/>
      <c r="K69" s="265" t="n"/>
      <c r="L69" s="42">
        <f>ROUNDUP((K69+H69+I69+J69)/60,0)</f>
        <v/>
      </c>
    </row>
    <row r="70">
      <c r="A70" s="437" t="n"/>
      <c r="B70" s="265" t="n"/>
      <c r="C70" s="70" t="n"/>
      <c r="D70" s="265" t="n"/>
      <c r="E70" s="265" t="n"/>
      <c r="F70" s="78">
        <f>D70-E70</f>
        <v/>
      </c>
      <c r="G70" s="78">
        <f>VLOOKUP(C70,Table15[],2,FALSE)</f>
        <v/>
      </c>
      <c r="H70" s="78">
        <f>F70/G70</f>
        <v/>
      </c>
      <c r="I70" s="265" t="n"/>
      <c r="J70" s="265" t="n"/>
      <c r="K70" s="265" t="n"/>
      <c r="L70" s="42">
        <f>ROUNDUP((K70+H70+I70+J70)/60,0)</f>
        <v/>
      </c>
    </row>
    <row r="71">
      <c r="A71" s="437" t="n"/>
      <c r="B71" s="265" t="n"/>
      <c r="C71" s="70" t="n"/>
      <c r="D71" s="265" t="n"/>
      <c r="E71" s="265" t="n"/>
      <c r="F71" s="78">
        <f>D71-E71</f>
        <v/>
      </c>
      <c r="G71" s="78">
        <f>VLOOKUP(C71,Table15[],2,FALSE)</f>
        <v/>
      </c>
      <c r="H71" s="78">
        <f>F71/G71</f>
        <v/>
      </c>
      <c r="I71" s="265" t="n"/>
      <c r="J71" s="265" t="n"/>
      <c r="K71" s="265" t="n"/>
      <c r="L71" s="42">
        <f>ROUNDUP((K71+H71+I71+J71)/60,0)</f>
        <v/>
      </c>
    </row>
    <row r="72">
      <c r="A72" s="437" t="n"/>
      <c r="B72" s="265" t="n"/>
      <c r="C72" s="70" t="n"/>
      <c r="D72" s="265" t="n"/>
      <c r="E72" s="265" t="n"/>
      <c r="F72" s="78">
        <f>D72-E72</f>
        <v/>
      </c>
      <c r="G72" s="78">
        <f>VLOOKUP(C72,Table15[],2,FALSE)</f>
        <v/>
      </c>
      <c r="H72" s="78">
        <f>F72/G72</f>
        <v/>
      </c>
      <c r="I72" s="265" t="n"/>
      <c r="J72" s="265" t="n"/>
      <c r="K72" s="265" t="n"/>
      <c r="L72" s="42">
        <f>ROUNDUP((K72+H72+I72+J72)/60,0)</f>
        <v/>
      </c>
    </row>
    <row r="73">
      <c r="A73" s="437" t="n"/>
      <c r="B73" s="265" t="n"/>
      <c r="C73" s="70" t="n"/>
      <c r="D73" s="265" t="n"/>
      <c r="E73" s="265" t="n"/>
      <c r="F73" s="78">
        <f>D73-E73</f>
        <v/>
      </c>
      <c r="G73" s="78">
        <f>VLOOKUP(C73,Table15[],2,FALSE)</f>
        <v/>
      </c>
      <c r="H73" s="78">
        <f>F73/G73</f>
        <v/>
      </c>
      <c r="I73" s="265" t="n"/>
      <c r="J73" s="265" t="n"/>
      <c r="K73" s="265" t="n"/>
      <c r="L73" s="42">
        <f>ROUNDUP((K73+H73+I73+J73)/60,0)</f>
        <v/>
      </c>
    </row>
    <row r="74">
      <c r="A74" s="437" t="n"/>
      <c r="B74" s="265" t="n"/>
      <c r="C74" s="70" t="n"/>
      <c r="D74" s="265" t="n"/>
      <c r="E74" s="265" t="n"/>
      <c r="F74" s="78">
        <f>D74-E74</f>
        <v/>
      </c>
      <c r="G74" s="78">
        <f>VLOOKUP(C74,Table15[],2,FALSE)</f>
        <v/>
      </c>
      <c r="H74" s="78">
        <f>F74/G74</f>
        <v/>
      </c>
      <c r="I74" s="265" t="n"/>
      <c r="J74" s="265" t="n"/>
      <c r="K74" s="265" t="n"/>
      <c r="L74" s="42">
        <f>ROUNDUP((K74+H74+I74+J74)/60,0)</f>
        <v/>
      </c>
    </row>
    <row r="75">
      <c r="A75" s="437" t="n"/>
      <c r="B75" s="265" t="n"/>
      <c r="C75" s="70" t="n"/>
      <c r="D75" s="265" t="n"/>
      <c r="E75" s="265" t="n"/>
      <c r="F75" s="78">
        <f>D75-E75</f>
        <v/>
      </c>
      <c r="G75" s="78">
        <f>VLOOKUP(C75,Table15[],2,FALSE)</f>
        <v/>
      </c>
      <c r="H75" s="78">
        <f>F75/G75</f>
        <v/>
      </c>
      <c r="I75" s="265" t="n"/>
      <c r="J75" s="265" t="n"/>
      <c r="K75" s="265" t="n"/>
      <c r="L75" s="42">
        <f>ROUNDUP((K75+H75+I75+J75)/60,0)</f>
        <v/>
      </c>
    </row>
    <row r="76">
      <c r="A76" s="457" t="n"/>
      <c r="B76" s="79" t="n"/>
      <c r="C76" s="79" t="n"/>
      <c r="D76" s="79" t="n"/>
      <c r="E76" s="79" t="n"/>
      <c r="F76" s="78">
        <f>D76-E76</f>
        <v/>
      </c>
      <c r="G76" s="78">
        <f>VLOOKUP(C76,Table15[],2,FALSE)</f>
        <v/>
      </c>
      <c r="H76" s="78">
        <f>F76/G76</f>
        <v/>
      </c>
      <c r="I76" s="79" t="n"/>
      <c r="J76" s="79" t="n"/>
      <c r="K76" s="79" t="n"/>
      <c r="L76" s="42">
        <f>ROUNDUP((K76+H76+I76+J76)/60,0)</f>
        <v/>
      </c>
    </row>
    <row r="78">
      <c r="A78" s="571" t="inlineStr">
        <is>
          <t>Ejector Back Plate</t>
        </is>
      </c>
      <c r="C78" s="74">
        <f>SUM(L80:L95)</f>
        <v/>
      </c>
      <c r="D78" s="74" t="n"/>
      <c r="E78" s="74" t="n"/>
    </row>
    <row r="79" ht="16.5" customHeight="1" s="450">
      <c r="A79" s="75" t="inlineStr">
        <is>
          <t>Opn No</t>
        </is>
      </c>
      <c r="B79" s="76" t="inlineStr">
        <is>
          <t>Operation Name</t>
        </is>
      </c>
      <c r="C79" s="76" t="inlineStr">
        <is>
          <t>M/c Selected</t>
        </is>
      </c>
      <c r="D79" s="77" t="inlineStr">
        <is>
          <t>Initial Volume in cm3</t>
        </is>
      </c>
      <c r="E79" s="77" t="inlineStr">
        <is>
          <t>Final Volume in cm3</t>
        </is>
      </c>
      <c r="F79" s="77" t="inlineStr">
        <is>
          <t>Material to be removed in m3</t>
        </is>
      </c>
      <c r="G79" s="77" t="inlineStr">
        <is>
          <t>Standard MRR in cm3 per min</t>
        </is>
      </c>
      <c r="H79" s="77" t="inlineStr">
        <is>
          <t>Cycle Time in Mins</t>
        </is>
      </c>
      <c r="I79" s="77" t="inlineStr">
        <is>
          <t>Programming</t>
        </is>
      </c>
      <c r="J79" s="77" t="inlineStr">
        <is>
          <t>Tool Change Time</t>
        </is>
      </c>
      <c r="K79" s="77" t="inlineStr">
        <is>
          <t>Fixture Set-up time in mins</t>
        </is>
      </c>
      <c r="L79" s="85" t="inlineStr">
        <is>
          <t>M/c Time</t>
        </is>
      </c>
    </row>
    <row r="80">
      <c r="A80" s="342" t="n">
        <v>1</v>
      </c>
      <c r="B80" s="70" t="inlineStr">
        <is>
          <t>Rough Milling - Sizing</t>
        </is>
      </c>
      <c r="C80" s="70" t="inlineStr">
        <is>
          <t>Conv Milling - Facing</t>
        </is>
      </c>
      <c r="D80" s="78">
        <f>('Mould Costing'!$D$13+10)*('Mould Costing'!$E$13+10)*('Mould Costing'!$F$13+10)/1000</f>
        <v/>
      </c>
      <c r="E80" s="78">
        <f>('Mould Costing'!$D$13)*('Mould Costing'!$E$13)*('Mould Costing'!$F$13)/1000</f>
        <v/>
      </c>
      <c r="F80" s="78">
        <f>D80-E80</f>
        <v/>
      </c>
      <c r="G80" s="78">
        <f>VLOOKUP(C80,Table15[],2,FALSE)</f>
        <v/>
      </c>
      <c r="H80" s="81">
        <f>F80/G80</f>
        <v/>
      </c>
      <c r="I80" s="265" t="n"/>
      <c r="J80" s="265" t="n">
        <v>30</v>
      </c>
      <c r="K80" s="265" t="n">
        <v>45</v>
      </c>
      <c r="L80" s="42">
        <f>ROUNDUP((K80+H80+I80+J80)/60,0)</f>
        <v/>
      </c>
    </row>
    <row r="81">
      <c r="A81" s="342" t="n">
        <v>2</v>
      </c>
      <c r="B81" s="265" t="inlineStr">
        <is>
          <t>Finishing</t>
        </is>
      </c>
      <c r="C81" s="70" t="inlineStr">
        <is>
          <t>Surface Grinding</t>
        </is>
      </c>
      <c r="D81" s="78">
        <f>('Mould Costing'!$D$13+1)*('Mould Costing'!$E$13+1)*('Mould Costing'!$F$13+1)/1000</f>
        <v/>
      </c>
      <c r="E81" s="78">
        <f>('Mould Costing'!$D$13)*('Mould Costing'!$E$13)*('Mould Costing'!$F$13)/1000</f>
        <v/>
      </c>
      <c r="F81" s="78">
        <f>D81-E81</f>
        <v/>
      </c>
      <c r="G81" s="78">
        <f>VLOOKUP(C81,Table15[],2,FALSE)</f>
        <v/>
      </c>
      <c r="H81" s="78">
        <f>F81/G81</f>
        <v/>
      </c>
      <c r="I81" s="265" t="n"/>
      <c r="J81" s="265" t="n">
        <v>30</v>
      </c>
      <c r="K81" s="265" t="n">
        <v>45</v>
      </c>
      <c r="L81" s="42">
        <f>ROUNDUP((K81+H81+I81+J81)/60,0)</f>
        <v/>
      </c>
    </row>
    <row r="82">
      <c r="A82" s="342" t="n">
        <v>3</v>
      </c>
      <c r="B82" s="265" t="inlineStr">
        <is>
          <t>Drilling - For Allen Screw</t>
        </is>
      </c>
      <c r="C82" s="70" t="inlineStr">
        <is>
          <t>Radial Drilling - Hole drilling</t>
        </is>
      </c>
      <c r="D82" s="78">
        <f>3.14*1.5*1.5*('Mould Costing'!F13/10)*4</f>
        <v/>
      </c>
      <c r="E82" s="265" t="n">
        <v>0</v>
      </c>
      <c r="F82" s="78">
        <f>D82-E82</f>
        <v/>
      </c>
      <c r="G82" s="78">
        <f>VLOOKUP(C82,Table15[],2,FALSE)</f>
        <v/>
      </c>
      <c r="H82" s="78">
        <f>F82/G82</f>
        <v/>
      </c>
      <c r="I82" s="265" t="n"/>
      <c r="J82" s="265" t="n">
        <v>30</v>
      </c>
      <c r="K82" s="265" t="n">
        <v>45</v>
      </c>
      <c r="L82" s="42">
        <f>ROUNDUP((K82+H82+I82+J82)/60,0)</f>
        <v/>
      </c>
    </row>
    <row r="83">
      <c r="A83" s="342" t="n">
        <v>4</v>
      </c>
      <c r="B83" s="265" t="inlineStr">
        <is>
          <t>Boring - For Allen Screw</t>
        </is>
      </c>
      <c r="C83" s="70" t="inlineStr">
        <is>
          <t>Conv Milling - End Milling</t>
        </is>
      </c>
      <c r="D83" s="78">
        <f>3.14*2*2*1*4</f>
        <v/>
      </c>
      <c r="E83" s="265" t="n">
        <v>0</v>
      </c>
      <c r="F83" s="78">
        <f>D83-E83</f>
        <v/>
      </c>
      <c r="G83" s="78">
        <f>VLOOKUP(C83,Table15[],2,FALSE)</f>
        <v/>
      </c>
      <c r="H83" s="78">
        <f>F83/G83</f>
        <v/>
      </c>
      <c r="I83" s="265" t="n"/>
      <c r="J83" s="265" t="n">
        <v>30</v>
      </c>
      <c r="K83" s="265" t="n">
        <v>45</v>
      </c>
      <c r="L83" s="42">
        <f>ROUNDUP((K83+H83+I83+J83)/60,0)</f>
        <v/>
      </c>
    </row>
    <row r="84">
      <c r="A84" s="437" t="n"/>
      <c r="B84" s="265" t="n"/>
      <c r="C84" s="70" t="n"/>
      <c r="D84" s="265" t="n"/>
      <c r="E84" s="265" t="n"/>
      <c r="F84" s="265" t="n"/>
      <c r="G84" s="265" t="n"/>
      <c r="H84" s="265" t="n"/>
      <c r="I84" s="265" t="n"/>
      <c r="J84" s="265" t="n"/>
      <c r="K84" s="265" t="n"/>
      <c r="L84" s="86" t="n"/>
    </row>
    <row r="85">
      <c r="A85" s="437" t="n"/>
      <c r="B85" s="265" t="n"/>
      <c r="C85" s="70" t="n"/>
      <c r="D85" s="265" t="n"/>
      <c r="E85" s="265" t="n"/>
      <c r="F85" s="265" t="n"/>
      <c r="G85" s="265" t="n"/>
      <c r="H85" s="265" t="n"/>
      <c r="I85" s="265" t="n"/>
      <c r="J85" s="265" t="n"/>
      <c r="K85" s="265" t="n"/>
      <c r="L85" s="86" t="n"/>
    </row>
    <row r="86">
      <c r="A86" s="437" t="n"/>
      <c r="B86" s="265" t="n"/>
      <c r="C86" s="70" t="n"/>
      <c r="D86" s="265" t="n"/>
      <c r="E86" s="265" t="n"/>
      <c r="F86" s="265" t="n"/>
      <c r="G86" s="265" t="n"/>
      <c r="H86" s="265" t="n"/>
      <c r="I86" s="265" t="n"/>
      <c r="J86" s="265" t="n"/>
      <c r="K86" s="265" t="n"/>
      <c r="L86" s="86" t="n"/>
    </row>
    <row r="87">
      <c r="A87" s="437" t="n"/>
      <c r="B87" s="265" t="n"/>
      <c r="C87" s="70" t="n"/>
      <c r="D87" s="265" t="n"/>
      <c r="E87" s="265" t="n"/>
      <c r="F87" s="265" t="n"/>
      <c r="G87" s="265" t="n"/>
      <c r="H87" s="265" t="n"/>
      <c r="I87" s="265" t="n"/>
      <c r="J87" s="265" t="n"/>
      <c r="K87" s="265" t="n"/>
      <c r="L87" s="86" t="n"/>
    </row>
    <row r="88">
      <c r="A88" s="437" t="n"/>
      <c r="B88" s="265" t="n"/>
      <c r="C88" s="70" t="n"/>
      <c r="D88" s="265" t="n"/>
      <c r="E88" s="265" t="n"/>
      <c r="F88" s="265" t="n"/>
      <c r="G88" s="265" t="n"/>
      <c r="H88" s="265" t="n"/>
      <c r="I88" s="265" t="n"/>
      <c r="J88" s="265" t="n"/>
      <c r="K88" s="265" t="n"/>
      <c r="L88" s="86" t="n"/>
    </row>
    <row r="89">
      <c r="A89" s="437" t="n"/>
      <c r="B89" s="265" t="n"/>
      <c r="C89" s="70" t="n"/>
      <c r="D89" s="265" t="n"/>
      <c r="E89" s="265" t="n"/>
      <c r="F89" s="265" t="n"/>
      <c r="G89" s="265" t="n"/>
      <c r="H89" s="265" t="n"/>
      <c r="I89" s="265" t="n"/>
      <c r="J89" s="265" t="n"/>
      <c r="K89" s="265" t="n"/>
      <c r="L89" s="86" t="n"/>
    </row>
    <row r="90">
      <c r="A90" s="437" t="n"/>
      <c r="B90" s="265" t="n"/>
      <c r="C90" s="70" t="n"/>
      <c r="D90" s="265" t="n"/>
      <c r="E90" s="265" t="n"/>
      <c r="F90" s="265" t="n"/>
      <c r="G90" s="265" t="n"/>
      <c r="H90" s="265" t="n"/>
      <c r="I90" s="265" t="n"/>
      <c r="J90" s="265" t="n"/>
      <c r="K90" s="265" t="n"/>
      <c r="L90" s="86" t="n"/>
    </row>
    <row r="91">
      <c r="A91" s="437" t="n"/>
      <c r="B91" s="265" t="n"/>
      <c r="C91" s="70" t="n"/>
      <c r="D91" s="265" t="n"/>
      <c r="E91" s="265" t="n"/>
      <c r="F91" s="265" t="n"/>
      <c r="G91" s="265" t="n"/>
      <c r="H91" s="265" t="n"/>
      <c r="I91" s="265" t="n"/>
      <c r="J91" s="265" t="n"/>
      <c r="K91" s="265" t="n"/>
      <c r="L91" s="86" t="n"/>
    </row>
    <row r="92">
      <c r="A92" s="437" t="n"/>
      <c r="B92" s="265" t="n"/>
      <c r="C92" s="70" t="n"/>
      <c r="D92" s="265" t="n"/>
      <c r="E92" s="265" t="n"/>
      <c r="F92" s="265" t="n"/>
      <c r="G92" s="265" t="n"/>
      <c r="H92" s="265" t="n"/>
      <c r="I92" s="265" t="n"/>
      <c r="J92" s="265" t="n"/>
      <c r="K92" s="265" t="n"/>
      <c r="L92" s="86" t="n"/>
    </row>
    <row r="93">
      <c r="A93" s="437" t="n"/>
      <c r="B93" s="265" t="n"/>
      <c r="C93" s="70" t="n"/>
      <c r="D93" s="265" t="n"/>
      <c r="E93" s="265" t="n"/>
      <c r="F93" s="265" t="n"/>
      <c r="G93" s="265" t="n"/>
      <c r="H93" s="265" t="n"/>
      <c r="I93" s="265" t="n"/>
      <c r="J93" s="265" t="n"/>
      <c r="K93" s="265" t="n"/>
      <c r="L93" s="86" t="n"/>
    </row>
    <row r="94">
      <c r="A94" s="437" t="n"/>
      <c r="B94" s="265" t="n"/>
      <c r="C94" s="70" t="n"/>
      <c r="D94" s="265" t="n"/>
      <c r="E94" s="265" t="n"/>
      <c r="F94" s="265" t="n"/>
      <c r="G94" s="265" t="n"/>
      <c r="H94" s="265" t="n"/>
      <c r="I94" s="265" t="n"/>
      <c r="J94" s="265" t="n"/>
      <c r="K94" s="265" t="n"/>
      <c r="L94" s="86" t="n"/>
    </row>
    <row r="95">
      <c r="A95" s="457" t="n"/>
      <c r="B95" s="79" t="n"/>
      <c r="C95" s="79" t="n"/>
      <c r="D95" s="79" t="n"/>
      <c r="E95" s="79" t="n"/>
      <c r="F95" s="79" t="n"/>
      <c r="G95" s="79" t="n"/>
      <c r="H95" s="79" t="n"/>
      <c r="I95" s="79" t="n"/>
      <c r="J95" s="79" t="n"/>
      <c r="K95" s="79" t="n"/>
      <c r="L95" s="87" t="n"/>
    </row>
    <row r="97">
      <c r="A97" s="571" t="inlineStr">
        <is>
          <t>Cavity Plate</t>
        </is>
      </c>
      <c r="C97" s="74">
        <f>SUM(L99:L115)</f>
        <v/>
      </c>
      <c r="D97" s="74" t="n"/>
      <c r="E97" s="74" t="n"/>
    </row>
    <row r="98" ht="16.5" customHeight="1" s="450">
      <c r="A98" s="75" t="inlineStr">
        <is>
          <t>Opn No</t>
        </is>
      </c>
      <c r="B98" s="76" t="inlineStr">
        <is>
          <t>Operation Name</t>
        </is>
      </c>
      <c r="C98" s="76" t="inlineStr">
        <is>
          <t>M/c Selected</t>
        </is>
      </c>
      <c r="D98" s="77" t="inlineStr">
        <is>
          <t>Initial Volume in cm3</t>
        </is>
      </c>
      <c r="E98" s="77" t="inlineStr">
        <is>
          <t>Final Volume in cm3</t>
        </is>
      </c>
      <c r="F98" s="77" t="inlineStr">
        <is>
          <t>Material to be removed in cm3</t>
        </is>
      </c>
      <c r="G98" s="77" t="inlineStr">
        <is>
          <t>Standard MRR in cm3 per min</t>
        </is>
      </c>
      <c r="H98" s="77" t="inlineStr">
        <is>
          <t>Cycle Time in Mins</t>
        </is>
      </c>
      <c r="I98" s="77" t="inlineStr">
        <is>
          <t>Programming</t>
        </is>
      </c>
      <c r="J98" s="77" t="inlineStr">
        <is>
          <t>Tool Change Time</t>
        </is>
      </c>
      <c r="K98" s="77" t="inlineStr">
        <is>
          <t>Fixture Set-up time in mins</t>
        </is>
      </c>
      <c r="L98" s="85" t="inlineStr">
        <is>
          <t>M/c Time</t>
        </is>
      </c>
    </row>
    <row r="99">
      <c r="A99" s="342" t="n">
        <v>1</v>
      </c>
      <c r="B99" s="70" t="inlineStr">
        <is>
          <t>Rough Milling - Sizing</t>
        </is>
      </c>
      <c r="C99" s="70" t="inlineStr">
        <is>
          <t>Conv Milling - Facing</t>
        </is>
      </c>
      <c r="D99" s="78">
        <f>('Mould Costing'!$D$14+10)*('Mould Costing'!$E$14+10)*('Mould Costing'!$F$14+10)/1000</f>
        <v/>
      </c>
      <c r="E99" s="78">
        <f>('Mould Costing'!$D$14)*('Mould Costing'!$E$14)*('Mould Costing'!$F$14)/1000</f>
        <v/>
      </c>
      <c r="F99" s="78">
        <f>D99-E99</f>
        <v/>
      </c>
      <c r="G99" s="78">
        <f>VLOOKUP(C99,Table15[],2,FALSE)</f>
        <v/>
      </c>
      <c r="H99" s="81">
        <f>F99/G99</f>
        <v/>
      </c>
      <c r="I99" s="265" t="n"/>
      <c r="J99" s="265" t="n">
        <v>30</v>
      </c>
      <c r="K99" s="265" t="n">
        <v>60</v>
      </c>
      <c r="L99" s="42">
        <f>ROUNDUP((K99+H99+I99+J99)/60,0)</f>
        <v/>
      </c>
    </row>
    <row r="100">
      <c r="A100" s="342" t="n">
        <v>2</v>
      </c>
      <c r="B100" s="265" t="inlineStr">
        <is>
          <t>Finishing</t>
        </is>
      </c>
      <c r="C100" s="70" t="inlineStr">
        <is>
          <t>Surface Grinding</t>
        </is>
      </c>
      <c r="D100" s="78">
        <f>('Mould Costing'!$D$14+1)*('Mould Costing'!$E$14+1)*('Mould Costing'!$F$14+1)/1000</f>
        <v/>
      </c>
      <c r="E100" s="78">
        <f>('Mould Costing'!$D$14)*('Mould Costing'!$E$14)*('Mould Costing'!$F$14)/1000</f>
        <v/>
      </c>
      <c r="F100" s="78">
        <f>D100-E100</f>
        <v/>
      </c>
      <c r="G100" s="78">
        <f>VLOOKUP(C100,Table15[],2,FALSE)</f>
        <v/>
      </c>
      <c r="H100" s="81">
        <f>F100/G100</f>
        <v/>
      </c>
      <c r="I100" s="265" t="n"/>
      <c r="J100" s="265" t="n">
        <v>30</v>
      </c>
      <c r="K100" s="265" t="n">
        <v>60</v>
      </c>
      <c r="L100" s="42">
        <f>ROUNDUP((K100+H100+I100+J100)/60,0)</f>
        <v/>
      </c>
    </row>
    <row r="101">
      <c r="A101" s="342" t="n">
        <v>3</v>
      </c>
      <c r="B101" s="265" t="inlineStr">
        <is>
          <t>Rough Milling - Pre-machining</t>
        </is>
      </c>
      <c r="C101" s="70" t="inlineStr">
        <is>
          <t>Conv Milling - Facing</t>
        </is>
      </c>
      <c r="D101" s="78">
        <f>$E$100</f>
        <v/>
      </c>
      <c r="E101" s="78">
        <f>('Mould Costing'!$D$14+10)*('Mould Costing'!$E$14+10)*('Mould Costing'!$F$14-'Input-Output'!B4+10)/1000</f>
        <v/>
      </c>
      <c r="F101" s="78">
        <f>(D101-E101)*0.5</f>
        <v/>
      </c>
      <c r="G101" s="78">
        <f>VLOOKUP(C101,Table15[],2,FALSE)</f>
        <v/>
      </c>
      <c r="H101" s="81">
        <f>F101/G101</f>
        <v/>
      </c>
      <c r="I101" s="265" t="n"/>
      <c r="J101" s="265" t="n">
        <v>30</v>
      </c>
      <c r="K101" s="265" t="n">
        <v>45</v>
      </c>
      <c r="L101" s="42">
        <f>ROUNDUP((K101+H101+I101+J101)/60,0)</f>
        <v/>
      </c>
    </row>
    <row r="102">
      <c r="A102" s="342" t="n">
        <v>4</v>
      </c>
      <c r="B102" s="265" t="inlineStr">
        <is>
          <t>Drilling - For Guide Pillar</t>
        </is>
      </c>
      <c r="C102" s="70" t="inlineStr">
        <is>
          <t>Radial Drilling - Hole drilling</t>
        </is>
      </c>
      <c r="D102" s="78">
        <f>0.785*('Guide Pillar'!I10/10)*('Guide Pillar'!I10/10)*(('Mould Costing'!$F$14-'Input-Output'!B4)/10)*4</f>
        <v/>
      </c>
      <c r="E102" s="78" t="n">
        <v>0</v>
      </c>
      <c r="F102" s="78">
        <f>(D102-E102)*0.5</f>
        <v/>
      </c>
      <c r="G102" s="78">
        <f>VLOOKUP(C102,Table15[],2,FALSE)</f>
        <v/>
      </c>
      <c r="H102" s="78">
        <f>F102/G102</f>
        <v/>
      </c>
      <c r="I102" s="265" t="n"/>
      <c r="J102" s="265" t="n">
        <v>30</v>
      </c>
      <c r="K102" s="265" t="n">
        <v>45</v>
      </c>
      <c r="L102" s="42">
        <f>ROUNDUP((K102+H102+I102+J102)/60,0)</f>
        <v/>
      </c>
    </row>
    <row r="103">
      <c r="A103" s="342" t="n">
        <v>5</v>
      </c>
      <c r="B103" s="265" t="inlineStr">
        <is>
          <t>Boring - For Guide Pillar Collar</t>
        </is>
      </c>
      <c r="C103" s="70" t="inlineStr">
        <is>
          <t>Conv Milling - End Milling</t>
        </is>
      </c>
      <c r="D103" s="78">
        <f>0.785*(('Guide Pillar'!F10/10)^2)*1*4</f>
        <v/>
      </c>
      <c r="E103" s="78" t="n">
        <v>0</v>
      </c>
      <c r="F103" s="78">
        <f>(D103-E103)*0.5</f>
        <v/>
      </c>
      <c r="G103" s="78">
        <f>VLOOKUP(C103,Table15[],2,FALSE)</f>
        <v/>
      </c>
      <c r="H103" s="78">
        <f>F103/G103</f>
        <v/>
      </c>
      <c r="I103" s="265" t="n"/>
      <c r="J103" s="265" t="n">
        <v>30</v>
      </c>
      <c r="K103" s="265" t="n">
        <v>45</v>
      </c>
      <c r="L103" s="42">
        <f>ROUNDUP((K103+H103+I103+J103)/60,0)</f>
        <v/>
      </c>
    </row>
    <row r="104">
      <c r="A104" s="342" t="n">
        <v>6</v>
      </c>
      <c r="B104" s="265" t="inlineStr">
        <is>
          <t>Finishing - Part Size</t>
        </is>
      </c>
      <c r="C104" s="70" t="inlineStr">
        <is>
          <t>CNC Milling</t>
        </is>
      </c>
      <c r="D104" s="78">
        <f>E101</f>
        <v/>
      </c>
      <c r="E104" s="78">
        <f>('Mould Costing'!$D$14)*('Mould Costing'!$E$14)*('Mould Costing'!$F$14-'Input-Output'!B4)/1000</f>
        <v/>
      </c>
      <c r="F104" s="78">
        <f>(D104-E104)*0.5</f>
        <v/>
      </c>
      <c r="G104" s="78">
        <f>VLOOKUP(C104,Table15[],2,FALSE)</f>
        <v/>
      </c>
      <c r="H104" s="78">
        <f>F104/G104</f>
        <v/>
      </c>
      <c r="I104" s="265" t="n">
        <v>60</v>
      </c>
      <c r="J104" s="265" t="n">
        <v>30</v>
      </c>
      <c r="K104" s="265" t="n">
        <v>45</v>
      </c>
      <c r="L104" s="42">
        <f>ROUNDUP((K104+H104+I104+J104)/60,0)</f>
        <v/>
      </c>
    </row>
    <row r="105">
      <c r="A105" s="342" t="n">
        <v>7</v>
      </c>
      <c r="B105" s="265" t="inlineStr">
        <is>
          <t>Sparking</t>
        </is>
      </c>
      <c r="C105" s="70" t="inlineStr">
        <is>
          <t>CNC EDM</t>
        </is>
      </c>
      <c r="D105" s="265">
        <f>'Input-Output'!B7*'Input-Output'!B14/2000</f>
        <v/>
      </c>
      <c r="E105" s="265" t="n">
        <v>0</v>
      </c>
      <c r="F105" s="78">
        <f>(D105-E105)</f>
        <v/>
      </c>
      <c r="G105" s="78">
        <f>VLOOKUP(C105,Table15[],2,FALSE)</f>
        <v/>
      </c>
      <c r="H105" s="78">
        <f>F105/G105</f>
        <v/>
      </c>
      <c r="I105" s="265" t="n">
        <v>60</v>
      </c>
      <c r="J105" s="265" t="n">
        <v>30</v>
      </c>
      <c r="K105" s="265" t="n">
        <v>45</v>
      </c>
      <c r="L105" s="42">
        <f>ROUNDUP((K105+H105+I105+J105)/60,0)</f>
        <v/>
      </c>
      <c r="M105" t="inlineStr">
        <is>
          <t>Need to arrive at break-up</t>
        </is>
      </c>
    </row>
    <row r="106">
      <c r="A106" s="342" t="n">
        <v>8</v>
      </c>
      <c r="B106" s="265" t="inlineStr">
        <is>
          <t>Drilling - For Cooling Channels</t>
        </is>
      </c>
      <c r="C106" s="70" t="inlineStr">
        <is>
          <t>Gun Drilling</t>
        </is>
      </c>
      <c r="D106" s="88">
        <f>0.785*1*1*('Mould Costing'!$E$14/10)*4</f>
        <v/>
      </c>
      <c r="E106" s="265" t="n">
        <v>0</v>
      </c>
      <c r="F106" s="78">
        <f>(D106-E106)*0.5</f>
        <v/>
      </c>
      <c r="G106" s="78">
        <f>VLOOKUP(C106,Table15[],2,FALSE)</f>
        <v/>
      </c>
      <c r="H106" s="78">
        <f>F106/G106</f>
        <v/>
      </c>
      <c r="I106" s="265" t="n"/>
      <c r="J106" s="265" t="n">
        <v>30</v>
      </c>
      <c r="K106" s="265" t="n">
        <v>45</v>
      </c>
      <c r="L106" s="42">
        <f>ROUNDUP((K106+H106+I106+J106)/60,0)</f>
        <v/>
      </c>
      <c r="M106" t="inlineStr">
        <is>
          <t>Need to arrive at break-up</t>
        </is>
      </c>
    </row>
    <row r="107">
      <c r="A107" s="342" t="n">
        <v>9</v>
      </c>
      <c r="B107" s="265" t="inlineStr">
        <is>
          <t>Grinding - For Vent</t>
        </is>
      </c>
      <c r="C107" s="70" t="inlineStr">
        <is>
          <t>Surface Grinding</t>
        </is>
      </c>
      <c r="D107" s="265" t="n"/>
      <c r="E107" s="265" t="n"/>
      <c r="F107" s="265" t="n"/>
      <c r="G107" s="78">
        <f>VLOOKUP(C107,Table15[],2,FALSE)</f>
        <v/>
      </c>
      <c r="H107" s="265" t="n"/>
      <c r="I107" s="265" t="n"/>
      <c r="J107" s="265" t="n"/>
      <c r="K107" s="265" t="n"/>
      <c r="L107" s="86" t="n">
        <v>1</v>
      </c>
    </row>
    <row r="108">
      <c r="A108" s="342" t="n">
        <v>10</v>
      </c>
      <c r="B108" s="265" t="inlineStr">
        <is>
          <t>Drilling - For Allen Screw</t>
        </is>
      </c>
      <c r="C108" s="70" t="inlineStr">
        <is>
          <t>Radial Drilling - Reaming / Tapping</t>
        </is>
      </c>
      <c r="D108" s="88">
        <f>0.785*1.6*1.6*('Mould Costing'!$F$14/10)*4</f>
        <v/>
      </c>
      <c r="E108" s="265" t="n">
        <v>0</v>
      </c>
      <c r="F108" s="78">
        <f>(D108-E108)*0.5</f>
        <v/>
      </c>
      <c r="G108" s="78">
        <f>VLOOKUP(C108,Table15[],2,FALSE)</f>
        <v/>
      </c>
      <c r="H108" s="78">
        <f>F108/G108</f>
        <v/>
      </c>
      <c r="I108" s="265" t="n"/>
      <c r="J108" s="265" t="n">
        <v>30</v>
      </c>
      <c r="K108" s="265" t="n">
        <v>45</v>
      </c>
      <c r="L108" s="42">
        <f>ROUNDUP((K108+H108+I108+J108)/60,0)</f>
        <v/>
      </c>
      <c r="M108" t="inlineStr">
        <is>
          <t>Need to arrive at break-up</t>
        </is>
      </c>
    </row>
    <row r="109">
      <c r="A109" s="342" t="n">
        <v>11</v>
      </c>
      <c r="B109" s="265" t="inlineStr">
        <is>
          <t>Finish Milling - Runner Diameter</t>
        </is>
      </c>
      <c r="C109" s="70" t="n"/>
      <c r="D109" s="265" t="n"/>
      <c r="E109" s="265" t="n"/>
      <c r="F109" s="265" t="n"/>
      <c r="G109" s="78" t="n"/>
      <c r="H109" s="265" t="n"/>
      <c r="I109" s="265" t="n"/>
      <c r="J109" s="265" t="n"/>
      <c r="K109" s="265" t="n"/>
      <c r="L109" s="86" t="n"/>
    </row>
    <row r="110">
      <c r="A110" s="342" t="n">
        <v>12</v>
      </c>
      <c r="B110" s="265" t="n"/>
      <c r="C110" s="70" t="n"/>
      <c r="D110" s="265" t="n"/>
      <c r="E110" s="265" t="n"/>
      <c r="F110" s="265" t="n"/>
      <c r="G110" s="265" t="n"/>
      <c r="H110" s="265" t="n"/>
      <c r="I110" s="265" t="n"/>
      <c r="J110" s="265" t="n"/>
      <c r="K110" s="265" t="n"/>
      <c r="L110" s="86" t="n"/>
    </row>
    <row r="111">
      <c r="A111" s="437" t="n"/>
      <c r="B111" s="265" t="n"/>
      <c r="C111" s="70" t="n"/>
      <c r="D111" s="265" t="n"/>
      <c r="E111" s="265" t="n"/>
      <c r="F111" s="265" t="n"/>
      <c r="G111" s="265" t="n"/>
      <c r="H111" s="265" t="n"/>
      <c r="I111" s="265" t="n"/>
      <c r="J111" s="265" t="n"/>
      <c r="K111" s="265" t="n"/>
      <c r="L111" s="86" t="n"/>
    </row>
    <row r="112">
      <c r="A112" s="437" t="n"/>
      <c r="B112" s="265" t="n"/>
      <c r="C112" s="70" t="n"/>
      <c r="D112" s="265" t="n"/>
      <c r="E112" s="265" t="n"/>
      <c r="F112" s="265" t="n"/>
      <c r="G112" s="265" t="n"/>
      <c r="H112" s="265" t="n"/>
      <c r="I112" s="265" t="n"/>
      <c r="J112" s="265" t="n"/>
      <c r="K112" s="265" t="n"/>
      <c r="L112" s="86" t="n"/>
    </row>
    <row r="113">
      <c r="A113" s="437" t="n"/>
      <c r="B113" s="265" t="n"/>
      <c r="C113" s="70" t="n"/>
      <c r="D113" s="265" t="n"/>
      <c r="E113" s="265" t="n"/>
      <c r="F113" s="265" t="n"/>
      <c r="G113" s="265" t="n"/>
      <c r="H113" s="265" t="n"/>
      <c r="I113" s="265" t="n"/>
      <c r="J113" s="265" t="n"/>
      <c r="K113" s="265" t="n"/>
      <c r="L113" s="86" t="n"/>
    </row>
    <row r="114">
      <c r="A114" s="437" t="n"/>
      <c r="B114" s="265" t="n"/>
      <c r="C114" s="70" t="n"/>
      <c r="D114" s="265" t="n"/>
      <c r="E114" s="265" t="n"/>
      <c r="F114" s="265" t="n"/>
      <c r="G114" s="265" t="n"/>
      <c r="H114" s="265" t="n"/>
      <c r="I114" s="265" t="n"/>
      <c r="J114" s="265" t="n"/>
      <c r="K114" s="265" t="n"/>
      <c r="L114" s="86" t="n"/>
    </row>
    <row r="115">
      <c r="A115" s="457" t="n"/>
      <c r="B115" s="79" t="n"/>
      <c r="C115" s="79" t="n"/>
      <c r="D115" s="79" t="n"/>
      <c r="E115" s="79" t="n"/>
      <c r="F115" s="79" t="n"/>
      <c r="G115" s="79" t="n"/>
      <c r="H115" s="79" t="n"/>
      <c r="I115" s="79" t="n"/>
      <c r="J115" s="79" t="n"/>
      <c r="K115" s="79" t="n"/>
      <c r="L115" s="87" t="n"/>
    </row>
    <row r="118">
      <c r="A118" s="571" t="inlineStr">
        <is>
          <t>Core Plate</t>
        </is>
      </c>
      <c r="C118" s="74">
        <f>SUM(L120:L135)</f>
        <v/>
      </c>
      <c r="D118" s="74" t="n"/>
      <c r="E118" s="74" t="n"/>
    </row>
    <row r="119" ht="16.5" customHeight="1" s="450">
      <c r="A119" s="75" t="inlineStr">
        <is>
          <t>Opn No</t>
        </is>
      </c>
      <c r="B119" s="76" t="inlineStr">
        <is>
          <t>Operation Name</t>
        </is>
      </c>
      <c r="C119" s="76" t="inlineStr">
        <is>
          <t>M/c Selected</t>
        </is>
      </c>
      <c r="D119" s="77" t="inlineStr">
        <is>
          <t>Initial Volume in cm3</t>
        </is>
      </c>
      <c r="E119" s="77" t="inlineStr">
        <is>
          <t>Final Volume in cm3</t>
        </is>
      </c>
      <c r="F119" s="77" t="inlineStr">
        <is>
          <t>Material to be removed in cm3</t>
        </is>
      </c>
      <c r="G119" s="77" t="inlineStr">
        <is>
          <t>Standard MRR in icm per min</t>
        </is>
      </c>
      <c r="H119" s="77" t="inlineStr">
        <is>
          <t>Cycle Time in Mins</t>
        </is>
      </c>
      <c r="I119" s="77" t="inlineStr">
        <is>
          <t>Programming</t>
        </is>
      </c>
      <c r="J119" s="77" t="inlineStr">
        <is>
          <t>Tool Change Time</t>
        </is>
      </c>
      <c r="K119" s="77" t="inlineStr">
        <is>
          <t>Fixture Set-up time in mins</t>
        </is>
      </c>
      <c r="L119" s="85" t="inlineStr">
        <is>
          <t>M/c Time</t>
        </is>
      </c>
    </row>
    <row r="120">
      <c r="A120" s="342" t="n">
        <v>1</v>
      </c>
      <c r="B120" s="70" t="inlineStr">
        <is>
          <t>Rough Milling - Sizing</t>
        </is>
      </c>
      <c r="C120" s="70" t="inlineStr">
        <is>
          <t>Conv Milling - Facing</t>
        </is>
      </c>
      <c r="D120" s="78">
        <f>('Mould Costing'!$D$15+10)*('Mould Costing'!$E$15+10)*('Mould Costing'!$F$15+10)/1000</f>
        <v/>
      </c>
      <c r="E120" s="78">
        <f>('Mould Costing'!$D$15)*('Mould Costing'!$E$15)*('Mould Costing'!$F$15)/1000</f>
        <v/>
      </c>
      <c r="F120" s="78">
        <f>D120-E120</f>
        <v/>
      </c>
      <c r="G120" s="78">
        <f>VLOOKUP(C120,Table15[],2,FALSE)</f>
        <v/>
      </c>
      <c r="H120" s="81">
        <f>F120/G120</f>
        <v/>
      </c>
      <c r="I120" s="265" t="n"/>
      <c r="J120" s="265" t="n">
        <v>30</v>
      </c>
      <c r="K120" s="265" t="n">
        <v>60</v>
      </c>
      <c r="L120" s="42">
        <f>ROUNDUP((K120+H120+I120+J120)/60,0)</f>
        <v/>
      </c>
    </row>
    <row r="121">
      <c r="A121" s="342" t="n">
        <v>2</v>
      </c>
      <c r="B121" s="265" t="inlineStr">
        <is>
          <t>Finishing</t>
        </is>
      </c>
      <c r="C121" s="70" t="inlineStr">
        <is>
          <t>Surface Grinding</t>
        </is>
      </c>
      <c r="D121" s="78">
        <f>('Mould Costing'!$D$15+1)*('Mould Costing'!$E$15+1)*('Mould Costing'!$F$15+1)/1000</f>
        <v/>
      </c>
      <c r="E121" s="78">
        <f>('Mould Costing'!$D$15)*('Mould Costing'!$E$15)*('Mould Costing'!$F$15)/1000</f>
        <v/>
      </c>
      <c r="F121" s="78">
        <f>D121-E121</f>
        <v/>
      </c>
      <c r="G121" s="78">
        <f>VLOOKUP(C121,Table15[],2,FALSE)</f>
        <v/>
      </c>
      <c r="H121" s="81">
        <f>F121/G121</f>
        <v/>
      </c>
      <c r="I121" s="265" t="n"/>
      <c r="J121" s="265" t="n">
        <v>30</v>
      </c>
      <c r="K121" s="265" t="n">
        <v>60</v>
      </c>
      <c r="L121" s="42">
        <f>ROUNDUP((K121+H121+I121+J121)/60,0)</f>
        <v/>
      </c>
    </row>
    <row r="122">
      <c r="A122" s="342" t="n">
        <v>3</v>
      </c>
      <c r="B122" s="265" t="inlineStr">
        <is>
          <t>Rough Milling - Pre-machining</t>
        </is>
      </c>
      <c r="C122" s="70" t="inlineStr">
        <is>
          <t>Conv Milling - Facing</t>
        </is>
      </c>
      <c r="D122" s="78">
        <f>$E$100</f>
        <v/>
      </c>
      <c r="E122" s="78">
        <f>('Mould Costing'!D15+10)*('Mould Costing'!E15+10)*('Mould Costing'!F15-'Input-Output'!B4+10)/1000</f>
        <v/>
      </c>
      <c r="F122" s="78">
        <f>(D122-E122)*0.5</f>
        <v/>
      </c>
      <c r="G122" s="78">
        <f>VLOOKUP(C122,Table15[],2,FALSE)</f>
        <v/>
      </c>
      <c r="H122" s="81">
        <f>F122/G122</f>
        <v/>
      </c>
      <c r="I122" s="265" t="n"/>
      <c r="J122" s="265" t="n">
        <v>30</v>
      </c>
      <c r="K122" s="265" t="n">
        <v>45</v>
      </c>
      <c r="L122" s="42">
        <f>ROUNDUP((K122+H122+I122+J122)/60,0)</f>
        <v/>
      </c>
    </row>
    <row r="123">
      <c r="A123" s="342" t="n">
        <v>4</v>
      </c>
      <c r="B123" s="265" t="inlineStr">
        <is>
          <t>Drilling - For Guide Pillar</t>
        </is>
      </c>
      <c r="C123" s="70" t="inlineStr">
        <is>
          <t>Radial Drilling - Hole drilling</t>
        </is>
      </c>
      <c r="D123" s="78">
        <f>0.785*('Guide Pillar'!$I$10/10)*('Guide Pillar'!$I$10/10)*(('Mould Costing'!$F$15-'Input-Output'!$B$4)/10)*4</f>
        <v/>
      </c>
      <c r="E123" s="78" t="n">
        <v>0</v>
      </c>
      <c r="F123" s="78">
        <f>(D123-E123)*0.5</f>
        <v/>
      </c>
      <c r="G123" s="78">
        <f>VLOOKUP(C123,Table15[],2,FALSE)</f>
        <v/>
      </c>
      <c r="H123" s="78">
        <f>F123/G123</f>
        <v/>
      </c>
      <c r="I123" s="265" t="n"/>
      <c r="J123" s="265" t="n">
        <v>30</v>
      </c>
      <c r="K123" s="265" t="n">
        <v>45</v>
      </c>
      <c r="L123" s="42">
        <f>ROUNDUP((K123+H123+I123+J123)/60,0)</f>
        <v/>
      </c>
    </row>
    <row r="124">
      <c r="A124" s="342" t="n">
        <v>5</v>
      </c>
      <c r="B124" s="265" t="inlineStr">
        <is>
          <t>Boring - For Guide Pillar Collar</t>
        </is>
      </c>
      <c r="C124" s="70" t="inlineStr">
        <is>
          <t>Conv Milling - End Milling</t>
        </is>
      </c>
      <c r="D124" s="78">
        <f>0.785*(('Guide Pillar'!$F$10/10)^2)*1*4</f>
        <v/>
      </c>
      <c r="E124" s="78" t="n">
        <v>0</v>
      </c>
      <c r="F124" s="78">
        <f>(D124-E124)*0.5</f>
        <v/>
      </c>
      <c r="G124" s="78">
        <f>VLOOKUP(C124,Table15[],2,FALSE)</f>
        <v/>
      </c>
      <c r="H124" s="78">
        <f>F124/G124</f>
        <v/>
      </c>
      <c r="I124" s="265" t="n"/>
      <c r="J124" s="265" t="n">
        <v>30</v>
      </c>
      <c r="K124" s="265" t="n">
        <v>45</v>
      </c>
      <c r="L124" s="42">
        <f>ROUNDUP((K124+H124+I124+J124)/60,0)</f>
        <v/>
      </c>
    </row>
    <row r="125">
      <c r="A125" s="342" t="n">
        <v>6</v>
      </c>
      <c r="B125" s="265" t="inlineStr">
        <is>
          <t>Finishing - Part Size</t>
        </is>
      </c>
      <c r="C125" s="70" t="inlineStr">
        <is>
          <t>CNC Milling</t>
        </is>
      </c>
      <c r="D125" s="78">
        <f>E122</f>
        <v/>
      </c>
      <c r="E125" s="78">
        <f>'Mould Costing'!D15*'Mould Costing'!E15*('Mould Costing'!F15-'Input-Output'!B4)/1000</f>
        <v/>
      </c>
      <c r="F125" s="78">
        <f>(D125-E125)*0.5</f>
        <v/>
      </c>
      <c r="G125" s="78">
        <f>VLOOKUP(C125,Table15[],2,FALSE)</f>
        <v/>
      </c>
      <c r="H125" s="78">
        <f>F125/G125</f>
        <v/>
      </c>
      <c r="I125" s="265" t="n">
        <v>60</v>
      </c>
      <c r="J125" s="265" t="n">
        <v>30</v>
      </c>
      <c r="K125" s="265" t="n">
        <v>45</v>
      </c>
      <c r="L125" s="42">
        <f>ROUNDUP((K125+H125+I125+J125)/60,0)</f>
        <v/>
      </c>
    </row>
    <row r="126">
      <c r="A126" s="342" t="n">
        <v>7</v>
      </c>
      <c r="B126" s="265" t="inlineStr">
        <is>
          <t>Sparking</t>
        </is>
      </c>
      <c r="C126" s="70" t="inlineStr">
        <is>
          <t>CNC EDM</t>
        </is>
      </c>
      <c r="D126" s="265">
        <f>D105</f>
        <v/>
      </c>
      <c r="E126" s="265">
        <f>E105</f>
        <v/>
      </c>
      <c r="F126" s="78">
        <f>F105</f>
        <v/>
      </c>
      <c r="G126" s="78">
        <f>VLOOKUP(C126,Table15[],2,FALSE)</f>
        <v/>
      </c>
      <c r="H126" s="78">
        <f>F126/G126</f>
        <v/>
      </c>
      <c r="I126" s="265" t="n">
        <v>60</v>
      </c>
      <c r="J126" s="265" t="n">
        <v>30</v>
      </c>
      <c r="K126" s="265" t="n">
        <v>45</v>
      </c>
      <c r="L126" s="42">
        <f>ROUNDUP((K126+H126+I126+J126)/60,0)</f>
        <v/>
      </c>
      <c r="M126" t="inlineStr">
        <is>
          <t>Need to arrive at break-up</t>
        </is>
      </c>
    </row>
    <row r="127">
      <c r="A127" s="342" t="n">
        <v>8</v>
      </c>
      <c r="B127" s="265" t="inlineStr">
        <is>
          <t>Drilling - For Cooling Channels</t>
        </is>
      </c>
      <c r="C127" s="70" t="inlineStr">
        <is>
          <t>Gun Drilling</t>
        </is>
      </c>
      <c r="D127" s="88">
        <f>0.785*1*1*('Mould Costing'!$E$14/10)*4</f>
        <v/>
      </c>
      <c r="E127" s="265" t="n">
        <v>0</v>
      </c>
      <c r="F127" s="78">
        <f>(D127-E127)*0.5</f>
        <v/>
      </c>
      <c r="G127" s="78">
        <f>VLOOKUP(C127,Table15[],2,FALSE)</f>
        <v/>
      </c>
      <c r="H127" s="78">
        <f>F127/G127</f>
        <v/>
      </c>
      <c r="I127" s="265" t="n"/>
      <c r="J127" s="265" t="n">
        <v>30</v>
      </c>
      <c r="K127" s="265" t="n">
        <v>45</v>
      </c>
      <c r="L127" s="42">
        <f>ROUNDUP((K127+H127+I127+J127)/60,0)</f>
        <v/>
      </c>
      <c r="M127" t="inlineStr">
        <is>
          <t>Need to arrive at break-up</t>
        </is>
      </c>
    </row>
    <row r="128">
      <c r="A128" s="342" t="n">
        <v>9</v>
      </c>
      <c r="B128" s="265" t="inlineStr">
        <is>
          <t>Grinding - For Vent</t>
        </is>
      </c>
      <c r="C128" s="70" t="inlineStr">
        <is>
          <t>Surface Grinding</t>
        </is>
      </c>
      <c r="D128" s="265" t="n"/>
      <c r="E128" s="265" t="n"/>
      <c r="F128" s="265" t="n"/>
      <c r="G128" s="78">
        <f>VLOOKUP(C128,Table15[],2,FALSE)</f>
        <v/>
      </c>
      <c r="H128" s="265" t="n"/>
      <c r="I128" s="265" t="n"/>
      <c r="J128" s="265" t="n"/>
      <c r="K128" s="265" t="n"/>
      <c r="L128" s="86" t="n">
        <v>1</v>
      </c>
    </row>
    <row r="129">
      <c r="A129" s="342" t="n">
        <v>10</v>
      </c>
      <c r="B129" s="265" t="inlineStr">
        <is>
          <t>Drilling - For Allen Screw</t>
        </is>
      </c>
      <c r="C129" s="70" t="inlineStr">
        <is>
          <t>Radial Drilling - Reaming / Tapping</t>
        </is>
      </c>
      <c r="D129" s="88">
        <f>0.785*1.6*1.6*('Mould Costing'!$F$14/10)*4</f>
        <v/>
      </c>
      <c r="E129" s="265" t="n">
        <v>0</v>
      </c>
      <c r="F129" s="78">
        <f>(D129-E129)*0.5</f>
        <v/>
      </c>
      <c r="G129" s="78">
        <f>VLOOKUP(C129,Table15[],2,FALSE)</f>
        <v/>
      </c>
      <c r="H129" s="78">
        <f>F129/G129</f>
        <v/>
      </c>
      <c r="I129" s="265" t="n"/>
      <c r="J129" s="265" t="n">
        <v>30</v>
      </c>
      <c r="K129" s="265" t="n">
        <v>45</v>
      </c>
      <c r="L129" s="42">
        <f>ROUNDUP((K129+H129+I129+J129)/60,0)</f>
        <v/>
      </c>
      <c r="M129" t="inlineStr">
        <is>
          <t>Need to arrive at break-up</t>
        </is>
      </c>
    </row>
    <row r="130">
      <c r="A130" s="342" t="n">
        <v>11</v>
      </c>
      <c r="B130" s="265" t="n"/>
      <c r="C130" s="70" t="n"/>
      <c r="D130" s="265" t="n"/>
      <c r="E130" s="265" t="n"/>
      <c r="F130" s="265" t="n"/>
      <c r="G130" s="265" t="n"/>
      <c r="H130" s="265" t="n"/>
      <c r="I130" s="265" t="n"/>
      <c r="J130" s="265" t="n"/>
      <c r="K130" s="265" t="n"/>
      <c r="L130" s="86" t="n"/>
    </row>
    <row r="131">
      <c r="A131" s="342" t="n">
        <v>120</v>
      </c>
      <c r="B131" s="265" t="n"/>
      <c r="C131" s="70" t="n"/>
      <c r="D131" s="265" t="n"/>
      <c r="E131" s="265" t="n"/>
      <c r="F131" s="265" t="n"/>
      <c r="G131" s="265" t="n"/>
      <c r="H131" s="265" t="n"/>
      <c r="I131" s="265" t="n"/>
      <c r="J131" s="265" t="n"/>
      <c r="K131" s="265" t="n"/>
      <c r="L131" s="86" t="n"/>
    </row>
    <row r="132">
      <c r="A132" s="437" t="n"/>
      <c r="B132" s="265" t="n"/>
      <c r="C132" s="70" t="n"/>
      <c r="D132" s="265" t="n"/>
      <c r="E132" s="265" t="n"/>
      <c r="F132" s="265" t="n"/>
      <c r="G132" s="265" t="n"/>
      <c r="H132" s="265" t="n"/>
      <c r="I132" s="265" t="n"/>
      <c r="J132" s="265" t="n"/>
      <c r="K132" s="265" t="n"/>
      <c r="L132" s="86" t="n"/>
    </row>
    <row r="133">
      <c r="A133" s="437" t="n"/>
      <c r="B133" s="265" t="n"/>
      <c r="C133" s="70" t="n"/>
      <c r="D133" s="265" t="n"/>
      <c r="E133" s="265" t="n"/>
      <c r="F133" s="265" t="n"/>
      <c r="G133" s="265" t="n"/>
      <c r="H133" s="265" t="n"/>
      <c r="I133" s="265" t="n"/>
      <c r="J133" s="265" t="n"/>
      <c r="K133" s="265" t="n"/>
      <c r="L133" s="86" t="n"/>
    </row>
    <row r="134">
      <c r="A134" s="437" t="n"/>
      <c r="B134" s="265" t="n"/>
      <c r="C134" s="70" t="n"/>
      <c r="D134" s="265" t="n"/>
      <c r="E134" s="265" t="n"/>
      <c r="F134" s="265" t="n"/>
      <c r="G134" s="265" t="n"/>
      <c r="H134" s="265" t="n"/>
      <c r="I134" s="265" t="n"/>
      <c r="J134" s="265" t="n"/>
      <c r="K134" s="265" t="n"/>
      <c r="L134" s="86" t="n"/>
    </row>
    <row r="135">
      <c r="A135" s="437" t="n"/>
      <c r="B135" s="265" t="n"/>
      <c r="C135" s="70" t="n"/>
      <c r="D135" s="265" t="n"/>
      <c r="E135" s="265" t="n"/>
      <c r="F135" s="265" t="n"/>
      <c r="G135" s="265" t="n"/>
      <c r="H135" s="265" t="n"/>
      <c r="I135" s="265" t="n"/>
      <c r="J135" s="265" t="n"/>
      <c r="K135" s="265" t="n"/>
      <c r="L135" s="86" t="n"/>
    </row>
    <row r="136">
      <c r="A136" s="457" t="n"/>
      <c r="B136" s="79" t="n"/>
      <c r="C136" s="79" t="n"/>
      <c r="D136" s="79" t="n"/>
      <c r="E136" s="79" t="n"/>
      <c r="F136" s="79" t="n"/>
      <c r="G136" s="79" t="n"/>
      <c r="H136" s="79" t="n"/>
      <c r="I136" s="79" t="n"/>
      <c r="J136" s="79" t="n"/>
      <c r="K136" s="79" t="n"/>
      <c r="L136" s="87" t="n"/>
    </row>
    <row r="138">
      <c r="A138" s="571" t="inlineStr">
        <is>
          <t>Guide Pillar</t>
        </is>
      </c>
      <c r="C138" s="74">
        <f>SUM(L140:L155)</f>
        <v/>
      </c>
      <c r="D138" s="74" t="n"/>
      <c r="E138" s="74" t="n"/>
    </row>
    <row r="139" ht="16.5" customHeight="1" s="450">
      <c r="A139" s="75" t="inlineStr">
        <is>
          <t>Opn No</t>
        </is>
      </c>
      <c r="B139" s="76" t="inlineStr">
        <is>
          <t>Operation Name</t>
        </is>
      </c>
      <c r="C139" s="76" t="inlineStr">
        <is>
          <t>M/c Selected</t>
        </is>
      </c>
      <c r="D139" s="77" t="inlineStr">
        <is>
          <t>Initial Volume in cm3</t>
        </is>
      </c>
      <c r="E139" s="77" t="inlineStr">
        <is>
          <t>Final Volume in cm3</t>
        </is>
      </c>
      <c r="F139" s="77" t="inlineStr">
        <is>
          <t>Material to be removed in cm3</t>
        </is>
      </c>
      <c r="G139" s="77" t="inlineStr">
        <is>
          <t>Standard MRR in cm3 per min</t>
        </is>
      </c>
      <c r="H139" s="77" t="inlineStr">
        <is>
          <t>Cycle Time in Mins</t>
        </is>
      </c>
      <c r="I139" s="77" t="inlineStr">
        <is>
          <t>Programming</t>
        </is>
      </c>
      <c r="J139" s="77" t="inlineStr">
        <is>
          <t>Tool Change Time</t>
        </is>
      </c>
      <c r="K139" s="77" t="inlineStr">
        <is>
          <t>Fixture Set-up time in mins</t>
        </is>
      </c>
      <c r="L139" s="85" t="inlineStr">
        <is>
          <t>M/c Time</t>
        </is>
      </c>
    </row>
    <row r="140">
      <c r="A140" s="342" t="n">
        <v>1</v>
      </c>
      <c r="B140" s="70" t="inlineStr">
        <is>
          <t>Turning - Working Diameter ( Dia 29 x 91)</t>
        </is>
      </c>
      <c r="C140" s="70" t="inlineStr">
        <is>
          <t>CNC Lathe</t>
        </is>
      </c>
      <c r="D140" s="78">
        <f>0.785*('Guide Pillar'!$F$10+10)*('Guide Pillar'!$F$10+10)*('Guide Pillar'!L19+10)/1000*4</f>
        <v/>
      </c>
      <c r="E140" s="78">
        <f>0.785*'Guide Pillar'!$M$10*'Guide Pillar'!$M$10*'Guide Pillar'!$L$19/1000*4</f>
        <v/>
      </c>
      <c r="F140" s="78">
        <f>D140-E140</f>
        <v/>
      </c>
      <c r="G140" s="78">
        <f>VLOOKUP(C140,Table15[],2,FALSE)</f>
        <v/>
      </c>
      <c r="H140" s="81">
        <f>F140/G140</f>
        <v/>
      </c>
      <c r="I140" s="265" t="n">
        <v>0.3</v>
      </c>
      <c r="J140" s="265" t="n">
        <v>30</v>
      </c>
      <c r="K140" s="265" t="n">
        <v>45</v>
      </c>
      <c r="L140" s="42">
        <f>ROUNDUP((K140+H140+I140+J140)/60,0)</f>
        <v/>
      </c>
    </row>
    <row r="141">
      <c r="A141" s="342" t="n">
        <v>2</v>
      </c>
      <c r="B141" s="265" t="inlineStr">
        <is>
          <t>Turning - Fitting Diameter ( Dia 39 x 91)</t>
        </is>
      </c>
      <c r="C141" s="70" t="inlineStr">
        <is>
          <t>CNC Lathe</t>
        </is>
      </c>
      <c r="D141" s="78">
        <f>0.785*('Guide Pillar'!$F$10+10)*('Guide Pillar'!$F$10+10)*('Guide Pillar'!$H$19+10)/1000*4</f>
        <v/>
      </c>
      <c r="E141" s="78">
        <f>0.785*'Guide Pillar'!$I$10*'Guide Pillar'!$I$10*('Guide Pillar'!$H$19-10)/1000*4</f>
        <v/>
      </c>
      <c r="F141" s="78">
        <f>D141-E141</f>
        <v/>
      </c>
      <c r="G141" s="78">
        <f>VLOOKUP(C141,Table15[],2,FALSE)</f>
        <v/>
      </c>
      <c r="H141" s="81">
        <f>F141/G141</f>
        <v/>
      </c>
      <c r="I141" s="265" t="n">
        <v>0.3</v>
      </c>
      <c r="J141" s="265" t="n">
        <v>30</v>
      </c>
      <c r="K141" s="265" t="n">
        <v>45</v>
      </c>
      <c r="L141" s="42">
        <f>ROUNDUP((K141+H141+I141+J141)/60,0)</f>
        <v/>
      </c>
    </row>
    <row r="142">
      <c r="A142" s="342" t="n">
        <v>3</v>
      </c>
      <c r="B142" s="265" t="inlineStr">
        <is>
          <t>Turning - Collar Diameter ( Dia 29 x 91)</t>
        </is>
      </c>
      <c r="C142" s="70" t="inlineStr">
        <is>
          <t>CNC Lathe</t>
        </is>
      </c>
      <c r="D142" s="78">
        <f>0.785*('Guide Pillar'!$F$10+10)*('Guide Pillar'!$F$10+10)*1*4/1000</f>
        <v/>
      </c>
      <c r="E142" s="78">
        <f>0.785*('Guide Pillar'!$F$10)*('Guide Pillar'!$F$10)*1*4/1000</f>
        <v/>
      </c>
      <c r="F142" s="78">
        <f>D142-E142</f>
        <v/>
      </c>
      <c r="G142" s="78">
        <f>VLOOKUP(C142,Table15[],2,FALSE)</f>
        <v/>
      </c>
      <c r="H142" s="78">
        <f>F142/G142</f>
        <v/>
      </c>
      <c r="I142" s="265" t="n">
        <v>0.3</v>
      </c>
      <c r="J142" s="265" t="n">
        <v>30</v>
      </c>
      <c r="K142" s="265" t="n">
        <v>45</v>
      </c>
      <c r="L142" s="42">
        <f>ROUNDUP((K142+H142+I142+J142)/60,0)</f>
        <v/>
      </c>
      <c r="M142" t="inlineStr">
        <is>
          <t>To be worked-out properly</t>
        </is>
      </c>
    </row>
    <row r="143">
      <c r="A143" s="342" t="n">
        <v>4</v>
      </c>
      <c r="B143" s="265" t="inlineStr">
        <is>
          <t>Parting-off</t>
        </is>
      </c>
      <c r="C143" s="70" t="inlineStr">
        <is>
          <t>CNC Lathe</t>
        </is>
      </c>
      <c r="D143" s="78">
        <f>3.14*2*2*1*4</f>
        <v/>
      </c>
      <c r="E143" s="265" t="n">
        <v>0</v>
      </c>
      <c r="F143" s="78">
        <f>D143-E143</f>
        <v/>
      </c>
      <c r="G143" s="78">
        <f>VLOOKUP(C143,Table15[],2,FALSE)</f>
        <v/>
      </c>
      <c r="H143" s="78">
        <f>F143/G143</f>
        <v/>
      </c>
      <c r="I143" s="265" t="n">
        <v>0.3</v>
      </c>
      <c r="J143" s="265" t="n">
        <v>30</v>
      </c>
      <c r="K143" s="265" t="n">
        <v>45</v>
      </c>
      <c r="L143" s="89">
        <f>ROUNDUP((K143+H143+I143+J143)/60,0)</f>
        <v/>
      </c>
      <c r="M143" t="inlineStr">
        <is>
          <t>To be worked-out properly</t>
        </is>
      </c>
    </row>
    <row r="144">
      <c r="A144" s="342" t="n">
        <v>5</v>
      </c>
      <c r="B144" s="265" t="inlineStr">
        <is>
          <t>Grooving</t>
        </is>
      </c>
      <c r="C144" s="70" t="inlineStr">
        <is>
          <t>CNC Lathe</t>
        </is>
      </c>
      <c r="D144" s="265" t="n"/>
      <c r="E144" s="265" t="n"/>
      <c r="F144" s="265" t="n"/>
      <c r="G144" s="78">
        <f>VLOOKUP(C144,Table15[],2,FALSE)</f>
        <v/>
      </c>
      <c r="H144" s="265" t="n"/>
      <c r="I144" s="265" t="n"/>
      <c r="J144" s="265" t="n"/>
      <c r="K144" s="265" t="n"/>
      <c r="L144" s="90" t="n"/>
    </row>
    <row r="145">
      <c r="A145" s="342" t="n">
        <v>6</v>
      </c>
      <c r="B145" s="265" t="inlineStr">
        <is>
          <t>Cylindrical Grinding - Before Heat treatment</t>
        </is>
      </c>
      <c r="C145" s="70" t="inlineStr">
        <is>
          <t>Cylindrical Grinding</t>
        </is>
      </c>
      <c r="D145" s="265" t="n"/>
      <c r="E145" s="265" t="n"/>
      <c r="F145" s="265" t="n"/>
      <c r="G145" s="78">
        <f>VLOOKUP(C145,Table15[],2,FALSE)</f>
        <v/>
      </c>
      <c r="H145" s="265" t="n"/>
      <c r="I145" s="265" t="n"/>
      <c r="J145" s="265" t="n"/>
      <c r="K145" s="265" t="n"/>
      <c r="L145" s="90" t="n"/>
    </row>
    <row r="146">
      <c r="A146" s="342" t="n">
        <v>7</v>
      </c>
      <c r="B146" s="265" t="inlineStr">
        <is>
          <t>Cylindrical Grinding - After Heat treatment</t>
        </is>
      </c>
      <c r="C146" s="70" t="inlineStr">
        <is>
          <t>Cylindrical Grinding</t>
        </is>
      </c>
      <c r="D146" s="265" t="n"/>
      <c r="E146" s="265" t="n"/>
      <c r="F146" s="265" t="n"/>
      <c r="G146" s="78">
        <f>VLOOKUP(C146,Table15[],2,FALSE)</f>
        <v/>
      </c>
      <c r="H146" s="265" t="n"/>
      <c r="I146" s="265" t="n"/>
      <c r="J146" s="265" t="n"/>
      <c r="K146" s="265" t="n"/>
      <c r="L146" s="90" t="n"/>
    </row>
    <row r="147">
      <c r="A147" s="437" t="n"/>
      <c r="B147" s="265" t="n"/>
      <c r="C147" s="70" t="n"/>
      <c r="D147" s="265" t="n"/>
      <c r="E147" s="265" t="n"/>
      <c r="F147" s="265" t="n"/>
      <c r="G147" s="265" t="n"/>
      <c r="H147" s="265" t="n"/>
      <c r="I147" s="265" t="n"/>
      <c r="J147" s="265" t="n"/>
      <c r="K147" s="265" t="n"/>
      <c r="L147" s="86" t="n"/>
    </row>
    <row r="148">
      <c r="A148" s="437" t="n"/>
      <c r="B148" s="265" t="n"/>
      <c r="C148" s="70" t="n"/>
      <c r="D148" s="265" t="n"/>
      <c r="E148" s="265" t="n"/>
      <c r="F148" s="265" t="n"/>
      <c r="G148" s="265" t="n"/>
      <c r="H148" s="265" t="n"/>
      <c r="I148" s="265" t="n"/>
      <c r="J148" s="265" t="n"/>
      <c r="K148" s="265" t="n"/>
      <c r="L148" s="86" t="n"/>
    </row>
    <row r="149">
      <c r="A149" s="437" t="n"/>
      <c r="B149" s="265" t="n"/>
      <c r="C149" s="70" t="n"/>
      <c r="D149" s="265" t="n"/>
      <c r="E149" s="265" t="n"/>
      <c r="F149" s="265" t="n"/>
      <c r="G149" s="265" t="n"/>
      <c r="H149" s="265" t="n"/>
      <c r="I149" s="265" t="n"/>
      <c r="J149" s="265" t="n"/>
      <c r="K149" s="265" t="n"/>
      <c r="L149" s="86" t="n"/>
    </row>
    <row r="150">
      <c r="A150" s="437" t="n"/>
      <c r="B150" s="265" t="n"/>
      <c r="C150" s="70" t="n"/>
      <c r="D150" s="265" t="n"/>
      <c r="E150" s="265" t="n"/>
      <c r="F150" s="265" t="n"/>
      <c r="G150" s="265" t="n"/>
      <c r="H150" s="265" t="n"/>
      <c r="I150" s="265" t="n"/>
      <c r="J150" s="265" t="n"/>
      <c r="K150" s="265" t="n"/>
      <c r="L150" s="86" t="n"/>
    </row>
    <row r="151">
      <c r="A151" s="437" t="n"/>
      <c r="B151" s="265" t="n"/>
      <c r="C151" s="70" t="n"/>
      <c r="D151" s="265" t="n"/>
      <c r="E151" s="265" t="n"/>
      <c r="F151" s="265" t="n"/>
      <c r="G151" s="265" t="n"/>
      <c r="H151" s="265" t="n"/>
      <c r="I151" s="265" t="n"/>
      <c r="J151" s="265" t="n"/>
      <c r="K151" s="265" t="n"/>
      <c r="L151" s="86" t="n"/>
    </row>
    <row r="152">
      <c r="A152" s="437" t="n"/>
      <c r="B152" s="265" t="n"/>
      <c r="C152" s="70" t="n"/>
      <c r="D152" s="265" t="n"/>
      <c r="E152" s="265" t="n"/>
      <c r="F152" s="265" t="n"/>
      <c r="G152" s="265" t="n"/>
      <c r="H152" s="265" t="n"/>
      <c r="I152" s="265" t="n"/>
      <c r="J152" s="265" t="n"/>
      <c r="K152" s="265" t="n"/>
      <c r="L152" s="86" t="n"/>
    </row>
    <row r="153">
      <c r="A153" s="437" t="n"/>
      <c r="B153" s="265" t="n"/>
      <c r="C153" s="70" t="n"/>
      <c r="D153" s="265" t="n"/>
      <c r="E153" s="265" t="n"/>
      <c r="F153" s="265" t="n"/>
      <c r="G153" s="265" t="n"/>
      <c r="H153" s="265" t="n"/>
      <c r="I153" s="265" t="n"/>
      <c r="J153" s="265" t="n"/>
      <c r="K153" s="265" t="n"/>
      <c r="L153" s="86" t="n"/>
    </row>
    <row r="154">
      <c r="A154" s="437" t="n"/>
      <c r="B154" s="265" t="n"/>
      <c r="C154" s="70" t="n"/>
      <c r="D154" s="265" t="n"/>
      <c r="E154" s="265" t="n"/>
      <c r="F154" s="265" t="n"/>
      <c r="G154" s="265" t="n"/>
      <c r="H154" s="265" t="n"/>
      <c r="I154" s="265" t="n"/>
      <c r="J154" s="265" t="n"/>
      <c r="K154" s="265" t="n"/>
      <c r="L154" s="86" t="n"/>
    </row>
    <row r="155">
      <c r="A155" s="457" t="n"/>
      <c r="B155" s="79" t="n"/>
      <c r="C155" s="79" t="n"/>
      <c r="D155" s="79" t="n"/>
      <c r="E155" s="79" t="n"/>
      <c r="F155" s="79" t="n"/>
      <c r="G155" s="79" t="n"/>
      <c r="H155" s="79" t="n"/>
      <c r="I155" s="79" t="n"/>
      <c r="J155" s="79" t="n"/>
      <c r="K155" s="79" t="n"/>
      <c r="L155" s="87" t="n"/>
    </row>
    <row r="157">
      <c r="A157" s="571" t="inlineStr">
        <is>
          <t>Guide Bush</t>
        </is>
      </c>
      <c r="C157" s="74">
        <f>SUM(L159:L174)</f>
        <v/>
      </c>
      <c r="D157" s="74" t="n"/>
      <c r="E157" s="74" t="n"/>
    </row>
    <row r="158" ht="16.5" customHeight="1" s="450">
      <c r="A158" s="75" t="inlineStr">
        <is>
          <t>Opn No</t>
        </is>
      </c>
      <c r="B158" s="76" t="inlineStr">
        <is>
          <t>Operation Name</t>
        </is>
      </c>
      <c r="C158" s="76" t="inlineStr">
        <is>
          <t>M/c Selected</t>
        </is>
      </c>
      <c r="D158" s="77" t="inlineStr">
        <is>
          <t>Initial Volume in cm3</t>
        </is>
      </c>
      <c r="E158" s="77" t="inlineStr">
        <is>
          <t>Final Volume in cm3</t>
        </is>
      </c>
      <c r="F158" s="77" t="inlineStr">
        <is>
          <t>Material to be removed in cm3</t>
        </is>
      </c>
      <c r="G158" s="77" t="inlineStr">
        <is>
          <t>Standard MRR in cm3 per min</t>
        </is>
      </c>
      <c r="H158" s="77" t="inlineStr">
        <is>
          <t>Cycle Time in Mins</t>
        </is>
      </c>
      <c r="I158" s="77" t="inlineStr">
        <is>
          <t>Programming</t>
        </is>
      </c>
      <c r="J158" s="77" t="inlineStr">
        <is>
          <t>Tool Change Time</t>
        </is>
      </c>
      <c r="K158" s="77" t="inlineStr">
        <is>
          <t>Fixture Set-up time in mins</t>
        </is>
      </c>
      <c r="L158" s="85" t="inlineStr">
        <is>
          <t>M/c Time</t>
        </is>
      </c>
    </row>
    <row r="159">
      <c r="A159" s="342" t="n">
        <v>1</v>
      </c>
      <c r="B159" s="70" t="inlineStr">
        <is>
          <t>Turning - Working Diameter ( Dia 29 x 91)</t>
        </is>
      </c>
      <c r="C159" s="70" t="inlineStr">
        <is>
          <t>CNC Lathe</t>
        </is>
      </c>
      <c r="D159" s="78">
        <f>0.785*('Guide Pillar'!$F$10+10)*('Guide Pillar'!$F$10+10)*('Guide Pillar'!$H$19+10)/1000*4</f>
        <v/>
      </c>
      <c r="E159" s="78">
        <f>0.785*('Guide Pillar'!$F$10)*('Guide Pillar'!$F$10)*('Guide Pillar'!$H$19)/1000*4</f>
        <v/>
      </c>
      <c r="F159" s="78">
        <f>D159-E159</f>
        <v/>
      </c>
      <c r="G159" s="78">
        <f>VLOOKUP(C159,Table15[],2,FALSE)</f>
        <v/>
      </c>
      <c r="H159" s="81">
        <f>F159/G159</f>
        <v/>
      </c>
      <c r="I159" s="265" t="n"/>
      <c r="J159" s="265" t="n">
        <v>30</v>
      </c>
      <c r="K159" s="265" t="n">
        <v>45</v>
      </c>
      <c r="L159" s="42">
        <f>ROUNDUP((K159+H159+I159+J159)/60,0)</f>
        <v/>
      </c>
      <c r="M159" t="inlineStr">
        <is>
          <t>To be worked-out properly</t>
        </is>
      </c>
    </row>
    <row r="160">
      <c r="A160" s="342" t="n">
        <v>2</v>
      </c>
      <c r="B160" s="265" t="inlineStr">
        <is>
          <t>Turning - Fitting Diameter ( Dia 39 x 91)</t>
        </is>
      </c>
      <c r="C160" s="70" t="inlineStr">
        <is>
          <t>CNC Lathe</t>
        </is>
      </c>
      <c r="D160" s="78">
        <f>0.785*('Guide Pillar'!$F$10+1)*('Guide Pillar'!$F$10+1)*('Guide Pillar'!$H$19+1)/1000*4</f>
        <v/>
      </c>
      <c r="E160" s="78">
        <f>0.785*('Guide Pillar'!$F$10)*('Guide Pillar'!$F$10)*('Guide Pillar'!$H$19)/1000*4</f>
        <v/>
      </c>
      <c r="F160" s="78">
        <f>D160-E160</f>
        <v/>
      </c>
      <c r="G160" s="78">
        <f>VLOOKUP(C160,Table15[],2,FALSE)</f>
        <v/>
      </c>
      <c r="H160" s="81">
        <f>F160/G160</f>
        <v/>
      </c>
      <c r="I160" s="265" t="n"/>
      <c r="J160" s="265" t="n">
        <v>30</v>
      </c>
      <c r="K160" s="265" t="n">
        <v>45</v>
      </c>
      <c r="L160" s="42">
        <f>ROUNDUP((K160+H160+I160+J160)/60,0)</f>
        <v/>
      </c>
      <c r="M160" t="inlineStr">
        <is>
          <t>To be worked-out properly</t>
        </is>
      </c>
    </row>
    <row r="161">
      <c r="A161" s="342" t="n">
        <v>3</v>
      </c>
      <c r="B161" s="265" t="inlineStr">
        <is>
          <t>Turning - Collar Diameter ( Dia 29 x 91)</t>
        </is>
      </c>
      <c r="C161" s="70" t="inlineStr">
        <is>
          <t>CNC Lathe</t>
        </is>
      </c>
      <c r="D161" s="78">
        <f>0.785*('Guide Pillar'!$F$10+10)*('Guide Pillar'!$F$10+10)*(6+10)/1000*4</f>
        <v/>
      </c>
      <c r="E161" s="265" t="n">
        <v>0</v>
      </c>
      <c r="F161" s="78">
        <f>D161-E161</f>
        <v/>
      </c>
      <c r="G161" s="78">
        <f>VLOOKUP(C161,Table15[],2,FALSE)</f>
        <v/>
      </c>
      <c r="H161" s="78">
        <f>F161/G161</f>
        <v/>
      </c>
      <c r="I161" s="265" t="n"/>
      <c r="J161" s="265" t="n">
        <v>30</v>
      </c>
      <c r="K161" s="265" t="n">
        <v>45</v>
      </c>
      <c r="L161" s="42">
        <f>ROUNDUP((K161+H161+I161+J161)/60,0)</f>
        <v/>
      </c>
      <c r="M161" t="inlineStr">
        <is>
          <t>To be worked-out properly</t>
        </is>
      </c>
    </row>
    <row r="162">
      <c r="A162" s="342" t="n">
        <v>4</v>
      </c>
      <c r="B162" s="265" t="inlineStr">
        <is>
          <t>Parting-off</t>
        </is>
      </c>
      <c r="C162" s="70" t="inlineStr">
        <is>
          <t>CNC Lathe</t>
        </is>
      </c>
      <c r="D162" s="78">
        <f>3.14*2*2*1*4</f>
        <v/>
      </c>
      <c r="E162" s="265" t="n">
        <v>0</v>
      </c>
      <c r="F162" s="78">
        <f>D162-E162</f>
        <v/>
      </c>
      <c r="G162" s="78">
        <f>VLOOKUP(C162,Table15[],2,FALSE)</f>
        <v/>
      </c>
      <c r="H162" s="78">
        <f>F162/G162</f>
        <v/>
      </c>
      <c r="I162" s="265" t="n"/>
      <c r="J162" s="265" t="n">
        <v>30</v>
      </c>
      <c r="K162" s="265" t="n">
        <v>45</v>
      </c>
      <c r="L162" s="42">
        <f>ROUNDUP((K162+H162+I162+J162)/60,0)</f>
        <v/>
      </c>
      <c r="M162" t="inlineStr">
        <is>
          <t>To be worked-out properly</t>
        </is>
      </c>
    </row>
    <row r="163">
      <c r="A163" s="342" t="n">
        <v>5</v>
      </c>
      <c r="B163" s="265" t="inlineStr">
        <is>
          <t>Grooving</t>
        </is>
      </c>
      <c r="C163" s="70" t="inlineStr">
        <is>
          <t>CNC Lathe</t>
        </is>
      </c>
      <c r="D163" s="265" t="n"/>
      <c r="E163" s="265" t="n"/>
      <c r="F163" s="265" t="n"/>
      <c r="G163" s="78">
        <f>VLOOKUP(C163,Table15[],2,FALSE)</f>
        <v/>
      </c>
      <c r="H163" s="265" t="n"/>
      <c r="I163" s="265" t="n"/>
      <c r="J163" s="265" t="n"/>
      <c r="K163" s="265" t="n"/>
      <c r="L163" s="86" t="n"/>
    </row>
    <row r="164">
      <c r="A164" s="342" t="n">
        <v>6</v>
      </c>
      <c r="B164" s="265" t="inlineStr">
        <is>
          <t>Cylindrical Grinding - Before Heat treatment</t>
        </is>
      </c>
      <c r="C164" s="70" t="inlineStr">
        <is>
          <t>Cylindrical Grinding</t>
        </is>
      </c>
      <c r="D164" s="265" t="n"/>
      <c r="E164" s="265" t="n"/>
      <c r="F164" s="265" t="n"/>
      <c r="G164" s="78">
        <f>VLOOKUP(C164,Table15[],2,FALSE)</f>
        <v/>
      </c>
      <c r="H164" s="265" t="n"/>
      <c r="I164" s="265" t="n"/>
      <c r="J164" s="265" t="n"/>
      <c r="K164" s="265" t="n"/>
      <c r="L164" s="86" t="n"/>
    </row>
    <row r="165">
      <c r="A165" s="342" t="n">
        <v>7</v>
      </c>
      <c r="B165" s="265" t="inlineStr">
        <is>
          <t>Cylindrical Grinding - After Heat treatment</t>
        </is>
      </c>
      <c r="C165" s="70" t="inlineStr">
        <is>
          <t>Cylindrical Grinding</t>
        </is>
      </c>
      <c r="D165" s="265" t="n"/>
      <c r="E165" s="265" t="n"/>
      <c r="F165" s="265" t="n"/>
      <c r="G165" s="78">
        <f>VLOOKUP(C165,Table15[],2,FALSE)</f>
        <v/>
      </c>
      <c r="H165" s="265" t="n"/>
      <c r="I165" s="265" t="n"/>
      <c r="J165" s="265" t="n"/>
      <c r="K165" s="265" t="n"/>
      <c r="L165" s="86" t="n"/>
    </row>
    <row r="166">
      <c r="A166" s="437" t="n"/>
      <c r="B166" s="265" t="n"/>
      <c r="C166" s="70" t="n"/>
      <c r="D166" s="265" t="n"/>
      <c r="E166" s="265" t="n"/>
      <c r="F166" s="265" t="n"/>
      <c r="G166" s="265" t="n"/>
      <c r="H166" s="265" t="n"/>
      <c r="I166" s="265" t="n"/>
      <c r="J166" s="265" t="n"/>
      <c r="K166" s="265" t="n"/>
      <c r="L166" s="86" t="n"/>
    </row>
    <row r="167">
      <c r="A167" s="437" t="n"/>
      <c r="B167" s="265" t="n"/>
      <c r="C167" s="70" t="n"/>
      <c r="D167" s="265" t="n"/>
      <c r="E167" s="265" t="n"/>
      <c r="F167" s="265" t="n"/>
      <c r="G167" s="265" t="n"/>
      <c r="H167" s="265" t="n"/>
      <c r="I167" s="265" t="n"/>
      <c r="J167" s="265" t="n"/>
      <c r="K167" s="265" t="n"/>
      <c r="L167" s="86" t="n"/>
    </row>
    <row r="168">
      <c r="A168" s="437" t="n"/>
      <c r="B168" s="265" t="n"/>
      <c r="C168" s="70" t="n"/>
      <c r="D168" s="265" t="n"/>
      <c r="E168" s="265" t="n"/>
      <c r="F168" s="265" t="n"/>
      <c r="G168" s="265" t="n"/>
      <c r="H168" s="265" t="n"/>
      <c r="I168" s="265" t="n"/>
      <c r="J168" s="265" t="n"/>
      <c r="K168" s="265" t="n"/>
      <c r="L168" s="86" t="n"/>
    </row>
    <row r="169">
      <c r="A169" s="437" t="n"/>
      <c r="B169" s="265" t="n"/>
      <c r="C169" s="70" t="n"/>
      <c r="D169" s="265" t="n"/>
      <c r="E169" s="265" t="n"/>
      <c r="F169" s="265" t="n"/>
      <c r="G169" s="265" t="n"/>
      <c r="H169" s="265" t="n"/>
      <c r="I169" s="265" t="n"/>
      <c r="J169" s="265" t="n"/>
      <c r="K169" s="265" t="n"/>
      <c r="L169" s="86" t="n"/>
    </row>
    <row r="170">
      <c r="A170" s="437" t="n"/>
      <c r="B170" s="265" t="n"/>
      <c r="C170" s="70" t="n"/>
      <c r="D170" s="265" t="n"/>
      <c r="E170" s="265" t="n"/>
      <c r="F170" s="265" t="n"/>
      <c r="G170" s="265" t="n"/>
      <c r="H170" s="265" t="n"/>
      <c r="I170" s="265" t="n"/>
      <c r="J170" s="265" t="n"/>
      <c r="K170" s="265" t="n"/>
      <c r="L170" s="86" t="n"/>
    </row>
    <row r="171">
      <c r="A171" s="437" t="n"/>
      <c r="B171" s="265" t="n"/>
      <c r="C171" s="70" t="n"/>
      <c r="D171" s="265" t="n"/>
      <c r="E171" s="265" t="n"/>
      <c r="F171" s="265" t="n"/>
      <c r="G171" s="265" t="n"/>
      <c r="H171" s="265" t="n"/>
      <c r="I171" s="265" t="n"/>
      <c r="J171" s="265" t="n"/>
      <c r="K171" s="265" t="n"/>
      <c r="L171" s="86" t="n"/>
    </row>
    <row r="172">
      <c r="A172" s="437" t="n"/>
      <c r="B172" s="265" t="n"/>
      <c r="C172" s="70" t="n"/>
      <c r="D172" s="265" t="n"/>
      <c r="E172" s="265" t="n"/>
      <c r="F172" s="265" t="n"/>
      <c r="G172" s="265" t="n"/>
      <c r="H172" s="265" t="n"/>
      <c r="I172" s="265" t="n"/>
      <c r="J172" s="265" t="n"/>
      <c r="K172" s="265" t="n"/>
      <c r="L172" s="86" t="n"/>
    </row>
    <row r="173">
      <c r="A173" s="437" t="n"/>
      <c r="B173" s="265" t="n"/>
      <c r="C173" s="70" t="n"/>
      <c r="D173" s="265" t="n"/>
      <c r="E173" s="265" t="n"/>
      <c r="F173" s="265" t="n"/>
      <c r="G173" s="265" t="n"/>
      <c r="H173" s="265" t="n"/>
      <c r="I173" s="265" t="n"/>
      <c r="J173" s="265" t="n"/>
      <c r="K173" s="265" t="n"/>
      <c r="L173" s="86" t="n"/>
    </row>
    <row r="174">
      <c r="A174" s="457" t="n"/>
      <c r="B174" s="79" t="n"/>
      <c r="C174" s="79" t="n"/>
      <c r="D174" s="79" t="n"/>
      <c r="E174" s="79" t="n"/>
      <c r="F174" s="79" t="n"/>
      <c r="G174" s="79" t="n"/>
      <c r="H174" s="79" t="n"/>
      <c r="I174" s="79" t="n"/>
      <c r="J174" s="79" t="n"/>
      <c r="K174" s="79" t="n"/>
      <c r="L174" s="87"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6.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50" min="1" max="1"/>
    <col width="14.453125" customWidth="1" style="450" min="2" max="2"/>
    <col width="10.90625" customWidth="1" style="450" min="3" max="3"/>
    <col width="12" customWidth="1" style="450" min="5" max="5"/>
    <col width="11.26953125" bestFit="1" customWidth="1" style="450" min="6" max="6"/>
    <col width="13.90625" customWidth="1" style="450" min="7" max="7"/>
    <col width="15.26953125" customWidth="1" style="450" min="8" max="8"/>
    <col width="10.6328125" customWidth="1" style="450" min="9" max="9"/>
    <col width="10.90625" customWidth="1" style="450" min="11" max="11"/>
  </cols>
  <sheetData>
    <row r="1">
      <c r="A1" s="6" t="inlineStr">
        <is>
          <t xml:space="preserve">TVSM MHR  cost Norms </t>
        </is>
      </c>
    </row>
    <row r="2" ht="29" customHeight="1" s="450">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1"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50">
      <c r="A4" s="15" t="n">
        <v>1</v>
      </c>
      <c r="B4" s="16" t="n">
        <v>60</v>
      </c>
      <c r="C4" s="17" t="n">
        <v>450</v>
      </c>
      <c r="D4" s="17" t="n"/>
    </row>
    <row r="5">
      <c r="A5" s="15" t="n">
        <v>2</v>
      </c>
      <c r="B5" s="16" t="n">
        <v>80</v>
      </c>
      <c r="C5" s="17" t="n">
        <v>450</v>
      </c>
      <c r="D5" s="17" t="n"/>
      <c r="E5" s="572" t="inlineStr">
        <is>
          <t>Machine operation cost due to tonnage</t>
        </is>
      </c>
      <c r="F5" s="573" t="n"/>
      <c r="G5" s="573" t="n"/>
      <c r="H5" s="573" t="n"/>
      <c r="I5" s="57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4">
        <f>I6*I7/(I8*3600)</f>
        <v/>
      </c>
      <c r="G7" s="18" t="n"/>
      <c r="H7" s="18" t="inlineStr">
        <is>
          <t>No. of Part</t>
        </is>
      </c>
      <c r="I7" s="18">
        <f>'Input-Output'!B11</f>
        <v/>
      </c>
    </row>
    <row r="8" ht="29" customHeight="1" s="450">
      <c r="A8" s="15" t="n">
        <v>5</v>
      </c>
      <c r="B8" s="16" t="n">
        <v>180</v>
      </c>
      <c r="C8" s="17" t="n">
        <v>560</v>
      </c>
      <c r="D8" s="17" t="n"/>
      <c r="E8" s="19" t="inlineStr">
        <is>
          <t>Cost for Tonnage</t>
        </is>
      </c>
      <c r="F8" s="638">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0"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2"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336" t="inlineStr">
        <is>
          <t>Part Material</t>
        </is>
      </c>
      <c r="B26" s="336" t="inlineStr">
        <is>
          <t>Price/kg</t>
        </is>
      </c>
      <c r="C26" s="336" t="inlineStr">
        <is>
          <t>Tonnage Constant(/mm2)</t>
        </is>
      </c>
    </row>
    <row r="27">
      <c r="A27" s="336">
        <f>Database!A20</f>
        <v/>
      </c>
      <c r="B27" s="336">
        <f>Database!B20</f>
        <v/>
      </c>
      <c r="C27" s="336">
        <f>Database!C20/100</f>
        <v/>
      </c>
    </row>
    <row r="28">
      <c r="A28" s="336">
        <f>Database!A21</f>
        <v/>
      </c>
      <c r="B28" s="336">
        <f>Database!B21</f>
        <v/>
      </c>
      <c r="C28" s="336">
        <f>Database!C21/100</f>
        <v/>
      </c>
    </row>
    <row r="29">
      <c r="A29" s="336">
        <f>Database!A22</f>
        <v/>
      </c>
      <c r="B29" s="336">
        <f>Database!B22</f>
        <v/>
      </c>
      <c r="C29" s="336">
        <f>Database!C22/100</f>
        <v/>
      </c>
    </row>
    <row r="30">
      <c r="A30" s="336">
        <f>Database!A23</f>
        <v/>
      </c>
      <c r="B30" s="336">
        <f>Database!B23</f>
        <v/>
      </c>
      <c r="C30" s="336">
        <f>Database!C23/100</f>
        <v/>
      </c>
    </row>
    <row r="31">
      <c r="A31" s="336">
        <f>Database!A24</f>
        <v/>
      </c>
      <c r="B31" s="336">
        <f>Database!B24</f>
        <v/>
      </c>
      <c r="C31" s="336">
        <f>Database!C24/100</f>
        <v/>
      </c>
    </row>
    <row r="32">
      <c r="A32" s="336">
        <f>Database!A25</f>
        <v/>
      </c>
      <c r="B32" s="336">
        <f>Database!B25</f>
        <v/>
      </c>
      <c r="C32" s="336">
        <f>Database!C25/100</f>
        <v/>
      </c>
    </row>
    <row r="33">
      <c r="A33" s="336">
        <f>Database!A26</f>
        <v/>
      </c>
      <c r="B33" s="336">
        <f>Database!B26</f>
        <v/>
      </c>
      <c r="C33" s="336">
        <f>Database!C26/100</f>
        <v/>
      </c>
    </row>
    <row r="34">
      <c r="A34" s="336">
        <f>Database!A27</f>
        <v/>
      </c>
      <c r="B34" s="336">
        <f>Database!B27</f>
        <v/>
      </c>
      <c r="C34" s="336">
        <f>Database!C27/100</f>
        <v/>
      </c>
    </row>
  </sheetData>
  <mergeCells count="1">
    <mergeCell ref="E5:I5"/>
  </mergeCells>
  <pageMargins left="0.7" right="0.7" top="0.75" bottom="0.75" header="0.3" footer="0.3"/>
  <pageSetup orientation="portrait"/>
  <tableParts count="1">
    <tablePart r:id="rId1"/>
  </tableParts>
</worksheet>
</file>

<file path=xl/worksheets/sheet17.xml><?xml version="1.0" encoding="utf-8"?>
<worksheet xmlns="http://schemas.openxmlformats.org/spreadsheetml/2006/main">
  <sheetPr codeName="Sheet10">
    <tabColor rgb="FF92D050"/>
    <outlinePr summaryBelow="1" summaryRight="1"/>
    <pageSetUpPr/>
  </sheetPr>
  <dimension ref="A1:E15"/>
  <sheetViews>
    <sheetView workbookViewId="0">
      <selection activeCell="B6" sqref="B6"/>
    </sheetView>
  </sheetViews>
  <sheetFormatPr baseColWidth="8" defaultColWidth="9" defaultRowHeight="14.5"/>
  <cols>
    <col width="24.90625" customWidth="1" style="450" min="1" max="1"/>
    <col width="27.08984375" customWidth="1" style="450"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5">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2023-07-11T12:22:04Z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