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9680DE28-BF04-42B8-9EF4-47DAE01858AA}" xr6:coauthVersionLast="45" xr6:coauthVersionMax="45" xr10:uidLastSave="{00000000-0000-0000-0000-000000000000}"/>
  <bookViews>
    <workbookView xWindow="-108" yWindow="-108" windowWidth="23256" windowHeight="12720" firstSheet="9" activeTab="11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Heat Load Calculation Summary" sheetId="12" r:id="rId11"/>
    <sheet name="Piping Calculation" sheetId="15" r:id="rId12"/>
    <sheet name="References" sheetId="4" state="hidden" r:id="rId13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2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5" l="1"/>
  <c r="P23" i="15"/>
  <c r="I23" i="15"/>
  <c r="G23" i="15"/>
  <c r="E23" i="15"/>
  <c r="C23" i="15"/>
  <c r="I22" i="15"/>
  <c r="G22" i="15"/>
  <c r="E22" i="15"/>
  <c r="C22" i="15"/>
  <c r="I21" i="15"/>
  <c r="G21" i="15"/>
  <c r="E21" i="15"/>
  <c r="C21" i="15"/>
  <c r="I20" i="15"/>
  <c r="G20" i="15"/>
  <c r="J19" i="15" s="1"/>
  <c r="K19" i="15" s="1"/>
  <c r="E20" i="15"/>
  <c r="C20" i="15"/>
  <c r="I19" i="15"/>
  <c r="G19" i="15"/>
  <c r="E19" i="15"/>
  <c r="C19" i="15"/>
  <c r="I18" i="15"/>
  <c r="G18" i="15"/>
  <c r="E18" i="15"/>
  <c r="C18" i="15"/>
  <c r="I17" i="15"/>
  <c r="G17" i="15"/>
  <c r="E17" i="15"/>
  <c r="C17" i="15"/>
  <c r="I16" i="15"/>
  <c r="G16" i="15"/>
  <c r="E16" i="15"/>
  <c r="C16" i="15"/>
  <c r="I15" i="15"/>
  <c r="G15" i="15"/>
  <c r="E15" i="15"/>
  <c r="C15" i="15"/>
  <c r="I14" i="15"/>
  <c r="G14" i="15"/>
  <c r="J13" i="15" s="1"/>
  <c r="K13" i="15" s="1"/>
  <c r="E14" i="15"/>
  <c r="C14" i="15"/>
  <c r="I13" i="15"/>
  <c r="G13" i="15"/>
  <c r="E13" i="15"/>
  <c r="C13" i="15"/>
  <c r="I12" i="15"/>
  <c r="G12" i="15"/>
  <c r="E12" i="15"/>
  <c r="C12" i="15"/>
  <c r="I11" i="15"/>
  <c r="G11" i="15"/>
  <c r="E11" i="15"/>
  <c r="C11" i="15"/>
  <c r="I10" i="15"/>
  <c r="G10" i="15"/>
  <c r="E10" i="15"/>
  <c r="C10" i="15"/>
  <c r="P9" i="15"/>
  <c r="I9" i="15"/>
  <c r="G9" i="15"/>
  <c r="E9" i="15"/>
  <c r="C9" i="15"/>
  <c r="I8" i="15"/>
  <c r="G8" i="15"/>
  <c r="E8" i="15"/>
  <c r="C8" i="15"/>
  <c r="I7" i="15"/>
  <c r="G7" i="15"/>
  <c r="E7" i="15"/>
  <c r="C7" i="15"/>
  <c r="P6" i="15"/>
  <c r="I6" i="15"/>
  <c r="G6" i="15"/>
  <c r="E6" i="15"/>
  <c r="C6" i="15"/>
  <c r="I5" i="15"/>
  <c r="J5" i="15" s="1"/>
  <c r="K5" i="15" s="1"/>
  <c r="G5" i="15"/>
  <c r="E5" i="15"/>
  <c r="C5" i="15"/>
  <c r="I4" i="15"/>
  <c r="G4" i="15"/>
  <c r="J4" i="15" s="1"/>
  <c r="E4" i="15"/>
  <c r="C4" i="15"/>
  <c r="I3" i="15"/>
  <c r="G3" i="15"/>
  <c r="E3" i="15"/>
  <c r="C3" i="15"/>
  <c r="I2" i="15"/>
  <c r="G2" i="15"/>
  <c r="E2" i="15"/>
  <c r="C2" i="15"/>
  <c r="J23" i="15" l="1"/>
  <c r="K23" i="15" s="1"/>
  <c r="J11" i="15"/>
  <c r="K11" i="15" s="1"/>
  <c r="J17" i="15"/>
  <c r="K17" i="15" s="1"/>
  <c r="J6" i="15"/>
  <c r="K6" i="15" s="1"/>
  <c r="J9" i="15"/>
  <c r="K9" i="15" s="1"/>
  <c r="J15" i="15"/>
  <c r="K15" i="15" s="1"/>
  <c r="J10" i="15"/>
  <c r="J21" i="15"/>
  <c r="K21" i="15" s="1"/>
  <c r="J7" i="15"/>
  <c r="K7" i="15" s="1"/>
  <c r="J3" i="15"/>
  <c r="K3" i="15" s="1"/>
  <c r="K18" i="15"/>
  <c r="K10" i="15"/>
  <c r="K4" i="15"/>
  <c r="J2" i="15"/>
  <c r="K2" i="15" s="1"/>
  <c r="J8" i="15"/>
  <c r="K8" i="15" s="1"/>
  <c r="J12" i="15"/>
  <c r="K12" i="15" s="1"/>
  <c r="J14" i="15"/>
  <c r="K14" i="15" s="1"/>
  <c r="J16" i="15"/>
  <c r="K16" i="15" s="1"/>
  <c r="J18" i="15"/>
  <c r="J20" i="15"/>
  <c r="K20" i="15" s="1"/>
  <c r="J22" i="15"/>
  <c r="K22" i="15" s="1"/>
  <c r="K24" i="15" l="1"/>
  <c r="K82" i="3" l="1"/>
  <c r="K24" i="3"/>
  <c r="H89" i="7"/>
  <c r="H88" i="7"/>
  <c r="H85" i="7"/>
  <c r="H80" i="7"/>
  <c r="H78" i="7"/>
  <c r="H76" i="7"/>
  <c r="H74" i="7"/>
  <c r="H73" i="7"/>
  <c r="H72" i="7"/>
  <c r="H71" i="7"/>
  <c r="H70" i="7"/>
  <c r="H68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7" i="7"/>
  <c r="H44" i="7"/>
  <c r="H43" i="7"/>
  <c r="H41" i="7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H39" i="7"/>
  <c r="H36" i="7"/>
  <c r="H33" i="7"/>
  <c r="H32" i="7"/>
  <c r="H31" i="7"/>
  <c r="H30" i="7"/>
  <c r="H28" i="7"/>
  <c r="H26" i="7"/>
  <c r="H23" i="7"/>
  <c r="H21" i="7"/>
  <c r="H19" i="7"/>
  <c r="H18" i="7"/>
  <c r="H17" i="7"/>
  <c r="H13" i="7"/>
  <c r="H12" i="7"/>
  <c r="H11" i="7"/>
  <c r="H9" i="7"/>
  <c r="H7" i="7"/>
  <c r="H6" i="7"/>
  <c r="H4" i="7"/>
  <c r="J125" i="8" l="1"/>
  <c r="J126" i="8"/>
  <c r="K227" i="3"/>
  <c r="C208" i="3"/>
  <c r="C192" i="3"/>
  <c r="C147" i="3"/>
  <c r="K133" i="3"/>
  <c r="C120" i="3"/>
  <c r="C89" i="3"/>
  <c r="C70" i="3"/>
  <c r="L121" i="5"/>
  <c r="K121" i="5"/>
  <c r="K43" i="5"/>
  <c r="J43" i="5"/>
  <c r="G39" i="5"/>
  <c r="K12" i="5"/>
  <c r="J12" i="5"/>
  <c r="H160" i="10"/>
  <c r="H94" i="10"/>
  <c r="F92" i="10"/>
  <c r="F79" i="10"/>
  <c r="H54" i="10"/>
  <c r="H48" i="10"/>
  <c r="H44" i="10"/>
  <c r="H21" i="10"/>
  <c r="F8" i="10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B166" i="10" l="1"/>
  <c r="F166" i="10" s="1"/>
  <c r="B165" i="10"/>
  <c r="F165" i="10" s="1"/>
  <c r="G126" i="9"/>
  <c r="I126" i="9" s="1"/>
  <c r="H126" i="9"/>
  <c r="J126" i="9" s="1"/>
  <c r="G125" i="9"/>
  <c r="I125" i="9" s="1"/>
  <c r="H125" i="9"/>
  <c r="J125" i="9" s="1"/>
  <c r="G126" i="8"/>
  <c r="I126" i="8" s="1"/>
  <c r="H125" i="8"/>
  <c r="G125" i="8"/>
  <c r="G48" i="6"/>
  <c r="H48" i="6" s="1"/>
  <c r="C236" i="3"/>
  <c r="C235" i="3"/>
  <c r="B236" i="3"/>
  <c r="B235" i="3"/>
  <c r="G235" i="3"/>
  <c r="G236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G233" i="3"/>
  <c r="G234" i="3"/>
  <c r="M106" i="1"/>
  <c r="M112" i="1"/>
  <c r="D113" i="1"/>
  <c r="D112" i="1"/>
  <c r="M111" i="1"/>
  <c r="M114" i="1"/>
  <c r="M117" i="1"/>
  <c r="M122" i="1"/>
  <c r="M129" i="1"/>
  <c r="M128" i="1"/>
  <c r="M100" i="1"/>
  <c r="M91" i="1"/>
  <c r="M90" i="1"/>
  <c r="M84" i="1"/>
  <c r="M83" i="1"/>
  <c r="M81" i="1"/>
  <c r="M80" i="1"/>
  <c r="M79" i="1"/>
  <c r="M77" i="1"/>
  <c r="M71" i="1"/>
  <c r="M70" i="1"/>
  <c r="M69" i="1"/>
  <c r="M65" i="1"/>
  <c r="M63" i="1"/>
  <c r="M62" i="1"/>
  <c r="M60" i="1"/>
  <c r="M58" i="1"/>
  <c r="M53" i="1"/>
  <c r="H126" i="8" l="1"/>
  <c r="I125" i="8"/>
  <c r="H49" i="6"/>
  <c r="I236" i="3"/>
  <c r="I235" i="3"/>
  <c r="H235" i="3"/>
  <c r="H236" i="3"/>
  <c r="J35" i="2"/>
  <c r="F10" i="2"/>
  <c r="F4" i="2"/>
  <c r="F5" i="2"/>
  <c r="F6" i="2"/>
  <c r="F7" i="2"/>
  <c r="K7" i="2" s="1"/>
  <c r="F8" i="2"/>
  <c r="F9" i="2"/>
  <c r="K9" i="2" s="1"/>
  <c r="F11" i="2"/>
  <c r="F12" i="2"/>
  <c r="K12" i="2" s="1"/>
  <c r="F13" i="2"/>
  <c r="K13" i="2" s="1"/>
  <c r="F14" i="2"/>
  <c r="K14" i="2" s="1"/>
  <c r="F15" i="2"/>
  <c r="K15" i="2" s="1"/>
  <c r="F16" i="2"/>
  <c r="F17" i="2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K31" i="2" s="1"/>
  <c r="F32" i="2"/>
  <c r="F33" i="2"/>
  <c r="K6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5" i="2"/>
  <c r="K8" i="2"/>
  <c r="K10" i="2"/>
  <c r="K11" i="2"/>
  <c r="K16" i="2"/>
  <c r="K17" i="2"/>
  <c r="K20" i="2"/>
  <c r="K28" i="2"/>
  <c r="K29" i="2"/>
  <c r="K33" i="2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K27" i="2" l="1"/>
  <c r="K19" i="2"/>
  <c r="K32" i="2"/>
  <c r="K24" i="2"/>
  <c r="K26" i="2"/>
  <c r="K25" i="2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D6" i="12"/>
  <c r="C6" i="12"/>
  <c r="B6" i="12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H72" i="3" l="1"/>
  <c r="I72" i="3"/>
  <c r="I71" i="3"/>
  <c r="H71" i="3"/>
  <c r="O6" i="6"/>
  <c r="P7" i="5"/>
  <c r="P6" i="5"/>
  <c r="P5" i="5"/>
  <c r="O7" i="5"/>
  <c r="O6" i="5"/>
  <c r="O5" i="5"/>
  <c r="Q7" i="5"/>
  <c r="Q6" i="5"/>
  <c r="P8" i="5"/>
  <c r="O8" i="5"/>
  <c r="B164" i="10"/>
  <c r="Q5" i="5" l="1"/>
  <c r="Q8" i="5" s="1"/>
  <c r="A82" i="4" l="1"/>
  <c r="D160" i="11" l="1"/>
  <c r="D82" i="11"/>
  <c r="D116" i="11"/>
  <c r="D135" i="11"/>
  <c r="D136" i="11"/>
  <c r="D59" i="11"/>
  <c r="D43" i="11"/>
  <c r="D42" i="11"/>
  <c r="D41" i="11"/>
  <c r="D13" i="11"/>
  <c r="D12" i="11"/>
  <c r="D11" i="11"/>
  <c r="D10" i="11"/>
  <c r="D118" i="11"/>
  <c r="D88" i="11"/>
  <c r="D90" i="11"/>
  <c r="D87" i="11"/>
  <c r="D200" i="11" l="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G201" i="11" s="1"/>
  <c r="N7" i="11" s="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7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89" i="11"/>
  <c r="D86" i="11"/>
  <c r="D85" i="11"/>
  <c r="D84" i="11"/>
  <c r="D83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9" i="11"/>
  <c r="D8" i="11"/>
  <c r="D7" i="11"/>
  <c r="D6" i="11"/>
  <c r="D4" i="1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M6" i="10" s="1"/>
  <c r="F167" i="10"/>
  <c r="M7" i="10" s="1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J124" i="9" s="1"/>
  <c r="G124" i="9"/>
  <c r="I124" i="9" s="1"/>
  <c r="H123" i="9"/>
  <c r="J123" i="9" s="1"/>
  <c r="G123" i="9"/>
  <c r="I123" i="9" s="1"/>
  <c r="H122" i="9"/>
  <c r="J122" i="9" s="1"/>
  <c r="G122" i="9"/>
  <c r="I122" i="9" s="1"/>
  <c r="H121" i="9"/>
  <c r="J121" i="9" s="1"/>
  <c r="G121" i="9"/>
  <c r="I121" i="9" s="1"/>
  <c r="H120" i="9"/>
  <c r="J120" i="9" s="1"/>
  <c r="G120" i="9"/>
  <c r="I120" i="9" s="1"/>
  <c r="H119" i="9"/>
  <c r="J119" i="9" s="1"/>
  <c r="G119" i="9"/>
  <c r="I119" i="9" s="1"/>
  <c r="H118" i="9"/>
  <c r="J118" i="9" s="1"/>
  <c r="G118" i="9"/>
  <c r="I118" i="9" s="1"/>
  <c r="H117" i="9"/>
  <c r="J117" i="9" s="1"/>
  <c r="G117" i="9"/>
  <c r="I117" i="9" s="1"/>
  <c r="H116" i="9"/>
  <c r="J116" i="9" s="1"/>
  <c r="G116" i="9"/>
  <c r="I116" i="9" s="1"/>
  <c r="H115" i="9"/>
  <c r="J115" i="9" s="1"/>
  <c r="G115" i="9"/>
  <c r="I115" i="9" s="1"/>
  <c r="H114" i="9"/>
  <c r="J114" i="9" s="1"/>
  <c r="G114" i="9"/>
  <c r="I114" i="9" s="1"/>
  <c r="H113" i="9"/>
  <c r="J113" i="9" s="1"/>
  <c r="G113" i="9"/>
  <c r="I113" i="9" s="1"/>
  <c r="H112" i="9"/>
  <c r="J112" i="9" s="1"/>
  <c r="G112" i="9"/>
  <c r="I112" i="9" s="1"/>
  <c r="H111" i="9"/>
  <c r="J111" i="9" s="1"/>
  <c r="G111" i="9"/>
  <c r="I111" i="9" s="1"/>
  <c r="H110" i="9"/>
  <c r="J110" i="9" s="1"/>
  <c r="G110" i="9"/>
  <c r="I110" i="9" s="1"/>
  <c r="H109" i="9"/>
  <c r="J109" i="9" s="1"/>
  <c r="G109" i="9"/>
  <c r="I109" i="9" s="1"/>
  <c r="H108" i="9"/>
  <c r="J108" i="9" s="1"/>
  <c r="G108" i="9"/>
  <c r="I108" i="9" s="1"/>
  <c r="H107" i="9"/>
  <c r="J107" i="9" s="1"/>
  <c r="G107" i="9"/>
  <c r="I107" i="9" s="1"/>
  <c r="H106" i="9"/>
  <c r="J106" i="9" s="1"/>
  <c r="G106" i="9"/>
  <c r="I106" i="9" s="1"/>
  <c r="H105" i="9"/>
  <c r="J105" i="9" s="1"/>
  <c r="G105" i="9"/>
  <c r="I105" i="9" s="1"/>
  <c r="H104" i="9"/>
  <c r="J104" i="9" s="1"/>
  <c r="G104" i="9"/>
  <c r="I104" i="9" s="1"/>
  <c r="H103" i="9"/>
  <c r="J103" i="9" s="1"/>
  <c r="G103" i="9"/>
  <c r="I103" i="9" s="1"/>
  <c r="H102" i="9"/>
  <c r="J102" i="9" s="1"/>
  <c r="G102" i="9"/>
  <c r="I102" i="9" s="1"/>
  <c r="H101" i="9"/>
  <c r="J101" i="9" s="1"/>
  <c r="G101" i="9"/>
  <c r="I101" i="9" s="1"/>
  <c r="H100" i="9"/>
  <c r="J100" i="9" s="1"/>
  <c r="G100" i="9"/>
  <c r="I100" i="9" s="1"/>
  <c r="H99" i="9"/>
  <c r="J99" i="9" s="1"/>
  <c r="G99" i="9"/>
  <c r="I99" i="9" s="1"/>
  <c r="H98" i="9"/>
  <c r="J98" i="9" s="1"/>
  <c r="G98" i="9"/>
  <c r="I98" i="9" s="1"/>
  <c r="H97" i="9"/>
  <c r="J97" i="9" s="1"/>
  <c r="G97" i="9"/>
  <c r="I97" i="9" s="1"/>
  <c r="H96" i="9"/>
  <c r="J96" i="9" s="1"/>
  <c r="G96" i="9"/>
  <c r="I96" i="9" s="1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J40" i="9" s="1"/>
  <c r="G40" i="9"/>
  <c r="I40" i="9" s="1"/>
  <c r="H39" i="9"/>
  <c r="J39" i="9" s="1"/>
  <c r="G39" i="9"/>
  <c r="I39" i="9" s="1"/>
  <c r="H38" i="9"/>
  <c r="J38" i="9" s="1"/>
  <c r="G38" i="9"/>
  <c r="I38" i="9" s="1"/>
  <c r="H37" i="9"/>
  <c r="J37" i="9" s="1"/>
  <c r="G37" i="9"/>
  <c r="I37" i="9" s="1"/>
  <c r="H36" i="9"/>
  <c r="J36" i="9" s="1"/>
  <c r="G36" i="9"/>
  <c r="I36" i="9" s="1"/>
  <c r="H35" i="9"/>
  <c r="J35" i="9" s="1"/>
  <c r="G35" i="9"/>
  <c r="I35" i="9" s="1"/>
  <c r="H34" i="9"/>
  <c r="J34" i="9" s="1"/>
  <c r="G34" i="9"/>
  <c r="I34" i="9" s="1"/>
  <c r="H33" i="9"/>
  <c r="J33" i="9" s="1"/>
  <c r="G33" i="9"/>
  <c r="I33" i="9" s="1"/>
  <c r="H32" i="9"/>
  <c r="J32" i="9" s="1"/>
  <c r="G32" i="9"/>
  <c r="I32" i="9" s="1"/>
  <c r="H31" i="9"/>
  <c r="J31" i="9" s="1"/>
  <c r="G31" i="9"/>
  <c r="I31" i="9" s="1"/>
  <c r="H30" i="9"/>
  <c r="J30" i="9" s="1"/>
  <c r="G30" i="9"/>
  <c r="I30" i="9" s="1"/>
  <c r="H29" i="9"/>
  <c r="J29" i="9" s="1"/>
  <c r="G29" i="9"/>
  <c r="I29" i="9" s="1"/>
  <c r="H28" i="9"/>
  <c r="J28" i="9" s="1"/>
  <c r="G28" i="9"/>
  <c r="I28" i="9" s="1"/>
  <c r="H27" i="9"/>
  <c r="J27" i="9" s="1"/>
  <c r="G27" i="9"/>
  <c r="I27" i="9" s="1"/>
  <c r="H26" i="9"/>
  <c r="J26" i="9" s="1"/>
  <c r="G26" i="9"/>
  <c r="I26" i="9" s="1"/>
  <c r="H25" i="9"/>
  <c r="J25" i="9" s="1"/>
  <c r="G25" i="9"/>
  <c r="I25" i="9" s="1"/>
  <c r="H24" i="9"/>
  <c r="J24" i="9" s="1"/>
  <c r="G24" i="9"/>
  <c r="I24" i="9" s="1"/>
  <c r="H23" i="9"/>
  <c r="J23" i="9" s="1"/>
  <c r="G23" i="9"/>
  <c r="I23" i="9" s="1"/>
  <c r="H22" i="9"/>
  <c r="J22" i="9" s="1"/>
  <c r="G22" i="9"/>
  <c r="I22" i="9" s="1"/>
  <c r="H21" i="9"/>
  <c r="J21" i="9" s="1"/>
  <c r="G21" i="9"/>
  <c r="I21" i="9" s="1"/>
  <c r="H20" i="9"/>
  <c r="J20" i="9" s="1"/>
  <c r="G20" i="9"/>
  <c r="I20" i="9" s="1"/>
  <c r="H19" i="9"/>
  <c r="J19" i="9" s="1"/>
  <c r="G19" i="9"/>
  <c r="I19" i="9" s="1"/>
  <c r="H18" i="9"/>
  <c r="J18" i="9" s="1"/>
  <c r="G18" i="9"/>
  <c r="I18" i="9" s="1"/>
  <c r="H17" i="9"/>
  <c r="J17" i="9" s="1"/>
  <c r="G17" i="9"/>
  <c r="I17" i="9" s="1"/>
  <c r="H16" i="9"/>
  <c r="J16" i="9" s="1"/>
  <c r="G16" i="9"/>
  <c r="I16" i="9" s="1"/>
  <c r="H15" i="9"/>
  <c r="J15" i="9" s="1"/>
  <c r="G15" i="9"/>
  <c r="I15" i="9" s="1"/>
  <c r="H14" i="9"/>
  <c r="J14" i="9" s="1"/>
  <c r="G14" i="9"/>
  <c r="I14" i="9" s="1"/>
  <c r="H13" i="9"/>
  <c r="J13" i="9" s="1"/>
  <c r="G13" i="9"/>
  <c r="I13" i="9" s="1"/>
  <c r="H12" i="9"/>
  <c r="J12" i="9" s="1"/>
  <c r="G12" i="9"/>
  <c r="I12" i="9" s="1"/>
  <c r="H11" i="9"/>
  <c r="J11" i="9" s="1"/>
  <c r="G11" i="9"/>
  <c r="I11" i="9" s="1"/>
  <c r="H10" i="9"/>
  <c r="J10" i="9" s="1"/>
  <c r="G10" i="9"/>
  <c r="I10" i="9" s="1"/>
  <c r="H9" i="9"/>
  <c r="J9" i="9" s="1"/>
  <c r="G9" i="9"/>
  <c r="I9" i="9" s="1"/>
  <c r="H8" i="9"/>
  <c r="J8" i="9" s="1"/>
  <c r="G8" i="9"/>
  <c r="I8" i="9" s="1"/>
  <c r="H7" i="9"/>
  <c r="J7" i="9" s="1"/>
  <c r="G7" i="9"/>
  <c r="I7" i="9" s="1"/>
  <c r="H6" i="9"/>
  <c r="J6" i="9" s="1"/>
  <c r="G6" i="9"/>
  <c r="I6" i="9" s="1"/>
  <c r="H5" i="9"/>
  <c r="J5" i="9" s="1"/>
  <c r="G5" i="9"/>
  <c r="I5" i="9" s="1"/>
  <c r="H4" i="9"/>
  <c r="G4" i="9"/>
  <c r="G124" i="8"/>
  <c r="C124" i="8"/>
  <c r="J124" i="8" s="1"/>
  <c r="G123" i="8"/>
  <c r="C123" i="8"/>
  <c r="J123" i="8" s="1"/>
  <c r="G122" i="8"/>
  <c r="C122" i="8"/>
  <c r="J122" i="8" s="1"/>
  <c r="G121" i="8"/>
  <c r="C121" i="8"/>
  <c r="J121" i="8" s="1"/>
  <c r="G120" i="8"/>
  <c r="C120" i="8"/>
  <c r="J120" i="8" s="1"/>
  <c r="G119" i="8"/>
  <c r="C119" i="8"/>
  <c r="J119" i="8" s="1"/>
  <c r="G118" i="8"/>
  <c r="C118" i="8"/>
  <c r="J118" i="8" s="1"/>
  <c r="G117" i="8"/>
  <c r="C117" i="8"/>
  <c r="J117" i="8" s="1"/>
  <c r="G116" i="8"/>
  <c r="C116" i="8"/>
  <c r="J116" i="8" s="1"/>
  <c r="G115" i="8"/>
  <c r="C115" i="8"/>
  <c r="J115" i="8" s="1"/>
  <c r="G114" i="8"/>
  <c r="C114" i="8"/>
  <c r="J114" i="8" s="1"/>
  <c r="G113" i="8"/>
  <c r="C113" i="8"/>
  <c r="J113" i="8" s="1"/>
  <c r="G112" i="8"/>
  <c r="C112" i="8"/>
  <c r="J112" i="8" s="1"/>
  <c r="G111" i="8"/>
  <c r="C111" i="8"/>
  <c r="J111" i="8" s="1"/>
  <c r="G110" i="8"/>
  <c r="C110" i="8"/>
  <c r="J110" i="8" s="1"/>
  <c r="G109" i="8"/>
  <c r="C109" i="8"/>
  <c r="J109" i="8" s="1"/>
  <c r="G108" i="8"/>
  <c r="C108" i="8"/>
  <c r="J108" i="8" s="1"/>
  <c r="G107" i="8"/>
  <c r="C107" i="8"/>
  <c r="J107" i="8" s="1"/>
  <c r="G106" i="8"/>
  <c r="C106" i="8"/>
  <c r="J106" i="8" s="1"/>
  <c r="G105" i="8"/>
  <c r="C105" i="8"/>
  <c r="J105" i="8" s="1"/>
  <c r="G104" i="8"/>
  <c r="C104" i="8"/>
  <c r="J104" i="8" s="1"/>
  <c r="G103" i="8"/>
  <c r="C103" i="8"/>
  <c r="J103" i="8" s="1"/>
  <c r="G102" i="8"/>
  <c r="C102" i="8"/>
  <c r="J102" i="8" s="1"/>
  <c r="G101" i="8"/>
  <c r="C101" i="8"/>
  <c r="J101" i="8" s="1"/>
  <c r="G100" i="8"/>
  <c r="C100" i="8"/>
  <c r="J100" i="8" s="1"/>
  <c r="G99" i="8"/>
  <c r="C99" i="8"/>
  <c r="J99" i="8" s="1"/>
  <c r="G98" i="8"/>
  <c r="C98" i="8"/>
  <c r="J98" i="8" s="1"/>
  <c r="G97" i="8"/>
  <c r="C97" i="8"/>
  <c r="J97" i="8" s="1"/>
  <c r="G96" i="8"/>
  <c r="C96" i="8"/>
  <c r="J96" i="8" s="1"/>
  <c r="G95" i="8"/>
  <c r="C95" i="8"/>
  <c r="J95" i="8" s="1"/>
  <c r="G89" i="8"/>
  <c r="C89" i="8"/>
  <c r="J89" i="8" s="1"/>
  <c r="G88" i="8"/>
  <c r="C88" i="8"/>
  <c r="J88" i="8" s="1"/>
  <c r="G87" i="8"/>
  <c r="C87" i="8"/>
  <c r="J87" i="8" s="1"/>
  <c r="G86" i="8"/>
  <c r="C86" i="8"/>
  <c r="J86" i="8" s="1"/>
  <c r="G85" i="8"/>
  <c r="C85" i="8"/>
  <c r="J85" i="8" s="1"/>
  <c r="G84" i="8"/>
  <c r="C84" i="8"/>
  <c r="J84" i="8" s="1"/>
  <c r="G83" i="8"/>
  <c r="C83" i="8"/>
  <c r="J83" i="8" s="1"/>
  <c r="G82" i="8"/>
  <c r="C82" i="8"/>
  <c r="J82" i="8" s="1"/>
  <c r="G81" i="8"/>
  <c r="C81" i="8"/>
  <c r="J81" i="8" s="1"/>
  <c r="G80" i="8"/>
  <c r="C80" i="8"/>
  <c r="J80" i="8" s="1"/>
  <c r="G79" i="8"/>
  <c r="C79" i="8"/>
  <c r="J79" i="8" s="1"/>
  <c r="G78" i="8"/>
  <c r="C78" i="8"/>
  <c r="J78" i="8" s="1"/>
  <c r="G77" i="8"/>
  <c r="C77" i="8"/>
  <c r="J77" i="8" s="1"/>
  <c r="G76" i="8"/>
  <c r="C76" i="8"/>
  <c r="J76" i="8" s="1"/>
  <c r="G75" i="8"/>
  <c r="C75" i="8"/>
  <c r="J75" i="8" s="1"/>
  <c r="G74" i="8"/>
  <c r="C74" i="8"/>
  <c r="J74" i="8" s="1"/>
  <c r="G73" i="8"/>
  <c r="C73" i="8"/>
  <c r="J73" i="8" s="1"/>
  <c r="G72" i="8"/>
  <c r="C72" i="8"/>
  <c r="J72" i="8" s="1"/>
  <c r="G71" i="8"/>
  <c r="C71" i="8"/>
  <c r="J71" i="8" s="1"/>
  <c r="G70" i="8"/>
  <c r="C70" i="8"/>
  <c r="J70" i="8" s="1"/>
  <c r="G69" i="8"/>
  <c r="C69" i="8"/>
  <c r="J69" i="8" s="1"/>
  <c r="G68" i="8"/>
  <c r="C68" i="8"/>
  <c r="J68" i="8" s="1"/>
  <c r="G67" i="8"/>
  <c r="C67" i="8"/>
  <c r="J67" i="8" s="1"/>
  <c r="G66" i="8"/>
  <c r="C66" i="8"/>
  <c r="J66" i="8" s="1"/>
  <c r="G65" i="8"/>
  <c r="C65" i="8"/>
  <c r="J65" i="8" s="1"/>
  <c r="G64" i="8"/>
  <c r="C64" i="8"/>
  <c r="J64" i="8" s="1"/>
  <c r="G63" i="8"/>
  <c r="C63" i="8"/>
  <c r="J63" i="8" s="1"/>
  <c r="G62" i="8"/>
  <c r="C62" i="8"/>
  <c r="J62" i="8" s="1"/>
  <c r="G61" i="8"/>
  <c r="C61" i="8"/>
  <c r="J61" i="8" s="1"/>
  <c r="G60" i="8"/>
  <c r="C60" i="8"/>
  <c r="J60" i="8" s="1"/>
  <c r="G59" i="8"/>
  <c r="C59" i="8"/>
  <c r="J59" i="8" s="1"/>
  <c r="G58" i="8"/>
  <c r="C58" i="8"/>
  <c r="J58" i="8" s="1"/>
  <c r="G57" i="8"/>
  <c r="C57" i="8"/>
  <c r="J57" i="8" s="1"/>
  <c r="G56" i="8"/>
  <c r="C56" i="8"/>
  <c r="J56" i="8" s="1"/>
  <c r="G55" i="8"/>
  <c r="C55" i="8"/>
  <c r="J55" i="8" s="1"/>
  <c r="G54" i="8"/>
  <c r="C54" i="8"/>
  <c r="J54" i="8" s="1"/>
  <c r="G53" i="8"/>
  <c r="C53" i="8"/>
  <c r="J53" i="8" s="1"/>
  <c r="G52" i="8"/>
  <c r="C52" i="8"/>
  <c r="J52" i="8" s="1"/>
  <c r="G51" i="8"/>
  <c r="C51" i="8"/>
  <c r="J51" i="8" s="1"/>
  <c r="G50" i="8"/>
  <c r="C50" i="8"/>
  <c r="J50" i="8" s="1"/>
  <c r="G49" i="8"/>
  <c r="C49" i="8"/>
  <c r="J49" i="8" s="1"/>
  <c r="G48" i="8"/>
  <c r="C48" i="8"/>
  <c r="J48" i="8" s="1"/>
  <c r="G47" i="8"/>
  <c r="C47" i="8"/>
  <c r="J47" i="8" s="1"/>
  <c r="G46" i="8"/>
  <c r="C46" i="8"/>
  <c r="J46" i="8" s="1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M5" i="10" l="1"/>
  <c r="M8" i="10" s="1"/>
  <c r="B12" i="12" s="1"/>
  <c r="D12" i="12" s="1"/>
  <c r="I95" i="9"/>
  <c r="G127" i="9"/>
  <c r="J4" i="9"/>
  <c r="H41" i="9"/>
  <c r="R5" i="9" s="1"/>
  <c r="I4" i="9"/>
  <c r="G41" i="9"/>
  <c r="H90" i="9"/>
  <c r="R6" i="9" s="1"/>
  <c r="G90" i="9"/>
  <c r="J95" i="9"/>
  <c r="H127" i="9"/>
  <c r="R7" i="9" s="1"/>
  <c r="H56" i="8"/>
  <c r="I56" i="8"/>
  <c r="I86" i="8"/>
  <c r="H86" i="8"/>
  <c r="H14" i="8"/>
  <c r="I14" i="8"/>
  <c r="H39" i="8"/>
  <c r="I39" i="8"/>
  <c r="I81" i="8"/>
  <c r="H81" i="8"/>
  <c r="H16" i="8"/>
  <c r="I16" i="8"/>
  <c r="H29" i="8"/>
  <c r="I29" i="8"/>
  <c r="H46" i="8"/>
  <c r="I46" i="8"/>
  <c r="I64" i="8"/>
  <c r="H64" i="8"/>
  <c r="H99" i="8"/>
  <c r="I99" i="8"/>
  <c r="I7" i="8"/>
  <c r="H7" i="8"/>
  <c r="I19" i="8"/>
  <c r="H19" i="8"/>
  <c r="I31" i="8"/>
  <c r="H31" i="8"/>
  <c r="H47" i="8"/>
  <c r="I47" i="8"/>
  <c r="I53" i="8"/>
  <c r="H53" i="8"/>
  <c r="I59" i="8"/>
  <c r="H59" i="8"/>
  <c r="I65" i="8"/>
  <c r="H65" i="8"/>
  <c r="H71" i="8"/>
  <c r="I71" i="8"/>
  <c r="I77" i="8"/>
  <c r="H77" i="8"/>
  <c r="I83" i="8"/>
  <c r="H83" i="8"/>
  <c r="I89" i="8"/>
  <c r="H89" i="8"/>
  <c r="I100" i="8"/>
  <c r="H100" i="8"/>
  <c r="H106" i="8"/>
  <c r="I106" i="8"/>
  <c r="I112" i="8"/>
  <c r="H112" i="8"/>
  <c r="H118" i="8"/>
  <c r="I118" i="8"/>
  <c r="I124" i="8"/>
  <c r="H124" i="8"/>
  <c r="I109" i="8"/>
  <c r="H109" i="8"/>
  <c r="H38" i="8"/>
  <c r="I38" i="8"/>
  <c r="I69" i="8"/>
  <c r="H69" i="8"/>
  <c r="I5" i="8"/>
  <c r="H5" i="8"/>
  <c r="I52" i="8"/>
  <c r="H52" i="8"/>
  <c r="I88" i="8"/>
  <c r="H88" i="8"/>
  <c r="I123" i="8"/>
  <c r="H123" i="8"/>
  <c r="H18" i="8"/>
  <c r="I18" i="8"/>
  <c r="H32" i="8"/>
  <c r="I32" i="8"/>
  <c r="H48" i="8"/>
  <c r="I48" i="8"/>
  <c r="I60" i="8"/>
  <c r="H60" i="8"/>
  <c r="H72" i="8"/>
  <c r="I72" i="8"/>
  <c r="H78" i="8"/>
  <c r="I78" i="8"/>
  <c r="I84" i="8"/>
  <c r="H84" i="8"/>
  <c r="H101" i="8"/>
  <c r="I101" i="8"/>
  <c r="I107" i="8"/>
  <c r="H107" i="8"/>
  <c r="H113" i="8"/>
  <c r="I113" i="8"/>
  <c r="I119" i="8"/>
  <c r="H119" i="8"/>
  <c r="H80" i="8"/>
  <c r="I80" i="8"/>
  <c r="H26" i="8"/>
  <c r="I26" i="8"/>
  <c r="I57" i="8"/>
  <c r="H57" i="8"/>
  <c r="I76" i="8"/>
  <c r="H76" i="8"/>
  <c r="I111" i="8"/>
  <c r="H111" i="8"/>
  <c r="H8" i="8"/>
  <c r="I8" i="8"/>
  <c r="H21" i="8"/>
  <c r="I21" i="8"/>
  <c r="I66" i="8"/>
  <c r="H66" i="8"/>
  <c r="I95" i="8"/>
  <c r="H95" i="8"/>
  <c r="H10" i="8"/>
  <c r="I10" i="8"/>
  <c r="H22" i="8"/>
  <c r="I22" i="8"/>
  <c r="H34" i="8"/>
  <c r="I34" i="8"/>
  <c r="H13" i="8"/>
  <c r="I13" i="8"/>
  <c r="I74" i="8"/>
  <c r="H74" i="8"/>
  <c r="I15" i="8"/>
  <c r="H15" i="8"/>
  <c r="I63" i="8"/>
  <c r="H63" i="8"/>
  <c r="I28" i="8"/>
  <c r="H28" i="8"/>
  <c r="H17" i="8"/>
  <c r="I17" i="8"/>
  <c r="H58" i="8"/>
  <c r="I58" i="8"/>
  <c r="H82" i="8"/>
  <c r="I82" i="8"/>
  <c r="H105" i="8"/>
  <c r="I105" i="8"/>
  <c r="I30" i="8"/>
  <c r="H30" i="8"/>
  <c r="H20" i="8"/>
  <c r="I20" i="8"/>
  <c r="H9" i="8"/>
  <c r="I9" i="8"/>
  <c r="I54" i="8"/>
  <c r="H54" i="8"/>
  <c r="H23" i="8"/>
  <c r="I23" i="8"/>
  <c r="H49" i="8"/>
  <c r="I49" i="8"/>
  <c r="H61" i="8"/>
  <c r="I61" i="8"/>
  <c r="H73" i="8"/>
  <c r="I73" i="8"/>
  <c r="H85" i="8"/>
  <c r="I85" i="8"/>
  <c r="I96" i="8"/>
  <c r="H96" i="8"/>
  <c r="H127" i="8" s="1"/>
  <c r="Q7" i="8" s="1"/>
  <c r="I108" i="8"/>
  <c r="H108" i="8"/>
  <c r="H114" i="8"/>
  <c r="I114" i="8"/>
  <c r="I120" i="8"/>
  <c r="H120" i="8"/>
  <c r="H37" i="8"/>
  <c r="I37" i="8"/>
  <c r="H115" i="8"/>
  <c r="I115" i="8"/>
  <c r="I27" i="8"/>
  <c r="H27" i="8"/>
  <c r="I87" i="8"/>
  <c r="H87" i="8"/>
  <c r="H40" i="8"/>
  <c r="I40" i="8"/>
  <c r="H70" i="8"/>
  <c r="I70" i="8"/>
  <c r="I117" i="8"/>
  <c r="H117" i="8"/>
  <c r="I6" i="8"/>
  <c r="H6" i="8"/>
  <c r="H33" i="8"/>
  <c r="I33" i="8"/>
  <c r="H11" i="8"/>
  <c r="I11" i="8"/>
  <c r="H35" i="8"/>
  <c r="I35" i="8"/>
  <c r="H55" i="8"/>
  <c r="I55" i="8"/>
  <c r="I67" i="8"/>
  <c r="H67" i="8"/>
  <c r="H79" i="8"/>
  <c r="I79" i="8"/>
  <c r="H102" i="8"/>
  <c r="I102" i="8"/>
  <c r="H12" i="8"/>
  <c r="I12" i="8"/>
  <c r="H24" i="8"/>
  <c r="I24" i="8"/>
  <c r="H36" i="8"/>
  <c r="I36" i="8"/>
  <c r="H121" i="8"/>
  <c r="I121" i="8"/>
  <c r="I50" i="8"/>
  <c r="H50" i="8"/>
  <c r="I68" i="8"/>
  <c r="H68" i="8"/>
  <c r="H103" i="8"/>
  <c r="I103" i="8"/>
  <c r="I51" i="8"/>
  <c r="H51" i="8"/>
  <c r="I75" i="8"/>
  <c r="H75" i="8"/>
  <c r="I98" i="8"/>
  <c r="H98" i="8"/>
  <c r="H104" i="8"/>
  <c r="I104" i="8"/>
  <c r="H110" i="8"/>
  <c r="I110" i="8"/>
  <c r="I116" i="8"/>
  <c r="H116" i="8"/>
  <c r="I122" i="8"/>
  <c r="H122" i="8"/>
  <c r="H25" i="8"/>
  <c r="I25" i="8"/>
  <c r="I62" i="8"/>
  <c r="H62" i="8"/>
  <c r="H97" i="8"/>
  <c r="I97" i="8"/>
  <c r="H4" i="8"/>
  <c r="I4" i="8"/>
  <c r="I41" i="8" s="1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R8" i="9" l="1"/>
  <c r="C10" i="12" s="1"/>
  <c r="Q7" i="9"/>
  <c r="S7" i="9" s="1"/>
  <c r="H128" i="9"/>
  <c r="Q5" i="9"/>
  <c r="H42" i="9"/>
  <c r="Q6" i="9"/>
  <c r="S6" i="9" s="1"/>
  <c r="H91" i="9"/>
  <c r="H90" i="8"/>
  <c r="I90" i="8"/>
  <c r="R6" i="8" s="1"/>
  <c r="H41" i="8"/>
  <c r="Q5" i="8" s="1"/>
  <c r="I127" i="8"/>
  <c r="R7" i="8" s="1"/>
  <c r="S7" i="8" s="1"/>
  <c r="R5" i="8"/>
  <c r="G296" i="7"/>
  <c r="N7" i="7" s="1"/>
  <c r="D107" i="7"/>
  <c r="G107" i="7" s="1"/>
  <c r="D108" i="7"/>
  <c r="G108" i="7" s="1"/>
  <c r="D130" i="7"/>
  <c r="G130" i="7" s="1"/>
  <c r="D131" i="7"/>
  <c r="G131" i="7" s="1"/>
  <c r="I91" i="8" l="1"/>
  <c r="S5" i="9"/>
  <c r="Q8" i="9"/>
  <c r="B10" i="12" s="1"/>
  <c r="D10" i="12" s="1"/>
  <c r="S8" i="9"/>
  <c r="I42" i="8"/>
  <c r="S5" i="8"/>
  <c r="Q6" i="8"/>
  <c r="S6" i="8" s="1"/>
  <c r="I128" i="8"/>
  <c r="R8" i="8"/>
  <c r="C9" i="12" s="1"/>
  <c r="S8" i="8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Q8" i="8" l="1"/>
  <c r="B9" i="12" s="1"/>
  <c r="D9" i="12" s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B8" i="12" s="1"/>
  <c r="D8" i="12" s="1"/>
  <c r="H90" i="5"/>
  <c r="G90" i="5"/>
  <c r="G91" i="5" s="1"/>
  <c r="G45" i="5"/>
  <c r="H45" i="5"/>
  <c r="O7" i="6"/>
  <c r="O8" i="6" s="1"/>
  <c r="B7" i="12" s="1"/>
  <c r="D7" i="12" s="1"/>
  <c r="G128" i="5"/>
  <c r="H128" i="5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AD51" i="4"/>
  <c r="AD50" i="4"/>
  <c r="C209" i="3" s="1"/>
  <c r="AD49" i="4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210" i="3" l="1"/>
  <c r="C234" i="3"/>
  <c r="C211" i="3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I211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I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I167" i="3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I237" i="3" l="1"/>
  <c r="H233" i="3"/>
  <c r="I233" i="3"/>
  <c r="H234" i="3"/>
  <c r="I234" i="3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H108" i="3" l="1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H99" i="2"/>
  <c r="G99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4" i="2"/>
  <c r="G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J28" i="2" s="1"/>
  <c r="G29" i="2"/>
  <c r="J29" i="2" s="1"/>
  <c r="G30" i="2"/>
  <c r="J30" i="2" s="1"/>
  <c r="G31" i="2"/>
  <c r="J31" i="2" s="1"/>
  <c r="G32" i="2"/>
  <c r="G33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4" i="2"/>
  <c r="B21" i="4"/>
  <c r="B20" i="4"/>
  <c r="H159" i="3" l="1"/>
  <c r="O8" i="3"/>
  <c r="B5" i="12" s="1"/>
  <c r="J4" i="2"/>
  <c r="J33" i="2"/>
  <c r="J32" i="2"/>
  <c r="Q6" i="3"/>
  <c r="P8" i="3"/>
  <c r="C5" i="12" s="1"/>
  <c r="Q5" i="3"/>
  <c r="Q8" i="3" s="1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D5" i="12" l="1"/>
  <c r="T6" i="2"/>
  <c r="K100" i="2"/>
  <c r="S7" i="2" s="1"/>
  <c r="J100" i="2"/>
  <c r="R7" i="2" s="1"/>
  <c r="R5" i="2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<sst xmlns="http://schemas.openxmlformats.org/spreadsheetml/2006/main" count="2561" uniqueCount="593">
  <si>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</si>
  <si>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</si>
  <si>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</si>
  <si>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</si>
  <si>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</si>
  <si>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</si>
  <si>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</si>
  <si>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</si>
  <si>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</si>
  <si>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</si>
  <si>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</si>
  <si>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</si>
  <si>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</si>
  <si>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</si>
  <si>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</si>
  <si>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</si>
  <si>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</si>
  <si>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</si>
  <si>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</si>
  <si>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</si>
  <si>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</si>
  <si>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</si>
  <si>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</si>
  <si>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</si>
  <si>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</si>
  <si>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</si>
  <si>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</si>
  <si>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</si>
  <si>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</si>
  <si>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</si>
  <si>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</si>
  <si>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</si>
  <si>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</si>
  <si>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</si>
  <si>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</si>
  <si>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</si>
  <si>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</si>
  <si>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</si>
  <si>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</si>
  <si>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</si>
  <si>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</si>
  <si>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</si>
  <si>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</si>
  <si>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</si>
  <si>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</si>
  <si>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</si>
  <si>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</si>
  <si>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</si>
  <si>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</si>
  <si>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</si>
  <si>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</si>
  <si>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</si>
  <si>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</si>
  <si>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</si>
  <si>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</si>
  <si>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</si>
  <si>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</si>
  <si>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</si>
  <si>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</si>
  <si>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</si>
  <si>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</si>
  <si>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</si>
  <si>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</si>
  <si>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</si>
  <si>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</si>
  <si>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</si>
  <si>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</si>
  <si>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</si>
  <si>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</si>
  <si>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</si>
  <si>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</si>
  <si>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</si>
  <si>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</si>
  <si>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</si>
  <si>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</si>
  <si>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</si>
  <si>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</si>
  <si>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</si>
  <si>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</si>
  <si>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</si>
  <si>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</si>
  <si>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</si>
  <si>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</si>
  <si>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</si>
  <si>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</si>
  <si>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</si>
  <si>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</si>
  <si>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</si>
  <si>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</si>
  <si>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</si>
  <si>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</si>
  <si>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</si>
  <si>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</si>
  <si>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</si>
  <si>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</si>
  <si>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</si>
  <si>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</si>
  <si>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</si>
  <si>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</si>
  <si>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</si>
  <si>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</si>
  <si>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</si>
  <si>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</si>
  <si>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</si>
  <si>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</si>
  <si>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</si>
  <si>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</si>
  <si>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</si>
  <si>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</si>
  <si>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</si>
  <si>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</si>
  <si>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</si>
  <si>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</si>
  <si>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</si>
  <si>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</si>
  <si>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</si>
  <si>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</si>
  <si>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</si>
  <si>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</si>
  <si>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</si>
  <si>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</si>
  <si>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</si>
  <si>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</si>
  <si>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</si>
  <si>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</si>
  <si>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</si>
  <si>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</si>
  <si>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</si>
  <si>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</si>
  <si>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</si>
  <si>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</si>
  <si>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</si>
  <si>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</si>
  <si>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</si>
  <si>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</si>
  <si>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</si>
  <si>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</si>
  <si>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</si>
  <si>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</si>
  <si>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</si>
  <si>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</si>
  <si>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</si>
  <si>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</si>
  <si>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</si>
  <si>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</si>
  <si>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</si>
  <si>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</si>
  <si>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</si>
  <si>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</si>
  <si>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</si>
  <si>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</si>
  <si>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</si>
  <si>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</si>
  <si>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</si>
  <si>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</si>
  <si>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</si>
  <si>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</si>
  <si>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</si>
  <si>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</si>
  <si>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</si>
  <si>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</si>
  <si>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</si>
  <si>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</si>
  <si>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</si>
  <si>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</si>
  <si>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</si>
  <si>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</si>
  <si>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</si>
  <si>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</si>
  <si>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</si>
  <si>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</si>
  <si>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</si>
  <si>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</si>
  <si>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</si>
  <si>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</si>
  <si>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</si>
  <si>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</si>
  <si>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</si>
  <si>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</si>
  <si>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</si>
  <si>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</si>
  <si>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</si>
  <si>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</si>
  <si>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</si>
  <si>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</si>
  <si>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</si>
  <si>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</si>
  <si>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</si>
  <si>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</si>
  <si>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</si>
  <si>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</si>
  <si>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</si>
  <si>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</si>
  <si>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</si>
  <si>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</si>
  <si>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</si>
  <si>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</si>
  <si>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</si>
  <si>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</si>
  <si>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</si>
  <si>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</si>
  <si>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</si>
  <si>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</si>
  <si>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</si>
  <si>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</si>
  <si>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</si>
  <si>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</si>
  <si>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</si>
  <si>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</si>
  <si>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</si>
  <si>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</si>
  <si>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</si>
  <si>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</si>
  <si>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</si>
  <si>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</si>
  <si>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</si>
  <si>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</si>
  <si>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</si>
  <si>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</si>
  <si>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</si>
  <si>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</si>
  <si>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</si>
  <si>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</si>
  <si>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</si>
  <si>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</si>
  <si>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</si>
  <si>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</si>
  <si>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</si>
  <si>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</si>
  <si>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</si>
  <si>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</si>
  <si>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</si>
  <si>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</si>
  <si>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</si>
  <si>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</si>
  <si>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</si>
  <si>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</si>
  <si>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</si>
  <si>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</si>
  <si>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</si>
  <si>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</si>
  <si>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</si>
  <si>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</si>
  <si>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</si>
  <si>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</si>
  <si>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</si>
  <si>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</si>
  <si>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</si>
  <si>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</si>
  <si>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</si>
  <si>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</si>
  <si>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</si>
  <si>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</si>
  <si>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</si>
  <si>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</si>
  <si>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</si>
  <si>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</si>
  <si>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</si>
  <si>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</si>
  <si>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</si>
  <si>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</si>
  <si>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</si>
  <si>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</si>
  <si>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</si>
  <si>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</si>
  <si>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</si>
  <si>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</si>
  <si>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</si>
  <si>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</si>
  <si>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</si>
  <si>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</si>
  <si>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</si>
  <si>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</si>
  <si>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</si>
  <si>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</si>
  <si>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</si>
  <si>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</si>
  <si>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</si>
  <si>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</si>
  <si>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</si>
  <si>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</si>
  <si>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</si>
  <si>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</si>
  <si>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</si>
  <si>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</si>
  <si>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</si>
  <si>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</si>
  <si>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</si>
  <si>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</si>
  <si>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</si>
  <si>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</si>
  <si>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</si>
  <si>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</si>
  <si>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</si>
  <si>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</si>
  <si>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</si>
  <si>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</si>
  <si>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</si>
  <si>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</si>
  <si>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</si>
  <si>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</si>
  <si>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</si>
  <si>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</si>
  <si>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</si>
  <si>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</si>
  <si>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</si>
  <si>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</si>
  <si>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</si>
  <si>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</si>
  <si>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</si>
  <si>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</si>
  <si>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</si>
  <si>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</si>
  <si>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</si>
  <si>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</si>
  <si>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</si>
  <si>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</si>
  <si>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</si>
  <si>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</si>
  <si>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</si>
  <si>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</si>
  <si>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</si>
  <si>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</si>
  <si>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</si>
  <si>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</si>
  <si>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</si>
  <si>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</si>
  <si>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</si>
  <si>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</si>
  <si>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</si>
  <si>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</si>
  <si>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</si>
  <si>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</si>
  <si>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</si>
  <si>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</si>
  <si>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</si>
  <si>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</si>
  <si>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</si>
  <si>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</si>
  <si>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</si>
  <si>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</si>
  <si>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</si>
  <si>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</si>
  <si>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</si>
  <si>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</si>
  <si>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</si>
  <si>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</si>
  <si>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</si>
  <si>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</si>
  <si>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</si>
  <si>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</si>
  <si>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</si>
  <si>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</si>
  <si>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</si>
  <si>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</si>
  <si>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</si>
  <si>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</si>
  <si>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</si>
  <si>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</si>
  <si>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</si>
  <si>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</si>
  <si>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</si>
  <si>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</si>
  <si>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</si>
  <si>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</si>
  <si>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</si>
  <si>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</si>
  <si>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</si>
  <si>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</si>
  <si>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</si>
  <si>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</si>
  <si>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</si>
  <si>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</si>
  <si>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</si>
  <si>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</si>
  <si>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</si>
  <si>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</si>
  <si>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</si>
  <si>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</si>
  <si>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</si>
  <si>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</si>
  <si>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</si>
  <si>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</si>
  <si>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</si>
  <si>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</si>
  <si>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</si>
  <si>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</si>
  <si>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</si>
  <si>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</si>
  <si>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</si>
  <si>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</si>
  <si>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</si>
  <si>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</si>
  <si>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</si>
  <si>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</si>
  <si>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</si>
  <si>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</si>
  <si>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</si>
  <si>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</si>
  <si>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</si>
  <si>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</si>
  <si>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</si>
  <si>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</si>
  <si>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</si>
  <si>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</si>
  <si>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</si>
  <si>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</si>
  <si>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</si>
  <si>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</si>
  <si>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</si>
  <si>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</si>
  <si>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</si>
  <si>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</si>
  <si>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</si>
  <si>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</si>
  <si>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</si>
  <si>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</si>
  <si>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</si>
  <si>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</si>
  <si>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</si>
  <si>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</si>
  <si>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</si>
  <si>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</si>
  <si>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</si>
  <si>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</si>
  <si>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</si>
  <si>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</si>
  <si>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</si>
  <si>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</si>
  <si>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</si>
  <si>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</si>
  <si>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</si>
  <si>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</si>
  <si>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</si>
  <si>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</si>
  <si>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</si>
  <si>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</si>
  <si>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</si>
  <si>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</si>
  <si>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</si>
  <si>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</si>
  <si>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</si>
  <si>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</si>
  <si>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</si>
  <si>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</si>
  <si>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</si>
  <si>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</si>
  <si>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</si>
  <si>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</si>
  <si>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</si>
  <si>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</si>
  <si>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</si>
  <si>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</si>
  <si>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</si>
  <si>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</si>
  <si>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</si>
  <si>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</si>
  <si>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</si>
  <si>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</si>
  <si>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</si>
  <si>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</si>
  <si>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</si>
  <si>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</si>
  <si>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</si>
  <si>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</si>
  <si>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</si>
  <si>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</si>
  <si>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</si>
  <si>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</si>
  <si>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</si>
  <si>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</si>
  <si>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</si>
  <si>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</si>
  <si>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</si>
  <si>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</si>
  <si>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</si>
  <si>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</si>
  <si>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</si>
  <si>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</si>
  <si>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</si>
  <si>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</si>
  <si>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</si>
  <si>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</si>
  <si>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</si>
  <si>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</si>
  <si>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</si>
  <si>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</si>
  <si>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</si>
  <si>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</si>
  <si>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</si>
  <si>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</si>
  <si>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</si>
  <si>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</si>
  <si>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</si>
  <si>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</si>
  <si>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</si>
  <si>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</si>
  <si>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</si>
  <si>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</si>
  <si>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</si>
  <si>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</si>
  <si>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</si>
  <si>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</si>
  <si>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</si>
  <si>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</si>
  <si>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</si>
  <si>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</si>
  <si>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</si>
  <si>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</si>
  <si>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</si>
  <si>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</si>
  <si>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</si>
  <si>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</si>
  <si>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</si>
  <si>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</si>
  <si>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</si>
  <si>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</si>
  <si>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</si>
  <si>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</si>
  <si>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</si>
  <si>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</si>
  <si>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</si>
  <si>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</si>
  <si>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</si>
  <si>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</si>
  <si>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</si>
  <si>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</si>
  <si>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</si>
  <si>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</si>
  <si>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</si>
  <si>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</si>
  <si>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</si>
  <si>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</si>
  <si>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</si>
  <si>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</si>
  <si>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</si>
  <si>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</si>
  <si>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</si>
  <si>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</si>
  <si>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</si>
  <si>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</si>
  <si>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</si>
  <si>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</si>
  <si>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</si>
  <si>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</si>
  <si>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</si>
  <si>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</si>
  <si>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</si>
  <si>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</si>
  <si>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</si>
  <si>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</si>
  <si>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</si>
  <si>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</si>
  <si>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</si>
  <si>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</si>
  <si>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</si>
  <si>
    <t>Column1</t>
  </si>
  <si>
    <t>Qs/p</t>
  </si>
  <si>
    <t>Ql/p</t>
  </si>
  <si>
    <t>GPM</t>
  </si>
  <si>
    <t>Nominal Diamater (in)</t>
  </si>
  <si>
    <t>Nominal Diameter (m)</t>
  </si>
  <si>
    <t>inside diamtere (in)</t>
  </si>
  <si>
    <t>Inside Diameter (m)</t>
  </si>
  <si>
    <t>Velocity (ft/s)</t>
  </si>
  <si>
    <t>pres grad (ft/100ft)</t>
  </si>
  <si>
    <t>Pressure Gradient (Pa/m)</t>
  </si>
  <si>
    <t>Equivalent Length (m)</t>
  </si>
  <si>
    <t>Pressure Drop (Pa)</t>
  </si>
  <si>
    <t>chiller - pump</t>
  </si>
  <si>
    <t>pump - A</t>
  </si>
  <si>
    <t>A-B</t>
  </si>
  <si>
    <t>B-C</t>
  </si>
  <si>
    <t>C-D</t>
  </si>
  <si>
    <t>D-E</t>
  </si>
  <si>
    <t>E-F</t>
  </si>
  <si>
    <t>F-G</t>
  </si>
  <si>
    <t>G-H</t>
  </si>
  <si>
    <t>H-I</t>
  </si>
  <si>
    <t>I-J</t>
  </si>
  <si>
    <t>J-K</t>
  </si>
  <si>
    <t>K-L</t>
  </si>
  <si>
    <t>L-M</t>
  </si>
  <si>
    <t>M-N</t>
  </si>
  <si>
    <t>N-O</t>
  </si>
  <si>
    <t>O-P</t>
  </si>
  <si>
    <t>P-Q</t>
  </si>
  <si>
    <t>Q-R</t>
  </si>
  <si>
    <t>R-S</t>
  </si>
  <si>
    <t>S-T</t>
  </si>
  <si>
    <t>T-AHU</t>
  </si>
  <si>
    <t>Points</t>
  </si>
  <si>
    <t>Total Pressure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</si>
</sst>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16" borderId="3" xfId="0" applyFont="1" applyFill="1" applyBorder="1"/>
    <xf numFmtId="0" fontId="0" fillId="0" borderId="5" xfId="0" applyFill="1" applyBorder="1"/>
    <xf numFmtId="0" fontId="2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vertical="center" wrapText="1"/>
    </xf>
    <xf numFmtId="0" fontId="0" fillId="16" borderId="2" xfId="0" applyFill="1" applyBorder="1" applyAlignment="1"/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  <xf numFmtId="12" fontId="0" fillId="0" borderId="0" xfId="0" applyNumberFormat="1" applyFill="1" applyAlignment="1">
      <alignment horizontal="center" vertical="center"/>
    </xf>
    <xf numFmtId="0" fontId="0" fillId="0" borderId="0" xfId="0"/>
    <xf numFmtId="12" fontId="0" fillId="0" borderId="0" xfId="0" applyNumberFormat="1"/>
    <xf numFmtId="2" fontId="0" fillId="0" borderId="0" xfId="0" applyNumberFormat="1" applyFill="1" applyAlignment="1">
      <alignment horizontal="center" vertical="center"/>
    </xf>
    <xf numFmtId="1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0" fillId="0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2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412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17" formatCode="#\ ?/?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411" headerRowBorderDxfId="410" tableBorderDxfId="409" totalsRowBorderDxfId="408">
  <tableColumns count="11">
    <tableColumn id="1" xr3:uid="{00000000-0010-0000-0000-000001000000}" name="Space" dataDxfId="407"/>
    <tableColumn id="2" xr3:uid="{00000000-0010-0000-0000-000002000000}" name="Orientation" dataDxfId="406"/>
    <tableColumn id="3" xr3:uid="{00000000-0010-0000-0000-000003000000}" name="U" dataDxfId="405"/>
    <tableColumn id="4" xr3:uid="{00000000-0010-0000-0000-000004000000}" name="A(m^2)" dataDxfId="404"/>
    <tableColumn id="5" xr3:uid="{00000000-0010-0000-0000-000005000000}" name="CLTDsel" dataDxfId="403"/>
    <tableColumn id="6" xr3:uid="{00000000-0010-0000-0000-000006000000}" name="LM" dataDxfId="402"/>
    <tableColumn id="7" xr3:uid="{00000000-0010-0000-0000-000007000000}" name="k" dataDxfId="401"/>
    <tableColumn id="8" xr3:uid="{00000000-0010-0000-0000-000008000000}" name="Ti" dataDxfId="400"/>
    <tableColumn id="9" xr3:uid="{00000000-0010-0000-0000-000009000000}" name="Tave" dataDxfId="399">
      <calculatedColumnFormula>(References!T$4)-(References!T$3/2)</calculatedColumnFormula>
    </tableColumn>
    <tableColumn id="10" xr3:uid="{00000000-0010-0000-0000-00000A000000}" name="CLTD adj" dataDxfId="398">
      <calculatedColumnFormula>(E4+F4)*G4+(25-H4)+(I4-29)</calculatedColumnFormula>
    </tableColumn>
    <tableColumn id="11" xr3:uid="{00000000-0010-0000-0000-00000B000000}" name="Q(W)" dataDxfId="397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81" dataDxfId="279" headerRowBorderDxfId="280" tableBorderDxfId="278" totalsRowBorderDxfId="277">
  <tableColumns count="8">
    <tableColumn id="1" xr3:uid="{00000000-0010-0000-0900-000001000000}" name="SPACE" dataDxfId="276"/>
    <tableColumn id="2" xr3:uid="{00000000-0010-0000-0900-000002000000}" name="Equipment" dataDxfId="275"/>
    <tableColumn id="3" xr3:uid="{00000000-0010-0000-0900-000003000000}" name="WATTAGE" dataDxfId="274"/>
    <tableColumn id="4" xr3:uid="{00000000-0010-0000-0900-000004000000}" name="Cs" dataDxfId="273"/>
    <tableColumn id="5" xr3:uid="{00000000-0010-0000-0900-000005000000}" name="Cl" dataDxfId="272"/>
    <tableColumn id="6" xr3:uid="{00000000-0010-0000-0900-000006000000}" name="CLF" dataDxfId="271"/>
    <tableColumn id="7" xr3:uid="{00000000-0010-0000-0900-000007000000}" name="Qs (W)" dataDxfId="270">
      <calculatedColumnFormula>D4*C4*F4</calculatedColumnFormula>
    </tableColumn>
    <tableColumn id="8" xr3:uid="{00000000-0010-0000-0900-000008000000}" name="Ql (W)" dataDxfId="269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68" headerRowBorderDxfId="267" tableBorderDxfId="266" totalsRowBorderDxfId="265">
  <tableColumns count="8">
    <tableColumn id="1" xr3:uid="{00000000-0010-0000-0A00-000001000000}" name="SPACE" dataDxfId="264"/>
    <tableColumn id="2" xr3:uid="{00000000-0010-0000-0A00-000002000000}" name="Equipment" dataDxfId="263"/>
    <tableColumn id="3" xr3:uid="{00000000-0010-0000-0A00-000003000000}" name="Wattage" dataDxfId="262"/>
    <tableColumn id="4" xr3:uid="{00000000-0010-0000-0A00-000004000000}" name="CS" dataDxfId="261"/>
    <tableColumn id="5" xr3:uid="{00000000-0010-0000-0A00-000005000000}" name="Cl" dataDxfId="260"/>
    <tableColumn id="6" xr3:uid="{00000000-0010-0000-0A00-000006000000}" name="CLF" dataDxfId="259"/>
    <tableColumn id="7" xr3:uid="{00000000-0010-0000-0A00-000007000000}" name="Qs (W)" dataDxfId="258">
      <calculatedColumnFormula>D50*C50*F50</calculatedColumnFormula>
    </tableColumn>
    <tableColumn id="8" xr3:uid="{00000000-0010-0000-0A00-000008000000}" name="Ql (W)" dataDxfId="257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56" headerRowBorderDxfId="255" tableBorderDxfId="254" totalsRowBorderDxfId="253">
  <tableColumns count="8">
    <tableColumn id="1" xr3:uid="{00000000-0010-0000-0B00-000001000000}" name="SPACE" dataDxfId="252"/>
    <tableColumn id="2" xr3:uid="{00000000-0010-0000-0B00-000002000000}" name="Equipment" dataDxfId="251"/>
    <tableColumn id="3" xr3:uid="{00000000-0010-0000-0B00-000003000000}" name="Wattage" dataDxfId="250"/>
    <tableColumn id="4" xr3:uid="{00000000-0010-0000-0B00-000004000000}" name="Cs" dataDxfId="249"/>
    <tableColumn id="5" xr3:uid="{00000000-0010-0000-0B00-000005000000}" name="Cl" dataDxfId="248"/>
    <tableColumn id="6" xr3:uid="{00000000-0010-0000-0B00-000006000000}" name="CLF" dataDxfId="247"/>
    <tableColumn id="7" xr3:uid="{00000000-0010-0000-0B00-000007000000}" name="Qs (W)" dataDxfId="246">
      <calculatedColumnFormula>C95*D95*F95</calculatedColumnFormula>
    </tableColumn>
    <tableColumn id="8" xr3:uid="{00000000-0010-0000-0B00-000008000000}" name="Qw (W)" dataDxfId="245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8" totalsRowShown="0" headerRowDxfId="244" headerRowBorderDxfId="243" tableBorderDxfId="242" totalsRowBorderDxfId="241">
  <tableColumns count="8">
    <tableColumn id="1" xr3:uid="{00000000-0010-0000-0C00-000001000000}" name="SPACE" dataDxfId="240"/>
    <tableColumn id="2" xr3:uid="{00000000-0010-0000-0C00-000002000000}" name="U" dataDxfId="239"/>
    <tableColumn id="3" xr3:uid="{00000000-0010-0000-0C00-000003000000}" name="Area (m2)" dataDxfId="238"/>
    <tableColumn id="4" xr3:uid="{00000000-0010-0000-0C00-000004000000}" name="CLTDmax" dataDxfId="237"/>
    <tableColumn id="5" xr3:uid="{00000000-0010-0000-0C00-000005000000}" name="Ti" dataDxfId="236"/>
    <tableColumn id="6" xr3:uid="{00000000-0010-0000-0C00-000006000000}" name="Tave" dataDxfId="235"/>
    <tableColumn id="7" xr3:uid="{00000000-0010-0000-0C00-000007000000}" name="CLTDadj" dataDxfId="234">
      <calculatedColumnFormula>((D5*0.75)+(25-E5)+(F5-29))*0.75</calculatedColumnFormula>
    </tableColumn>
    <tableColumn id="8" xr3:uid="{00000000-0010-0000-0C00-000008000000}" name="Q(W)" dataDxfId="233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32" headerRowBorderDxfId="231" tableBorderDxfId="230" totalsRowBorderDxfId="229">
  <tableColumns count="7">
    <tableColumn id="1" xr3:uid="{00000000-0010-0000-0E00-000001000000}" name="Space" dataDxfId="228"/>
    <tableColumn id="2" xr3:uid="{00000000-0010-0000-0E00-000002000000}" name="Spaces" dataDxfId="227"/>
    <tableColumn id="3" xr3:uid="{00000000-0010-0000-0E00-000003000000}" name="U" dataDxfId="226"/>
    <tableColumn id="4" xr3:uid="{00000000-0010-0000-0E00-000004000000}" name="A" dataDxfId="225">
      <calculatedColumnFormula>References!AM4-References!AL4-References!AK4</calculatedColumnFormula>
    </tableColumn>
    <tableColumn id="5" xr3:uid="{00000000-0010-0000-0E00-000005000000}" name="Ti" dataDxfId="224"/>
    <tableColumn id="6" xr3:uid="{00000000-0010-0000-0E00-000006000000}" name="Ti2" dataDxfId="223"/>
    <tableColumn id="7" xr3:uid="{00000000-0010-0000-0E00-000007000000}" name="Q" dataDxfId="222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221" headerRowBorderDxfId="220" tableBorderDxfId="219" totalsRowBorderDxfId="218">
  <tableColumns count="7">
    <tableColumn id="1" xr3:uid="{00000000-0010-0000-0F00-000001000000}" name="Space" dataDxfId="217"/>
    <tableColumn id="2" xr3:uid="{00000000-0010-0000-0F00-000002000000}" name="Spaces" dataDxfId="216"/>
    <tableColumn id="3" xr3:uid="{00000000-0010-0000-0F00-000003000000}" name="U" dataDxfId="215"/>
    <tableColumn id="4" xr3:uid="{00000000-0010-0000-0F00-000004000000}" name="A" dataDxfId="214">
      <calculatedColumnFormula>References!AQ4-References!AP4-References!AO4</calculatedColumnFormula>
    </tableColumn>
    <tableColumn id="5" xr3:uid="{00000000-0010-0000-0F00-000005000000}" name="Ti" dataDxfId="213"/>
    <tableColumn id="6" xr3:uid="{00000000-0010-0000-0F00-000006000000}" name="Ti2" dataDxfId="212"/>
    <tableColumn id="7" xr3:uid="{00000000-0010-0000-0F00-000007000000}" name="Q" dataDxfId="211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210" headerRowBorderDxfId="209" tableBorderDxfId="208" totalsRowBorderDxfId="207">
  <tableColumns count="7">
    <tableColumn id="1" xr3:uid="{00000000-0010-0000-0D00-000001000000}" name="Space" dataDxfId="206"/>
    <tableColumn id="2" xr3:uid="{00000000-0010-0000-0D00-000002000000}" name="Spaces" dataDxfId="205"/>
    <tableColumn id="3" xr3:uid="{00000000-0010-0000-0D00-000003000000}" name="U" dataDxfId="204"/>
    <tableColumn id="4" xr3:uid="{00000000-0010-0000-0D00-000004000000}" name="A" dataDxfId="203">
      <calculatedColumnFormula>References!AI4-References!AH4-References!AG4</calculatedColumnFormula>
    </tableColumn>
    <tableColumn id="5" xr3:uid="{00000000-0010-0000-0D00-000005000000}" name="Ti" dataDxfId="202"/>
    <tableColumn id="6" xr3:uid="{00000000-0010-0000-0D00-000006000000}" name="Ti2" dataDxfId="201"/>
    <tableColumn id="7" xr3:uid="{00000000-0010-0000-0D00-000007000000}" name="Q" dataDxfId="200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K40" totalsRowShown="0" headerRowDxfId="199" dataDxfId="197" headerRowBorderDxfId="198" tableBorderDxfId="196" totalsRowBorderDxfId="195">
  <tableColumns count="11">
    <tableColumn id="1" xr3:uid="{00000000-0010-0000-1000-000001000000}" name="SPACE" dataDxfId="194" totalsRowDxfId="193"/>
    <tableColumn id="2" xr3:uid="{00000000-0010-0000-1000-000002000000}" name="Occ" dataDxfId="192" totalsRowDxfId="191"/>
    <tableColumn id="3" xr3:uid="{00000000-0010-0000-1000-000003000000}" name="L/s" dataDxfId="190" totalsRowDxfId="189">
      <calculatedColumnFormula>B4*References!AS4</calculatedColumnFormula>
    </tableColumn>
    <tableColumn id="4" xr3:uid="{00000000-0010-0000-1000-000004000000}" name="To" dataDxfId="188" totalsRowDxfId="187"/>
    <tableColumn id="5" xr3:uid="{00000000-0010-0000-1000-000005000000}" name="Ti" dataDxfId="186" totalsRowDxfId="185"/>
    <tableColumn id="6" xr3:uid="{00000000-0010-0000-1000-000006000000}" name="Wo" dataDxfId="184" totalsRowDxfId="183"/>
    <tableColumn id="7" xr3:uid="{00000000-0010-0000-1000-000007000000}" name="Wi" dataDxfId="182" totalsRowDxfId="181"/>
    <tableColumn id="8" xr3:uid="{00000000-0010-0000-1000-000008000000}" name="Qs (W)" dataDxfId="180" totalsRowDxfId="179">
      <calculatedColumnFormula>ABS(1.232*C4*(D4-E4))</calculatedColumnFormula>
    </tableColumn>
    <tableColumn id="9" xr3:uid="{00000000-0010-0000-1000-000009000000}" name="Qw (W)" dataDxfId="178">
      <calculatedColumnFormula>ABS(3000*C4*(F4-G4))</calculatedColumnFormula>
    </tableColumn>
    <tableColumn id="10" xr3:uid="{9079F61E-220C-499E-ABA0-0F86347EC19E}" name="Area" dataDxfId="177" totalsRowDxfId="176"/>
    <tableColumn id="11" xr3:uid="{FF77AB06-4124-4F4F-B1B4-ADF4FE72722D}" name="Column1" dataDxfId="175" totalsRowDxfId="174">
      <calculatedColumnFormula>Table17[[#This Row],[L/s]]/Table17[[#This Row],[Area]]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J89" totalsRowShown="0" headerRowDxfId="173" dataDxfId="171" headerRowBorderDxfId="172" tableBorderDxfId="170" totalsRowBorderDxfId="169">
  <tableColumns count="10">
    <tableColumn id="1" xr3:uid="{00000000-0010-0000-1100-000001000000}" name="SPACE" dataDxfId="168"/>
    <tableColumn id="2" xr3:uid="{00000000-0010-0000-1100-000002000000}" name="Occ." dataDxfId="167"/>
    <tableColumn id="3" xr3:uid="{00000000-0010-0000-1100-000003000000}" name="L/s" dataDxfId="166">
      <calculatedColumnFormula>B46*References!AT4</calculatedColumnFormula>
    </tableColumn>
    <tableColumn id="4" xr3:uid="{00000000-0010-0000-1100-000004000000}" name="To" dataDxfId="165"/>
    <tableColumn id="5" xr3:uid="{00000000-0010-0000-1100-000005000000}" name="Ti" dataDxfId="164"/>
    <tableColumn id="6" xr3:uid="{00000000-0010-0000-1100-000006000000}" name="Wo" dataDxfId="163"/>
    <tableColumn id="7" xr3:uid="{00000000-0010-0000-1100-000007000000}" name="Wi" dataDxfId="162">
      <calculatedColumnFormula>_xlfn.IFS(E46=22.5,0.00848061,E46=22,0.00821976,E46=24,0.00929323)</calculatedColumnFormula>
    </tableColumn>
    <tableColumn id="8" xr3:uid="{00000000-0010-0000-1100-000008000000}" name="Qs(W)" dataDxfId="161">
      <calculatedColumnFormula>ABS(1.232*C46*(D46-E46))</calculatedColumnFormula>
    </tableColumn>
    <tableColumn id="9" xr3:uid="{00000000-0010-0000-1100-000009000000}" name="Ql(W)" dataDxfId="160">
      <calculatedColumnFormula>ABS(3000*C46*(F46-G46))</calculatedColumnFormula>
    </tableColumn>
    <tableColumn id="10" xr3:uid="{1C4326E1-2CFD-41B1-9A69-1696EA1A9ECF}" name="Column1" dataDxfId="159">
      <calculatedColumnFormula>Table18[[#This Row],[L/s]]/Table18[[#This Row],[Occ.]]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J126" totalsRowShown="0" headerRowDxfId="158" dataDxfId="156" headerRowBorderDxfId="157" tableBorderDxfId="155" totalsRowBorderDxfId="154">
  <tableColumns count="10">
    <tableColumn id="1" xr3:uid="{00000000-0010-0000-1200-000001000000}" name="Space" dataDxfId="153"/>
    <tableColumn id="2" xr3:uid="{00000000-0010-0000-1200-000002000000}" name="Occ." dataDxfId="152"/>
    <tableColumn id="3" xr3:uid="{00000000-0010-0000-1200-000003000000}" name="L/s" dataDxfId="151">
      <calculatedColumnFormula>B95*References!AU4</calculatedColumnFormula>
    </tableColumn>
    <tableColumn id="4" xr3:uid="{00000000-0010-0000-1200-000004000000}" name="To" dataDxfId="150"/>
    <tableColumn id="5" xr3:uid="{00000000-0010-0000-1200-000005000000}" name="Ti" dataDxfId="149"/>
    <tableColumn id="6" xr3:uid="{00000000-0010-0000-1200-000006000000}" name="Wo" dataDxfId="148"/>
    <tableColumn id="7" xr3:uid="{00000000-0010-0000-1200-000007000000}" name="Wi" dataDxfId="147">
      <calculatedColumnFormula>_xlfn.IFS(E95=22.5,0.00848031,E95=24,0.009293235,E95=22,0.00821976)</calculatedColumnFormula>
    </tableColumn>
    <tableColumn id="8" xr3:uid="{00000000-0010-0000-1200-000008000000}" name="Qs(W)" dataDxfId="146">
      <calculatedColumnFormula>ABS(1.232*C95*(D95-E95))</calculatedColumnFormula>
    </tableColumn>
    <tableColumn id="9" xr3:uid="{00000000-0010-0000-1200-000009000000}" name="Ql(W)" dataDxfId="145">
      <calculatedColumnFormula>ABS(3000*C95*(F95-G95))</calculatedColumnFormula>
    </tableColumn>
    <tableColumn id="10" xr3:uid="{2CF665D1-4AA0-4D3B-843D-424EC0815E5C}" name="Column1" dataDxfId="144">
      <calculatedColumnFormula>Table19[[#This Row],[L/s]]/Table19[[#This Row],[Occ.]]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96" headerRowBorderDxfId="395" tableBorderDxfId="394" totalsRowBorderDxfId="393">
  <tableColumns count="11">
    <tableColumn id="1" xr3:uid="{00000000-0010-0000-0100-000001000000}" name="Space" dataDxfId="392"/>
    <tableColumn id="2" xr3:uid="{00000000-0010-0000-0100-000002000000}" name="Orientation" dataDxfId="391"/>
    <tableColumn id="3" xr3:uid="{00000000-0010-0000-0100-000003000000}" name="U" dataDxfId="390"/>
    <tableColumn id="4" xr3:uid="{00000000-0010-0000-0100-000004000000}" name="A(m^2)" dataDxfId="389">
      <calculatedColumnFormula>(References!C41*4)-(References!B41*1)-(References!A41*2)</calculatedColumnFormula>
    </tableColumn>
    <tableColumn id="5" xr3:uid="{00000000-0010-0000-0100-000005000000}" name="CLTDsel" dataDxfId="388">
      <calculatedColumnFormula>_xlfn.IFS(B89="E",25,B89="N",13,B89="W",33,B89="S",22)</calculatedColumnFormula>
    </tableColumn>
    <tableColumn id="6" xr3:uid="{00000000-0010-0000-0100-000006000000}" name="LM" dataDxfId="387">
      <calculatedColumnFormula>_xlfn.IFS(B89="E",-0.55,B89="N",2.22,B89="W",-0.55,B89="S",-3.88)</calculatedColumnFormula>
    </tableColumn>
    <tableColumn id="7" xr3:uid="{00000000-0010-0000-0100-000007000000}" name="k" dataDxfId="386"/>
    <tableColumn id="8" xr3:uid="{00000000-0010-0000-0100-000008000000}" name="Ti" dataDxfId="385"/>
    <tableColumn id="9" xr3:uid="{00000000-0010-0000-0100-000009000000}" name="Tave" dataDxfId="384">
      <calculatedColumnFormula>(References!T$4)-(References!T$3/2)</calculatedColumnFormula>
    </tableColumn>
    <tableColumn id="10" xr3:uid="{00000000-0010-0000-0100-00000A000000}" name="CLTD adj" dataDxfId="383">
      <calculatedColumnFormula>(E89+F89)*G89+(25-H89)+(I89-29)</calculatedColumnFormula>
    </tableColumn>
    <tableColumn id="11" xr3:uid="{00000000-0010-0000-0100-00000B000000}" name="Q(W)" dataDxfId="382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J126" totalsRowShown="0" headerRowDxfId="143" dataDxfId="141" headerRowBorderDxfId="142" tableBorderDxfId="140" totalsRowBorderDxfId="139">
  <tableColumns count="10">
    <tableColumn id="1" xr3:uid="{00000000-0010-0000-1300-000001000000}" name="SPACE" dataDxfId="138"/>
    <tableColumn id="2" xr3:uid="{00000000-0010-0000-1300-000002000000}" name="Occ" dataDxfId="137"/>
    <tableColumn id="3" xr3:uid="{00000000-0010-0000-1300-000003000000}" name="Gain/person" dataDxfId="136"/>
    <tableColumn id="4" xr3:uid="{00000000-0010-0000-1300-000004000000}" name="Sensible" dataDxfId="135"/>
    <tableColumn id="5" xr3:uid="{00000000-0010-0000-1300-000005000000}" name="Latent" dataDxfId="134"/>
    <tableColumn id="6" xr3:uid="{00000000-0010-0000-1300-000006000000}" name="CLF" dataDxfId="133"/>
    <tableColumn id="7" xr3:uid="{00000000-0010-0000-1300-000007000000}" name="Qs (W)" dataDxfId="132">
      <calculatedColumnFormula>B95*C95*D95*F95</calculatedColumnFormula>
    </tableColumn>
    <tableColumn id="8" xr3:uid="{00000000-0010-0000-1300-000008000000}" name="Ql (W)" dataDxfId="131">
      <calculatedColumnFormula>B95*C95*E95*F95</calculatedColumnFormula>
    </tableColumn>
    <tableColumn id="9" xr3:uid="{C7270352-DCB9-45F2-96C6-7CD764B68BF1}" name="Qs/p" dataDxfId="130">
      <calculatedColumnFormula>Table20[[#This Row],[Qs (W)]]/Table20[[#This Row],[Occ]]</calculatedColumnFormula>
    </tableColumn>
    <tableColumn id="10" xr3:uid="{A6408986-3097-491D-A3C3-E925273CB26C}" name="Ql/p" dataDxfId="129">
      <calculatedColumnFormula>Table20[[#This Row],[Ql (W)]]/Table20[[#This Row],[Occ]]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J89" totalsRowShown="0" headerRowDxfId="128" dataDxfId="126" headerRowBorderDxfId="127" tableBorderDxfId="125" totalsRowBorderDxfId="124">
  <tableColumns count="10">
    <tableColumn id="1" xr3:uid="{00000000-0010-0000-1400-000001000000}" name="SPACE" dataDxfId="123"/>
    <tableColumn id="2" xr3:uid="{00000000-0010-0000-1400-000002000000}" name="Occ" dataDxfId="122"/>
    <tableColumn id="3" xr3:uid="{00000000-0010-0000-1400-000003000000}" name="Gain/person" dataDxfId="121"/>
    <tableColumn id="4" xr3:uid="{00000000-0010-0000-1400-000004000000}" name="Sensible" dataDxfId="120"/>
    <tableColumn id="5" xr3:uid="{00000000-0010-0000-1400-000005000000}" name="Latent" dataDxfId="119"/>
    <tableColumn id="6" xr3:uid="{00000000-0010-0000-1400-000006000000}" name="CLF" dataDxfId="118"/>
    <tableColumn id="7" xr3:uid="{00000000-0010-0000-1400-000007000000}" name="Qs (W)" dataDxfId="117">
      <calculatedColumnFormula>B46*C46*D46*F46</calculatedColumnFormula>
    </tableColumn>
    <tableColumn id="8" xr3:uid="{00000000-0010-0000-1400-000008000000}" name="Ql (W)" dataDxfId="116">
      <calculatedColumnFormula>B46*C46*E46</calculatedColumnFormula>
    </tableColumn>
    <tableColumn id="9" xr3:uid="{9C156E53-3836-4E11-AE25-61319BB9C97D}" name="Qs/p" dataDxfId="115">
      <calculatedColumnFormula>Table21[[#This Row],[Qs (W)]]/Table21[[#This Row],[Occ]]</calculatedColumnFormula>
    </tableColumn>
    <tableColumn id="10" xr3:uid="{BECB2526-6C56-4872-A9D8-7F5203A93240}" name="Ql/p" dataDxfId="114">
      <calculatedColumnFormula>Table21[[#This Row],[Ql (W)]]/Table21[[#This Row],[Occ]]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J40" totalsRowShown="0" headerRowDxfId="113" dataDxfId="111" headerRowBorderDxfId="112" tableBorderDxfId="110" totalsRowBorderDxfId="109">
  <tableColumns count="10">
    <tableColumn id="1" xr3:uid="{00000000-0010-0000-1500-000001000000}" name="SPACE" dataDxfId="108"/>
    <tableColumn id="2" xr3:uid="{00000000-0010-0000-1500-000002000000}" name="Occ" dataDxfId="107"/>
    <tableColumn id="3" xr3:uid="{00000000-0010-0000-1500-000003000000}" name="Gain/person" dataDxfId="106"/>
    <tableColumn id="4" xr3:uid="{00000000-0010-0000-1500-000004000000}" name="Sensible" dataDxfId="105"/>
    <tableColumn id="5" xr3:uid="{00000000-0010-0000-1500-000005000000}" name="Latent" dataDxfId="104"/>
    <tableColumn id="6" xr3:uid="{00000000-0010-0000-1500-000006000000}" name="CLF" dataDxfId="103"/>
    <tableColumn id="7" xr3:uid="{00000000-0010-0000-1500-000007000000}" name="Qs (W)" dataDxfId="102">
      <calculatedColumnFormula>B4*C4*D4*F4</calculatedColumnFormula>
    </tableColumn>
    <tableColumn id="8" xr3:uid="{00000000-0010-0000-1500-000008000000}" name="Ql (W)" dataDxfId="101">
      <calculatedColumnFormula>C4*E4*F4</calculatedColumnFormula>
    </tableColumn>
    <tableColumn id="9" xr3:uid="{81A2A970-A71D-4369-BF27-74645C3525D3}" name="Qs/p" dataDxfId="100">
      <calculatedColumnFormula>Table22[[#This Row],[Qs (W)]]/Table22[[#This Row],[Occ]]</calculatedColumnFormula>
    </tableColumn>
    <tableColumn id="10" xr3:uid="{00B2EC34-FEC5-40F4-8C34-2A32011D0D59}" name="Ql/p" dataDxfId="99">
      <calculatedColumnFormula>Table22[[#This Row],[Ql (W)]]/Table22[[#This Row],[Occ]]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98" dataDxfId="96" headerRowBorderDxfId="97" tableBorderDxfId="95" totalsRowBorderDxfId="94">
  <tableColumns count="7">
    <tableColumn id="1" xr3:uid="{3D15F0BA-E56A-48AD-8475-8EDB97578663}" name="Space 1" dataDxfId="93"/>
    <tableColumn id="2" xr3:uid="{E6499B88-C35B-459A-B806-100CCDCDCA2B}" name="Space 2" dataDxfId="92"/>
    <tableColumn id="3" xr3:uid="{D2D2D7C6-259A-4E15-80D5-76BCB5F2755C}" name="U" dataDxfId="91"/>
    <tableColumn id="4" xr3:uid="{0764F60A-9AFF-45C7-9B37-2675DAC3354B}" name="Area" dataDxfId="90">
      <calculatedColumnFormula>References!AW4*2</calculatedColumnFormula>
    </tableColumn>
    <tableColumn id="5" xr3:uid="{089F04A6-59E5-4D01-9963-34848ABB08D8}" name="Ti" dataDxfId="89"/>
    <tableColumn id="6" xr3:uid="{6D9BF11B-E4DD-49A6-BD0B-97AA2C4E05C7}" name="To" dataDxfId="88"/>
    <tableColumn id="7" xr3:uid="{5A992B19-DB89-40D9-A7B7-A2A63D74CAB2}" name="Qs (W)" dataDxfId="87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86" dataDxfId="84" headerRowBorderDxfId="85" tableBorderDxfId="83" totalsRowBorderDxfId="82">
  <tableColumns count="7">
    <tableColumn id="1" xr3:uid="{69C0A91B-A3FC-4753-82E6-7AD406608DA3}" name="Space 1" dataDxfId="81"/>
    <tableColumn id="2" xr3:uid="{AEE5E517-E89F-4369-AB32-02BDCE5550D6}" name="Space 2" dataDxfId="80"/>
    <tableColumn id="3" xr3:uid="{534EF880-A31A-4F02-8D63-58BC01851CB2}" name="U" dataDxfId="79"/>
    <tableColumn id="4" xr3:uid="{ADBF381F-28C0-4B1C-A4BB-4EC3FA91953E}" name="Area" dataDxfId="78">
      <calculatedColumnFormula>2*References!AX4</calculatedColumnFormula>
    </tableColumn>
    <tableColumn id="5" xr3:uid="{08AF1E93-1E3D-45EA-A5CD-31D81BB6DB0E}" name="Ti" dataDxfId="77"/>
    <tableColumn id="6" xr3:uid="{83FA9F78-25A4-454A-8AD3-5A7975FA8352}" name="To" dataDxfId="76"/>
    <tableColumn id="7" xr3:uid="{F7BB9612-AFD7-41F9-9A2B-39116DFCDF64}" name="Qs (W)" dataDxfId="75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74" dataDxfId="72" headerRowBorderDxfId="73" tableBorderDxfId="71">
  <tableColumns count="7">
    <tableColumn id="1" xr3:uid="{AEFCFF34-ED8A-4D1B-928C-1A4AC9803B91}" name="Space 1" dataDxfId="70"/>
    <tableColumn id="2" xr3:uid="{55781A89-E632-4F5A-B9AE-B40CDA4E25A8}" name="Space 2" dataDxfId="69"/>
    <tableColumn id="3" xr3:uid="{16E0CBE7-3940-41CE-8530-A2D6900F4684}" name="U" dataDxfId="68"/>
    <tableColumn id="4" xr3:uid="{9A5A6631-C755-4076-9BF0-63662EC62164}" name="Area" dataDxfId="67">
      <calculatedColumnFormula>2*References!AY4</calculatedColumnFormula>
    </tableColumn>
    <tableColumn id="5" xr3:uid="{31F594E5-5372-4099-AA2F-E0C7F12066AA}" name="Ti" dataDxfId="66"/>
    <tableColumn id="6" xr3:uid="{28C0F865-E043-41E8-A8E9-9B5DE187E7CF}" name="To" dataDxfId="65"/>
    <tableColumn id="7" xr3:uid="{A12774DA-FA6C-45F2-A816-9E6CC1F9185F}" name="Qs (W)" dataDxfId="64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63" dataDxfId="61" headerRowBorderDxfId="62" tableBorderDxfId="60" totalsRowBorderDxfId="59">
  <tableColumns count="6">
    <tableColumn id="1" xr3:uid="{00000000-0010-0000-1600-000001000000}" name="SPACE" dataDxfId="58"/>
    <tableColumn id="2" xr3:uid="{00000000-0010-0000-1600-000002000000}" name="W" dataDxfId="57">
      <calculatedColumnFormula>13*References!BA4</calculatedColumnFormula>
    </tableColumn>
    <tableColumn id="3" xr3:uid="{00000000-0010-0000-1600-000003000000}" name="Fu" dataDxfId="56"/>
    <tableColumn id="4" xr3:uid="{00000000-0010-0000-1600-000004000000}" name="Fb" dataDxfId="55"/>
    <tableColumn id="5" xr3:uid="{00000000-0010-0000-1600-000005000000}" name="CLF" dataDxfId="54"/>
    <tableColumn id="6" xr3:uid="{00000000-0010-0000-1600-000006000000}" name="Qs (W)" dataDxfId="53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52" dataDxfId="50" headerRowBorderDxfId="51" tableBorderDxfId="49" totalsRowBorderDxfId="48">
  <tableColumns count="6">
    <tableColumn id="1" xr3:uid="{00000000-0010-0000-1700-000001000000}" name="SPACE" dataDxfId="47"/>
    <tableColumn id="2" xr3:uid="{00000000-0010-0000-1700-000002000000}" name="W" dataDxfId="46">
      <calculatedColumnFormula>13*References!BB4</calculatedColumnFormula>
    </tableColumn>
    <tableColumn id="3" xr3:uid="{00000000-0010-0000-1700-000003000000}" name="Fu" dataDxfId="45"/>
    <tableColumn id="4" xr3:uid="{00000000-0010-0000-1700-000004000000}" name="Fb" dataDxfId="44"/>
    <tableColumn id="5" xr3:uid="{00000000-0010-0000-1700-000005000000}" name="CLF" dataDxfId="43"/>
    <tableColumn id="6" xr3:uid="{00000000-0010-0000-1700-000006000000}" name="Qs (W)" dataDxfId="42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6" totalsRowShown="0" headerRowDxfId="41" dataDxfId="39" headerRowBorderDxfId="40" tableBorderDxfId="38" totalsRowBorderDxfId="37">
  <tableColumns count="6">
    <tableColumn id="1" xr3:uid="{00000000-0010-0000-1800-000001000000}" name="SPACE" dataDxfId="36"/>
    <tableColumn id="2" xr3:uid="{00000000-0010-0000-1800-000002000000}" name="W" dataDxfId="35"/>
    <tableColumn id="3" xr3:uid="{00000000-0010-0000-1800-000003000000}" name="Fu" dataDxfId="34"/>
    <tableColumn id="4" xr3:uid="{00000000-0010-0000-1800-000004000000}" name="Fb" dataDxfId="33"/>
    <tableColumn id="5" xr3:uid="{00000000-0010-0000-1800-000005000000}" name="CLF" dataDxfId="32"/>
    <tableColumn id="6" xr3:uid="{00000000-0010-0000-1800-000006000000}" name="Qs (W)" dataDxfId="31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B8D14A5-F48B-4ACF-BE39-EEFE78975F00}" name="Table28" displayName="Table28" ref="A1:K23" totalsRowShown="0" headerRowDxfId="0" dataDxfId="1" headerRowBorderDxfId="14" tableBorderDxfId="15" totalsRowBorderDxfId="13">
  <tableColumns count="11">
    <tableColumn id="1" xr3:uid="{6FB24CDE-13B6-4444-931F-5C160C64D339}" name="Points" dataDxfId="12"/>
    <tableColumn id="2" xr3:uid="{2909BD0D-AE61-46D3-ADA2-B39DAAA78DEA}" name="L/s" dataDxfId="11"/>
    <tableColumn id="3" xr3:uid="{245DE6F8-CBEF-4552-B2AA-5223967004D4}" name="GPM" dataDxfId="10">
      <calculatedColumnFormula>B2*15.850372483753</calculatedColumnFormula>
    </tableColumn>
    <tableColumn id="4" xr3:uid="{BDF044BB-102E-4E16-BBBB-C24B7DF1621F}" name="Nominal Diamater (in)" dataDxfId="9"/>
    <tableColumn id="5" xr3:uid="{6B04D4D4-E9F6-49A6-99CC-4C048146B451}" name="Nominal Diameter (m)" dataDxfId="8">
      <calculatedColumnFormula>(D2*25.4)/1000</calculatedColumnFormula>
    </tableColumn>
    <tableColumn id="6" xr3:uid="{AF1F765F-866D-42BB-B94A-886436CFF9A0}" name="inside diamtere (in)" dataDxfId="7"/>
    <tableColumn id="7" xr3:uid="{5855902B-EE10-45B0-999D-7F9AC745425F}" name="Inside Diameter (m)" dataDxfId="6">
      <calculatedColumnFormula>(F2*25.4)/1000</calculatedColumnFormula>
    </tableColumn>
    <tableColumn id="8" xr3:uid="{692C8D45-8CBB-4979-95CB-BDA73AD399E1}" name="Velocity (ft/s)" dataDxfId="5"/>
    <tableColumn id="9" xr3:uid="{0CC92715-902E-440C-B8CB-99D24B82DCF5}" name="Pressure Gradient (Pa/m)" dataDxfId="4">
      <calculatedColumnFormula>(O2/100)*2989.06689999997*3.281</calculatedColumnFormula>
    </tableColumn>
    <tableColumn id="10" xr3:uid="{3D1581BE-E808-409B-8E87-1176CF188885}" name="Equivalent Length (m)" dataDxfId="3"/>
    <tableColumn id="11" xr3:uid="{1786AE73-E4B4-4C82-9074-0EAB1F559BB8}" name="Pressure Drop (Pa)" dataDxfId="2">
      <calculatedColumnFormula>I2*J2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81" headerRowBorderDxfId="380" tableBorderDxfId="379" totalsRowBorderDxfId="378">
  <tableColumns count="11">
    <tableColumn id="1" xr3:uid="{00000000-0010-0000-0200-000001000000}" name="Space" dataDxfId="377"/>
    <tableColumn id="2" xr3:uid="{00000000-0010-0000-0200-000002000000}" name="Orientation" dataDxfId="376"/>
    <tableColumn id="3" xr3:uid="{00000000-0010-0000-0200-000003000000}" name="U" dataDxfId="375"/>
    <tableColumn id="4" xr3:uid="{00000000-0010-0000-0200-000004000000}" name="A(m^2)" dataDxfId="374"/>
    <tableColumn id="5" xr3:uid="{00000000-0010-0000-0200-000005000000}" name="CLTDsel" dataDxfId="373"/>
    <tableColumn id="6" xr3:uid="{00000000-0010-0000-0200-000006000000}" name="LM" dataDxfId="372"/>
    <tableColumn id="7" xr3:uid="{00000000-0010-0000-0200-000007000000}" name="k" dataDxfId="371"/>
    <tableColumn id="8" xr3:uid="{00000000-0010-0000-0200-000008000000}" name="Ti" dataDxfId="370"/>
    <tableColumn id="9" xr3:uid="{00000000-0010-0000-0200-000009000000}" name="Tave" dataDxfId="369"/>
    <tableColumn id="10" xr3:uid="{00000000-0010-0000-0200-00000A000000}" name="CLTD adj" dataDxfId="368">
      <calculatedColumnFormula>(E42+F42)*G42+(25-H42)+(I42-29)</calculatedColumnFormula>
    </tableColumn>
    <tableColumn id="11" xr3:uid="{00000000-0010-0000-0200-00000B000000}" name="Q(W)" dataDxfId="367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66" headerRowBorderDxfId="365" tableBorderDxfId="364" totalsRowBorderDxfId="363">
  <tableColumns count="11">
    <tableColumn id="1" xr3:uid="{00000000-0010-0000-0300-000001000000}" name="Space" dataDxfId="362"/>
    <tableColumn id="2" xr3:uid="{00000000-0010-0000-0300-000002000000}" name="Orientation" dataDxfId="361"/>
    <tableColumn id="3" xr3:uid="{00000000-0010-0000-0300-000003000000}" name="U" dataDxfId="360"/>
    <tableColumn id="4" xr3:uid="{00000000-0010-0000-0300-000004000000}" name="To" dataDxfId="359"/>
    <tableColumn id="5" xr3:uid="{00000000-0010-0000-0300-000005000000}" name="Ti" dataDxfId="358"/>
    <tableColumn id="6" xr3:uid="{00000000-0010-0000-0300-000006000000}" name="A(m^2)" dataDxfId="357">
      <calculatedColumnFormula>References!E5*References!F5</calculatedColumnFormula>
    </tableColumn>
    <tableColumn id="7" xr3:uid="{00000000-0010-0000-0300-000007000000}" name="SHGF" dataDxfId="356">
      <calculatedColumnFormula>_xlfn.IFS(B4="E",685,B4="N",120,B4="W",685,B4="S",230)</calculatedColumnFormula>
    </tableColumn>
    <tableColumn id="8" xr3:uid="{00000000-0010-0000-0300-000008000000}" name="SCL" dataDxfId="355">
      <calculatedColumnFormula>_xlfn.IFS(B4="E",0.8,B4="N",0.91,B4="W",0.82,B4="S",0.83)</calculatedColumnFormula>
    </tableColumn>
    <tableColumn id="9" xr3:uid="{00000000-0010-0000-0300-000009000000}" name="SC" dataDxfId="354"/>
    <tableColumn id="10" xr3:uid="{00000000-0010-0000-0300-00000A000000}" name="Qsg (W)" dataDxfId="353">
      <calculatedColumnFormula>G4*H4*F4*I4</calculatedColumnFormula>
    </tableColumn>
    <tableColumn id="11" xr3:uid="{00000000-0010-0000-0300-00000B000000}" name="Qth (W)" dataDxfId="352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51" dataDxfId="349" headerRowBorderDxfId="350" tableBorderDxfId="348" totalsRowBorderDxfId="347">
  <tableColumns count="11">
    <tableColumn id="1" xr3:uid="{00000000-0010-0000-0400-000001000000}" name="Space" dataDxfId="346"/>
    <tableColumn id="2" xr3:uid="{00000000-0010-0000-0400-000002000000}" name="Orientation" dataDxfId="345"/>
    <tableColumn id="3" xr3:uid="{00000000-0010-0000-0400-000003000000}" name="U" dataDxfId="344"/>
    <tableColumn id="4" xr3:uid="{00000000-0010-0000-0400-000004000000}" name="To" dataDxfId="343"/>
    <tableColumn id="5" xr3:uid="{00000000-0010-0000-0400-000005000000}" name="Ti" dataDxfId="342"/>
    <tableColumn id="6" xr3:uid="{00000000-0010-0000-0400-000006000000}" name="A(m^2)" dataDxfId="341">
      <calculatedColumnFormula>References!E41*References!F41</calculatedColumnFormula>
    </tableColumn>
    <tableColumn id="7" xr3:uid="{00000000-0010-0000-0400-000007000000}" name="SHGF" dataDxfId="340">
      <calculatedColumnFormula>_xlfn.IFS(B74="E",685,B74="N",120,B74="W",685,B74="S",230)</calculatedColumnFormula>
    </tableColumn>
    <tableColumn id="8" xr3:uid="{00000000-0010-0000-0400-000008000000}" name="SCL" dataDxfId="339">
      <calculatedColumnFormula>_xlfn.IFS(B74="E",0.8,B74="N",0.91,B74="W",0.82,B74="S",0.83)</calculatedColumnFormula>
    </tableColumn>
    <tableColumn id="9" xr3:uid="{00000000-0010-0000-0400-000009000000}" name="SC" dataDxfId="338"/>
    <tableColumn id="10" xr3:uid="{00000000-0010-0000-0400-00000A000000}" name="Qsg (W)" dataDxfId="337">
      <calculatedColumnFormula>G74*H74*F74*I74</calculatedColumnFormula>
    </tableColumn>
    <tableColumn id="11" xr3:uid="{00000000-0010-0000-0400-00000B000000}" name="Qth (W)" dataDxfId="336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35" headerRowBorderDxfId="334" tableBorderDxfId="333" totalsRowBorderDxfId="332">
  <tableColumns count="11">
    <tableColumn id="1" xr3:uid="{00000000-0010-0000-0500-000001000000}" name="Space" dataDxfId="331"/>
    <tableColumn id="2" xr3:uid="{00000000-0010-0000-0500-000002000000}" name="Orientation" dataDxfId="330"/>
    <tableColumn id="3" xr3:uid="{00000000-0010-0000-0500-000003000000}" name="U" dataDxfId="329"/>
    <tableColumn id="4" xr3:uid="{00000000-0010-0000-0500-000004000000}" name="To" dataDxfId="328"/>
    <tableColumn id="5" xr3:uid="{00000000-0010-0000-0500-000005000000}" name="Ti" dataDxfId="327"/>
    <tableColumn id="6" xr3:uid="{00000000-0010-0000-0500-000006000000}" name="A(m^2)" dataDxfId="326"/>
    <tableColumn id="7" xr3:uid="{00000000-0010-0000-0500-000007000000}" name="SHGF" dataDxfId="325">
      <calculatedColumnFormula>_xlfn.IFS(B40="N",120,B40="E",685,B40="S",230,B40="W",685)</calculatedColumnFormula>
    </tableColumn>
    <tableColumn id="8" xr3:uid="{00000000-0010-0000-0500-000008000000}" name="SCL" dataDxfId="324">
      <calculatedColumnFormula>_xlfn.IFS(B40="N",0.91,B40="E",0.8,B40="S",0.83,B40="W",0.82)</calculatedColumnFormula>
    </tableColumn>
    <tableColumn id="9" xr3:uid="{00000000-0010-0000-0500-000009000000}" name="SC" dataDxfId="323"/>
    <tableColumn id="10" xr3:uid="{00000000-0010-0000-0500-00000A000000}" name="Qsg (W)" dataDxfId="322">
      <calculatedColumnFormula>I40*H40*G40*F40</calculatedColumnFormula>
    </tableColumn>
    <tableColumn id="11" xr3:uid="{00000000-0010-0000-0500-00000B000000}" name="Qth (W)" dataDxfId="321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320" headerRowBorderDxfId="319" tableBorderDxfId="318" totalsRowBorderDxfId="317">
  <tableColumns count="9">
    <tableColumn id="1" xr3:uid="{00000000-0010-0000-0600-000001000000}" name="SPACE" dataDxfId="316"/>
    <tableColumn id="2" xr3:uid="{00000000-0010-0000-0600-000002000000}" name="Volume" dataDxfId="315">
      <calculatedColumnFormula>References!AB4*4</calculatedColumnFormula>
    </tableColumn>
    <tableColumn id="3" xr3:uid="{00000000-0010-0000-0600-000003000000}" name="L/s" dataDxfId="314">
      <calculatedColumnFormula>((0.15+0.01*3+0.007*(D78-E78))*B78)/3.6</calculatedColumnFormula>
    </tableColumn>
    <tableColumn id="4" xr3:uid="{00000000-0010-0000-0600-000004000000}" name="To" dataDxfId="313"/>
    <tableColumn id="5" xr3:uid="{00000000-0010-0000-0600-000005000000}" name="Ti" dataDxfId="312"/>
    <tableColumn id="6" xr3:uid="{00000000-0010-0000-0600-000006000000}" name="Wo" dataDxfId="311"/>
    <tableColumn id="7" xr3:uid="{00000000-0010-0000-0600-000007000000}" name="Wi" dataDxfId="310">
      <calculatedColumnFormula>_xlfn.IFS(E78=22.5,0.00848061,E78=22,0.00821976,E78=24,0.00929323,E78=28,0.0118162235)</calculatedColumnFormula>
    </tableColumn>
    <tableColumn id="8" xr3:uid="{00000000-0010-0000-0600-000008000000}" name="Qs (W)" dataDxfId="309">
      <calculatedColumnFormula>ABS(1.23*C78*(D78-E78))</calculatedColumnFormula>
    </tableColumn>
    <tableColumn id="9" xr3:uid="{00000000-0010-0000-0600-000009000000}" name="Ql (W)" dataDxfId="308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6" totalsRowShown="0" headerRowDxfId="307" headerRowBorderDxfId="306" tableBorderDxfId="305" totalsRowBorderDxfId="304">
  <tableColumns count="9">
    <tableColumn id="1" xr3:uid="{00000000-0010-0000-0700-000001000000}" name="Space" dataDxfId="303"/>
    <tableColumn id="2" xr3:uid="{00000000-0010-0000-0700-000002000000}" name="Volume" dataDxfId="302">
      <calculatedColumnFormula>References!AE4*4</calculatedColumnFormula>
    </tableColumn>
    <tableColumn id="3" xr3:uid="{00000000-0010-0000-0700-000003000000}" name="L/s" dataDxfId="301">
      <calculatedColumnFormula>(References!AD4*B163)/3.6</calculatedColumnFormula>
    </tableColumn>
    <tableColumn id="4" xr3:uid="{00000000-0010-0000-0700-000004000000}" name="To" dataDxfId="300"/>
    <tableColumn id="5" xr3:uid="{00000000-0010-0000-0700-000005000000}" name="Ti" dataDxfId="299"/>
    <tableColumn id="6" xr3:uid="{00000000-0010-0000-0700-000006000000}" name="Wo" dataDxfId="298"/>
    <tableColumn id="7" xr3:uid="{00000000-0010-0000-0700-000007000000}" name="Wi" dataDxfId="297">
      <calculatedColumnFormula>_xlfn.IFS(E163=22.5,0.00848031,E163=24,0.009293235,E163=22,0.00821976,E163=28,0.0118162235)</calculatedColumnFormula>
    </tableColumn>
    <tableColumn id="8" xr3:uid="{00000000-0010-0000-0700-000008000000}" name="Qs" dataDxfId="296">
      <calculatedColumnFormula>ABS(1.232*(D163-E163)*C163)</calculatedColumnFormula>
    </tableColumn>
    <tableColumn id="9" xr3:uid="{00000000-0010-0000-0700-000009000000}" name="Ql" dataDxfId="295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94" headerRowBorderDxfId="293" tableBorderDxfId="292" totalsRowBorderDxfId="291">
  <tableColumns count="9">
    <tableColumn id="1" xr3:uid="{00000000-0010-0000-0800-000001000000}" name="SPACE" dataDxfId="290"/>
    <tableColumn id="2" xr3:uid="{00000000-0010-0000-0800-000002000000}" name="Volume" dataDxfId="289">
      <calculatedColumnFormula>References!Z4*4</calculatedColumnFormula>
    </tableColumn>
    <tableColumn id="3" xr3:uid="{00000000-0010-0000-0800-000003000000}" name="L/s" dataDxfId="288">
      <calculatedColumnFormula>(References!Y4*B4)/3.6</calculatedColumnFormula>
    </tableColumn>
    <tableColumn id="4" xr3:uid="{00000000-0010-0000-0800-000004000000}" name="To" dataDxfId="287"/>
    <tableColumn id="5" xr3:uid="{00000000-0010-0000-0800-000005000000}" name="Ti" dataDxfId="286"/>
    <tableColumn id="6" xr3:uid="{00000000-0010-0000-0800-000006000000}" name="Wo" dataDxfId="285"/>
    <tableColumn id="7" xr3:uid="{00000000-0010-0000-0800-000007000000}" name="Wi" dataDxfId="284"/>
    <tableColumn id="8" xr3:uid="{00000000-0010-0000-0800-000008000000}" name="Qs (W)" dataDxfId="283">
      <calculatedColumnFormula>ABS((1.232*(D4-E4)*C4))</calculatedColumnFormula>
    </tableColumn>
    <tableColumn id="9" xr3:uid="{00000000-0010-0000-0800-000009000000}" name="Ql (W)" dataDxfId="282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S131"/>
  <sheetViews>
    <sheetView topLeftCell="A43" zoomScale="85" zoomScaleNormal="85" workbookViewId="0">
      <selection activeCell="L169" sqref="L169"/>
    </sheetView>
  </sheetViews>
  <sheetFormatPr defaultRowHeight="14.4" x14ac:dyDescent="0.3"/>
  <cols>
    <col min="1" max="1" width="32.6640625" customWidth="1"/>
    <col min="2" max="2" width="12.44140625" customWidth="1"/>
    <col min="3" max="4" width="9.109375" customWidth="1"/>
    <col min="5" max="5" width="10.33203125" customWidth="1"/>
    <col min="6" max="9" width="9.109375" customWidth="1"/>
    <col min="10" max="10" width="15.33203125" customWidth="1"/>
    <col min="11" max="12" width="9.10937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9" ht="23.4" x14ac:dyDescent="0.3">
      <c r="A1" s="185" t="s">
        <v>537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9" ht="24" thickBot="1" x14ac:dyDescent="0.5">
      <c r="A2" s="183" t="s">
        <v>160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19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86" t="s">
        <v>539</v>
      </c>
      <c r="O3" s="186"/>
      <c r="P3" s="186"/>
      <c r="Q3" s="186"/>
      <c r="R3" s="186"/>
      <c r="S3" s="186"/>
    </row>
    <row r="4" spans="1:19" ht="15" thickBot="1" x14ac:dyDescent="0.35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49"/>
      <c r="N4" s="187"/>
      <c r="O4" s="187"/>
      <c r="P4" s="187"/>
      <c r="Q4" s="187" t="s">
        <v>430</v>
      </c>
      <c r="R4" s="187"/>
      <c r="S4" s="187"/>
    </row>
    <row r="5" spans="1:19" ht="15" thickBot="1" x14ac:dyDescent="0.35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49"/>
      <c r="N5" s="188" t="s">
        <v>160</v>
      </c>
      <c r="O5" s="188"/>
      <c r="P5" s="188"/>
      <c r="Q5" s="188">
        <f>K38</f>
        <v>39227.857343999996</v>
      </c>
      <c r="R5" s="188"/>
      <c r="S5" s="188"/>
    </row>
    <row r="6" spans="1:19" ht="15" thickBot="1" x14ac:dyDescent="0.35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49"/>
      <c r="N6" s="188" t="s">
        <v>41</v>
      </c>
      <c r="O6" s="188"/>
      <c r="P6" s="188"/>
      <c r="Q6" s="188">
        <f>K85</f>
        <v>31364.094930011994</v>
      </c>
      <c r="R6" s="188"/>
      <c r="S6" s="188"/>
    </row>
    <row r="7" spans="1:19" ht="15" thickBot="1" x14ac:dyDescent="0.35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49"/>
      <c r="N7" s="188" t="s">
        <v>59</v>
      </c>
      <c r="O7" s="188"/>
      <c r="P7" s="188"/>
      <c r="Q7" s="188">
        <f>K131</f>
        <v>48205.328184000005</v>
      </c>
      <c r="R7" s="188"/>
      <c r="S7" s="188"/>
    </row>
    <row r="8" spans="1:19" ht="15" thickBot="1" x14ac:dyDescent="0.35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49"/>
      <c r="N8" s="189" t="s">
        <v>540</v>
      </c>
      <c r="O8" s="189"/>
      <c r="P8" s="189"/>
      <c r="Q8" s="182">
        <f>Q5+Q6+Q7</f>
        <v>118797.28045801198</v>
      </c>
      <c r="R8" s="182"/>
      <c r="S8" s="182"/>
    </row>
    <row r="9" spans="1:19" ht="15" thickBot="1" x14ac:dyDescent="0.35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49"/>
      <c r="N9" s="189"/>
      <c r="O9" s="189"/>
      <c r="P9" s="189"/>
      <c r="Q9" s="182"/>
      <c r="R9" s="182"/>
      <c r="S9" s="182"/>
    </row>
    <row r="10" spans="1:19" ht="15" thickBot="1" x14ac:dyDescent="0.35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49"/>
    </row>
    <row r="11" spans="1:19" ht="15" thickBot="1" x14ac:dyDescent="0.35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49"/>
    </row>
    <row r="12" spans="1:19" ht="15" thickBot="1" x14ac:dyDescent="0.35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49"/>
    </row>
    <row r="13" spans="1:19" ht="15" thickBot="1" x14ac:dyDescent="0.35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49"/>
    </row>
    <row r="14" spans="1:19" ht="15" thickBot="1" x14ac:dyDescent="0.35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49"/>
    </row>
    <row r="15" spans="1:19" ht="15" thickBot="1" x14ac:dyDescent="0.35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49"/>
    </row>
    <row r="16" spans="1:19" ht="15" thickBot="1" x14ac:dyDescent="0.35">
      <c r="A16" s="154" t="s">
        <v>28</v>
      </c>
      <c r="B16" s="152" t="s">
        <v>48</v>
      </c>
      <c r="C16" s="152">
        <v>2.7143999999999999</v>
      </c>
      <c r="D16" s="152">
        <f>15.75*4-(References!B17)-(2*2.5*1)</f>
        <v>49.85</v>
      </c>
      <c r="E16" s="152">
        <v>33</v>
      </c>
      <c r="F16" s="152">
        <v>-0.55000000000000004</v>
      </c>
      <c r="G16" s="152">
        <v>0.65</v>
      </c>
      <c r="H16" s="152">
        <v>28</v>
      </c>
      <c r="I16" s="152">
        <f>(References!T$4)-(References!T$3/2)</f>
        <v>30.45</v>
      </c>
      <c r="J16" s="152">
        <f t="shared" si="0"/>
        <v>19.5425</v>
      </c>
      <c r="K16" s="153">
        <f t="shared" si="1"/>
        <v>4465.3237199999994</v>
      </c>
      <c r="M16" s="149"/>
    </row>
    <row r="17" spans="1:13" ht="15" thickBot="1" x14ac:dyDescent="0.35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49"/>
    </row>
    <row r="18" spans="1:13" ht="15" thickBot="1" x14ac:dyDescent="0.35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49"/>
    </row>
    <row r="19" spans="1:13" ht="15" thickBot="1" x14ac:dyDescent="0.35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49"/>
    </row>
    <row r="20" spans="1:13" ht="15" thickBot="1" x14ac:dyDescent="0.35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49"/>
    </row>
    <row r="21" spans="1:13" ht="15" thickBot="1" x14ac:dyDescent="0.35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49"/>
    </row>
    <row r="22" spans="1:13" ht="15" thickBot="1" x14ac:dyDescent="0.35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49"/>
    </row>
    <row r="23" spans="1:13" ht="15" thickBot="1" x14ac:dyDescent="0.35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49"/>
    </row>
    <row r="24" spans="1:13" ht="15" thickBot="1" x14ac:dyDescent="0.35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49"/>
    </row>
    <row r="25" spans="1:13" ht="15" thickBot="1" x14ac:dyDescent="0.35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49"/>
    </row>
    <row r="26" spans="1:13" ht="15" thickBot="1" x14ac:dyDescent="0.35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49"/>
    </row>
    <row r="27" spans="1:13" ht="15" thickBot="1" x14ac:dyDescent="0.35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49"/>
    </row>
    <row r="28" spans="1:13" ht="15" thickBot="1" x14ac:dyDescent="0.35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49"/>
    </row>
    <row r="29" spans="1:13" ht="15" thickBot="1" x14ac:dyDescent="0.35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49"/>
    </row>
    <row r="30" spans="1:13" ht="15" thickBot="1" x14ac:dyDescent="0.35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49"/>
    </row>
    <row r="31" spans="1:13" ht="15" thickBot="1" x14ac:dyDescent="0.35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49"/>
    </row>
    <row r="32" spans="1:13" ht="15" thickBot="1" x14ac:dyDescent="0.35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49"/>
    </row>
    <row r="33" spans="1:14" ht="15" thickBot="1" x14ac:dyDescent="0.35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49"/>
    </row>
    <row r="34" spans="1:14" ht="15" thickBot="1" x14ac:dyDescent="0.35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49"/>
    </row>
    <row r="35" spans="1:14" ht="15" thickBot="1" x14ac:dyDescent="0.35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49"/>
    </row>
    <row r="36" spans="1:14" ht="15" thickBot="1" x14ac:dyDescent="0.35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49"/>
    </row>
    <row r="37" spans="1:14" ht="15" thickBot="1" x14ac:dyDescent="0.35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49"/>
    </row>
    <row r="38" spans="1:14" ht="15.6" thickTop="1" thickBot="1" x14ac:dyDescent="0.35">
      <c r="J38" s="42" t="s">
        <v>42</v>
      </c>
      <c r="K38" s="42">
        <f>SUM(K4:K37)</f>
        <v>39227.857343999996</v>
      </c>
    </row>
    <row r="39" spans="1:14" ht="15" thickTop="1" x14ac:dyDescent="0.3"/>
    <row r="40" spans="1:14" ht="24" thickBot="1" x14ac:dyDescent="0.5">
      <c r="A40" s="183" t="s">
        <v>41</v>
      </c>
      <c r="B40" s="183"/>
      <c r="C40" s="183"/>
      <c r="D40" s="183"/>
      <c r="E40" s="183"/>
      <c r="F40" s="183"/>
      <c r="G40" s="183"/>
      <c r="H40" s="183"/>
      <c r="I40" s="183"/>
      <c r="J40" s="183"/>
      <c r="K40" s="183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180" t="s">
        <v>62</v>
      </c>
      <c r="B45" s="152" t="s">
        <v>47</v>
      </c>
      <c r="C45" s="152">
        <v>2.7143999999999999</v>
      </c>
      <c r="D45" s="152">
        <v>43.2</v>
      </c>
      <c r="E45" s="152">
        <v>13</v>
      </c>
      <c r="F45" s="152">
        <v>2.2200000000000002</v>
      </c>
      <c r="G45" s="152">
        <v>0.65</v>
      </c>
      <c r="H45" s="152">
        <v>28</v>
      </c>
      <c r="I45" s="152">
        <v>30.45</v>
      </c>
      <c r="J45" s="152">
        <f t="shared" si="4"/>
        <v>8.343</v>
      </c>
      <c r="K45" s="153">
        <f t="shared" si="5"/>
        <v>978.31753343999992</v>
      </c>
    </row>
    <row r="46" spans="1:14" ht="15" thickBot="1" x14ac:dyDescent="0.35">
      <c r="A46" s="180" t="s">
        <v>63</v>
      </c>
      <c r="B46" s="152" t="s">
        <v>48</v>
      </c>
      <c r="C46" s="152">
        <v>2.7143999999999999</v>
      </c>
      <c r="D46" s="152">
        <v>41.2</v>
      </c>
      <c r="E46" s="152">
        <v>33</v>
      </c>
      <c r="F46" s="152">
        <v>-0.55000000000000004</v>
      </c>
      <c r="G46" s="152">
        <v>0.65</v>
      </c>
      <c r="H46" s="152">
        <v>28</v>
      </c>
      <c r="I46" s="152">
        <v>30.45</v>
      </c>
      <c r="J46" s="152">
        <f t="shared" si="4"/>
        <v>19.5425</v>
      </c>
      <c r="K46" s="153">
        <f t="shared" si="5"/>
        <v>2185.5018743999999</v>
      </c>
    </row>
    <row r="47" spans="1:14" ht="15" thickBot="1" x14ac:dyDescent="0.35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151" t="s">
        <v>126</v>
      </c>
      <c r="B50" s="152" t="s">
        <v>48</v>
      </c>
      <c r="C50" s="152">
        <v>2.7143999999999999</v>
      </c>
      <c r="D50" s="152">
        <v>9.6999999999999993</v>
      </c>
      <c r="E50" s="152">
        <v>33</v>
      </c>
      <c r="F50" s="152">
        <v>-0.55000000000000004</v>
      </c>
      <c r="G50" s="152">
        <v>0.65</v>
      </c>
      <c r="H50" s="152">
        <v>28</v>
      </c>
      <c r="I50" s="152">
        <v>30.45</v>
      </c>
      <c r="J50" s="152">
        <f t="shared" si="4"/>
        <v>19.5425</v>
      </c>
      <c r="K50" s="153">
        <f t="shared" si="5"/>
        <v>514.54777139999999</v>
      </c>
    </row>
    <row r="51" spans="1:13" ht="15" thickBot="1" x14ac:dyDescent="0.35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  <c r="M53">
        <f>Table6[[#This Row],[A(m^2)]]+(0.6*1.2)</f>
        <v>8.2000000000000011</v>
      </c>
    </row>
    <row r="54" spans="1:13" ht="15" thickBot="1" x14ac:dyDescent="0.35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  <c r="M58">
        <f>Table6[[#This Row],[A(m^2)]]+1.95</f>
        <v>15</v>
      </c>
    </row>
    <row r="59" spans="1:13" ht="15" thickBot="1" x14ac:dyDescent="0.35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>
        <f>Table6[[#This Row],[A(m^2)]]+2.51+2.51</f>
        <v>15.6</v>
      </c>
    </row>
    <row r="61" spans="1:13" ht="15" thickBot="1" x14ac:dyDescent="0.35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  <c r="M62">
        <f>Table6[[#This Row],[A(m^2)]]+2.4</f>
        <v>24</v>
      </c>
    </row>
    <row r="63" spans="1:13" ht="15" thickBot="1" x14ac:dyDescent="0.35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  <c r="M63">
        <f>Table6[[#This Row],[A(m^2)]]+0.6*0.6</f>
        <v>4.8000000000000007</v>
      </c>
    </row>
    <row r="64" spans="1:13" ht="15" thickBot="1" x14ac:dyDescent="0.35">
      <c r="A64" s="151" t="s">
        <v>130</v>
      </c>
      <c r="B64" s="152" t="s">
        <v>49</v>
      </c>
      <c r="C64" s="152">
        <v>2.7143999999999999</v>
      </c>
      <c r="D64" s="152">
        <v>19.2</v>
      </c>
      <c r="E64" s="152">
        <v>22</v>
      </c>
      <c r="F64" s="152">
        <v>-3.88</v>
      </c>
      <c r="G64" s="152">
        <v>0.65</v>
      </c>
      <c r="H64" s="152">
        <v>28</v>
      </c>
      <c r="I64" s="152">
        <v>30.45</v>
      </c>
      <c r="J64" s="152">
        <f t="shared" si="4"/>
        <v>10.228</v>
      </c>
      <c r="K64" s="153">
        <f t="shared" si="5"/>
        <v>533.04735743999993</v>
      </c>
    </row>
    <row r="65" spans="1:13" ht="15" thickBot="1" x14ac:dyDescent="0.35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>
        <f>D66+0.6*0.6</f>
        <v>5.4</v>
      </c>
    </row>
    <row r="66" spans="1:13" ht="15" thickBot="1" x14ac:dyDescent="0.35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  <c r="M69">
        <f>Table6[[#This Row],[A(m^2)]]+1.6</f>
        <v>11.4</v>
      </c>
    </row>
    <row r="70" spans="1:13" ht="15" thickBot="1" x14ac:dyDescent="0.35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  <c r="M70">
        <f>Table6[[#This Row],[A(m^2)]]+1.6</f>
        <v>10.4</v>
      </c>
    </row>
    <row r="71" spans="1:13" ht="15" thickBot="1" x14ac:dyDescent="0.35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  <c r="M71">
        <f>Table6[[#This Row],[A(m^2)]]+1.6</f>
        <v>12</v>
      </c>
    </row>
    <row r="72" spans="1:13" ht="15" thickBot="1" x14ac:dyDescent="0.35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ht="15" thickBot="1" x14ac:dyDescent="0.35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ht="15" thickBot="1" x14ac:dyDescent="0.35">
      <c r="A75" s="154" t="s">
        <v>65</v>
      </c>
      <c r="B75" s="152" t="s">
        <v>46</v>
      </c>
      <c r="C75" s="152">
        <v>2.7143999999999999</v>
      </c>
      <c r="D75" s="152">
        <v>7.4</v>
      </c>
      <c r="E75" s="152">
        <v>25</v>
      </c>
      <c r="F75" s="152">
        <v>-0.55000000000000004</v>
      </c>
      <c r="G75" s="152">
        <v>0.65</v>
      </c>
      <c r="H75" s="152">
        <v>22.5</v>
      </c>
      <c r="I75" s="152">
        <v>30.45</v>
      </c>
      <c r="J75" s="152">
        <f t="shared" si="4"/>
        <v>19.842499999999998</v>
      </c>
      <c r="K75" s="153">
        <f t="shared" si="5"/>
        <v>398.56756679999995</v>
      </c>
      <c r="M75" s="4"/>
    </row>
    <row r="76" spans="1:13" ht="15" thickBot="1" x14ac:dyDescent="0.35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  <c r="M77">
        <f>D78+2.1</f>
        <v>15</v>
      </c>
    </row>
    <row r="78" spans="1:13" ht="15" thickBot="1" x14ac:dyDescent="0.35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>
        <f>Table6[[#This Row],[A(m^2)]]+1.2+1.2+1.4</f>
        <v>24.199999999999996</v>
      </c>
    </row>
    <row r="80" spans="1:13" ht="15" thickBot="1" x14ac:dyDescent="0.35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  <c r="M80">
        <f>Table6[[#This Row],[A(m^2)]]+2.72</f>
        <v>10.88</v>
      </c>
    </row>
    <row r="81" spans="1:13" ht="15" thickBot="1" x14ac:dyDescent="0.35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  <c r="M81">
        <f>Table6[[#This Row],[A(m^2)]]+1.2*0.6</f>
        <v>10.92</v>
      </c>
    </row>
    <row r="82" spans="1:13" ht="15" thickBot="1" x14ac:dyDescent="0.35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3" ht="15" thickBot="1" x14ac:dyDescent="0.35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  <c r="M83">
        <f>Table6[[#This Row],[A(m^2)]]+1.4</f>
        <v>10.280000000000001</v>
      </c>
    </row>
    <row r="84" spans="1:13" ht="15" thickBot="1" x14ac:dyDescent="0.35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  <c r="M84">
        <f>Table6[[#This Row],[A(m^2)]]+0.6*0.6</f>
        <v>8.1999999999999993</v>
      </c>
    </row>
    <row r="85" spans="1:13" ht="15" thickBot="1" x14ac:dyDescent="0.35">
      <c r="J85" s="41" t="s">
        <v>42</v>
      </c>
      <c r="K85" s="41">
        <f>SUM(Table6[Q(W)])</f>
        <v>31364.094930011994</v>
      </c>
    </row>
    <row r="86" spans="1:13" x14ac:dyDescent="0.3">
      <c r="J86" s="1"/>
      <c r="K86" s="1"/>
    </row>
    <row r="87" spans="1:13" ht="23.4" x14ac:dyDescent="0.45">
      <c r="A87" s="184" t="s">
        <v>59</v>
      </c>
      <c r="B87" s="184"/>
      <c r="C87" s="184"/>
      <c r="D87" s="184"/>
      <c r="E87" s="184"/>
      <c r="F87" s="184"/>
      <c r="G87" s="184"/>
      <c r="H87" s="184"/>
      <c r="I87" s="184"/>
      <c r="J87" s="184"/>
      <c r="K87" s="184"/>
    </row>
    <row r="88" spans="1:13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3" ht="15" thickBot="1" x14ac:dyDescent="0.35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3" ht="15" thickBot="1" x14ac:dyDescent="0.35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  <c r="M90">
        <f>Table2[[#This Row],[A(m^2)]]+2.31+2.31</f>
        <v>24.019999999999996</v>
      </c>
    </row>
    <row r="91" spans="1:13" ht="15" thickBot="1" x14ac:dyDescent="0.35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  <c r="M91">
        <f>Table2[[#This Row],[A(m^2)]]+2.31+2.31</f>
        <v>24.019999999999996</v>
      </c>
    </row>
    <row r="92" spans="1:13" ht="15" thickBot="1" x14ac:dyDescent="0.35">
      <c r="A92" s="151" t="s">
        <v>61</v>
      </c>
      <c r="B92" s="152" t="s">
        <v>46</v>
      </c>
      <c r="C92" s="155">
        <v>2.7143999999999999</v>
      </c>
      <c r="D92" s="152">
        <f>(References!C44*4)-(References!B44*1)-(References!A44*2)</f>
        <v>40.92</v>
      </c>
      <c r="E92" s="152">
        <f t="shared" si="8"/>
        <v>25</v>
      </c>
      <c r="F92" s="152">
        <f t="shared" si="9"/>
        <v>-0.55000000000000004</v>
      </c>
      <c r="G92" s="152">
        <v>0.65</v>
      </c>
      <c r="H92" s="152">
        <v>28</v>
      </c>
      <c r="I92" s="156">
        <f>(References!T$4)-(References!T$3/2)</f>
        <v>30.45</v>
      </c>
      <c r="J92" s="152">
        <f t="shared" si="6"/>
        <v>14.342499999999999</v>
      </c>
      <c r="K92" s="153">
        <f t="shared" si="7"/>
        <v>2776.8312000000001</v>
      </c>
    </row>
    <row r="93" spans="1:13" ht="15" thickBot="1" x14ac:dyDescent="0.35">
      <c r="A93" s="151" t="s">
        <v>62</v>
      </c>
      <c r="B93" s="152" t="s">
        <v>47</v>
      </c>
      <c r="C93" s="155">
        <v>2.7143999999999999</v>
      </c>
      <c r="D93" s="152">
        <f>(References!C45*4)-(References!B45*1)-(References!A45*2)</f>
        <v>68</v>
      </c>
      <c r="E93" s="152">
        <f t="shared" si="8"/>
        <v>13</v>
      </c>
      <c r="F93" s="152">
        <f t="shared" si="9"/>
        <v>2.2200000000000002</v>
      </c>
      <c r="G93" s="152">
        <v>0.65</v>
      </c>
      <c r="H93" s="152">
        <v>28</v>
      </c>
      <c r="I93" s="156">
        <f>(References!T$4)-(References!T$3/2)</f>
        <v>30.45</v>
      </c>
      <c r="J93" s="152">
        <f t="shared" si="6"/>
        <v>8.343</v>
      </c>
      <c r="K93" s="153">
        <f t="shared" si="7"/>
        <v>2399.5295999999998</v>
      </c>
    </row>
    <row r="94" spans="1:13" ht="15" thickBot="1" x14ac:dyDescent="0.35">
      <c r="A94" s="151" t="s">
        <v>63</v>
      </c>
      <c r="B94" s="152" t="s">
        <v>48</v>
      </c>
      <c r="C94" s="155">
        <v>2.7143999999999999</v>
      </c>
      <c r="D94" s="152">
        <f>(References!C46*4)-(References!B46*1)-(References!A46*2)</f>
        <v>40.92</v>
      </c>
      <c r="E94" s="152">
        <f t="shared" si="8"/>
        <v>33</v>
      </c>
      <c r="F94" s="152">
        <f t="shared" si="9"/>
        <v>-0.55000000000000004</v>
      </c>
      <c r="G94" s="152">
        <v>0.65</v>
      </c>
      <c r="H94" s="152">
        <v>28</v>
      </c>
      <c r="I94" s="156">
        <f>(References!T$4)-(References!T$3/2)</f>
        <v>30.45</v>
      </c>
      <c r="J94" s="152">
        <f t="shared" si="6"/>
        <v>19.5425</v>
      </c>
      <c r="K94" s="153">
        <f t="shared" si="7"/>
        <v>3665.4171840000004</v>
      </c>
    </row>
    <row r="95" spans="1:13" ht="15" thickBot="1" x14ac:dyDescent="0.35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3" ht="15" thickBot="1" x14ac:dyDescent="0.35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3" ht="15" thickBot="1" x14ac:dyDescent="0.35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3" ht="15" thickBot="1" x14ac:dyDescent="0.35">
      <c r="A98" s="151" t="s">
        <v>64</v>
      </c>
      <c r="B98" s="152" t="s">
        <v>48</v>
      </c>
      <c r="C98" s="155">
        <v>2.7143999999999999</v>
      </c>
      <c r="D98" s="152">
        <f>(References!C50*4)-(References!B50*1)-(References!A50*2)</f>
        <v>9.6999999999999993</v>
      </c>
      <c r="E98" s="152">
        <f t="shared" si="8"/>
        <v>33</v>
      </c>
      <c r="F98" s="152">
        <f t="shared" si="9"/>
        <v>-0.55000000000000004</v>
      </c>
      <c r="G98" s="152">
        <v>0.65</v>
      </c>
      <c r="H98" s="152">
        <v>28</v>
      </c>
      <c r="I98" s="156">
        <f>(References!T$4)-(References!T$3/2)</f>
        <v>30.45</v>
      </c>
      <c r="J98" s="152">
        <f t="shared" si="6"/>
        <v>19.5425</v>
      </c>
      <c r="K98" s="153">
        <f t="shared" si="7"/>
        <v>868.87943999999993</v>
      </c>
    </row>
    <row r="99" spans="1:13" ht="15" thickBot="1" x14ac:dyDescent="0.35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3" ht="15" thickBot="1" x14ac:dyDescent="0.35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  <c r="M100">
        <f>Table2[[#This Row],[A(m^2)]]+0.6*0.6</f>
        <v>8.92</v>
      </c>
    </row>
    <row r="101" spans="1:13" ht="15" thickBot="1" x14ac:dyDescent="0.35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3" ht="15" thickBot="1" x14ac:dyDescent="0.35">
      <c r="A102" s="45" t="s">
        <v>70</v>
      </c>
      <c r="B102" s="107" t="s">
        <v>48</v>
      </c>
      <c r="C102" s="34">
        <v>2.7143999999999999</v>
      </c>
      <c r="D102" s="107">
        <f>(References!C54*4)-(References!B54*1)-(References!A54*2)</f>
        <v>10.6</v>
      </c>
      <c r="E102" s="107">
        <f t="shared" si="8"/>
        <v>33</v>
      </c>
      <c r="F102" s="107">
        <f t="shared" si="9"/>
        <v>-0.55000000000000004</v>
      </c>
      <c r="G102" s="107">
        <v>0.65</v>
      </c>
      <c r="H102" s="107">
        <v>22.5</v>
      </c>
      <c r="I102" s="34">
        <f>(References!T$4)-(References!T$3/2)</f>
        <v>30.45</v>
      </c>
      <c r="J102" s="107">
        <f t="shared" si="6"/>
        <v>25.0425</v>
      </c>
      <c r="K102" s="108">
        <f t="shared" si="7"/>
        <v>949.49712</v>
      </c>
    </row>
    <row r="103" spans="1:13" ht="15" thickBot="1" x14ac:dyDescent="0.35">
      <c r="A103" s="45" t="s">
        <v>70</v>
      </c>
      <c r="B103" s="107" t="s">
        <v>48</v>
      </c>
      <c r="C103" s="34">
        <v>2.7143999999999999</v>
      </c>
      <c r="D103" s="107">
        <f>(References!C55*4)-(References!B55*1)-(References!A55*2)</f>
        <v>10.6</v>
      </c>
      <c r="E103" s="107">
        <f t="shared" si="8"/>
        <v>33</v>
      </c>
      <c r="F103" s="107">
        <f t="shared" si="9"/>
        <v>-0.55000000000000004</v>
      </c>
      <c r="G103" s="107">
        <v>0.65</v>
      </c>
      <c r="H103" s="107">
        <v>22.5</v>
      </c>
      <c r="I103" s="34">
        <f>(References!T$4)-(References!T$3/2)</f>
        <v>30.45</v>
      </c>
      <c r="J103" s="107">
        <f t="shared" si="6"/>
        <v>25.0425</v>
      </c>
      <c r="K103" s="108">
        <f t="shared" si="7"/>
        <v>949.49712</v>
      </c>
    </row>
    <row r="104" spans="1:13" ht="15" thickBot="1" x14ac:dyDescent="0.35">
      <c r="A104" s="45" t="s">
        <v>70</v>
      </c>
      <c r="B104" s="107" t="s">
        <v>48</v>
      </c>
      <c r="C104" s="34">
        <v>2.7143999999999999</v>
      </c>
      <c r="D104" s="107">
        <f>(References!C56*4)-(References!B56*1)-(References!A56*2)</f>
        <v>10.6</v>
      </c>
      <c r="E104" s="107">
        <f t="shared" si="8"/>
        <v>33</v>
      </c>
      <c r="F104" s="107">
        <f t="shared" si="9"/>
        <v>-0.55000000000000004</v>
      </c>
      <c r="G104" s="107">
        <v>0.65</v>
      </c>
      <c r="H104" s="107">
        <v>22.5</v>
      </c>
      <c r="I104" s="34">
        <f>(References!T$4)-(References!T$3/2)</f>
        <v>30.45</v>
      </c>
      <c r="J104" s="107">
        <f t="shared" si="6"/>
        <v>25.0425</v>
      </c>
      <c r="K104" s="108">
        <f t="shared" si="7"/>
        <v>949.49712</v>
      </c>
    </row>
    <row r="105" spans="1:13" ht="15" thickBot="1" x14ac:dyDescent="0.35">
      <c r="A105" s="45" t="s">
        <v>70</v>
      </c>
      <c r="B105" s="107" t="s">
        <v>48</v>
      </c>
      <c r="C105" s="34">
        <v>2.7143999999999999</v>
      </c>
      <c r="D105" s="107">
        <f>(References!C57*4)-(References!B57*1)-(References!A57*2)</f>
        <v>10.6</v>
      </c>
      <c r="E105" s="107">
        <f t="shared" si="8"/>
        <v>33</v>
      </c>
      <c r="F105" s="107">
        <f t="shared" si="9"/>
        <v>-0.55000000000000004</v>
      </c>
      <c r="G105" s="107">
        <v>0.65</v>
      </c>
      <c r="H105" s="107">
        <v>22.5</v>
      </c>
      <c r="I105" s="34">
        <f>(References!T$4)-(References!T$3/2)</f>
        <v>30.45</v>
      </c>
      <c r="J105" s="107">
        <f t="shared" si="6"/>
        <v>25.0425</v>
      </c>
      <c r="K105" s="108">
        <f t="shared" si="7"/>
        <v>949.49712</v>
      </c>
    </row>
    <row r="106" spans="1:13" ht="15" thickBot="1" x14ac:dyDescent="0.35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  <c r="M106">
        <f>Table2[[#This Row],[A(m^2)]]+3.35</f>
        <v>15</v>
      </c>
    </row>
    <row r="107" spans="1:13" ht="15" thickBot="1" x14ac:dyDescent="0.35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3" ht="15" thickBot="1" x14ac:dyDescent="0.35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3" ht="15" thickBot="1" x14ac:dyDescent="0.35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3" ht="15" thickBot="1" x14ac:dyDescent="0.35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3" ht="15" thickBot="1" x14ac:dyDescent="0.35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  <c r="M111">
        <f>Table2[[#This Row],[A(m^2)]]+2.23</f>
        <v>9.92</v>
      </c>
    </row>
    <row r="112" spans="1:13" ht="15" thickBot="1" x14ac:dyDescent="0.35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  <c r="M112">
        <f>Table2[[#This Row],[A(m^2)]]+0.6*0.6</f>
        <v>7.52</v>
      </c>
    </row>
    <row r="113" spans="1:13" ht="15" thickBot="1" x14ac:dyDescent="0.35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358.30079999999998</v>
      </c>
    </row>
    <row r="114" spans="1:13" ht="15" thickBot="1" x14ac:dyDescent="0.35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  <c r="M114">
        <f>Table2[[#This Row],[A(m^2)]]+2.4</f>
        <v>22.8</v>
      </c>
    </row>
    <row r="115" spans="1:13" ht="15" thickBot="1" x14ac:dyDescent="0.35">
      <c r="A115" s="151" t="s">
        <v>79</v>
      </c>
      <c r="B115" s="152" t="s">
        <v>49</v>
      </c>
      <c r="C115" s="155">
        <v>2.7143999999999999</v>
      </c>
      <c r="D115" s="152">
        <f>(References!C67*4)-(References!B67*1)-(References!A67*2)</f>
        <v>19.2</v>
      </c>
      <c r="E115" s="152">
        <f t="shared" si="8"/>
        <v>22</v>
      </c>
      <c r="F115" s="152">
        <f t="shared" si="9"/>
        <v>-3.88</v>
      </c>
      <c r="G115" s="152">
        <v>0.65</v>
      </c>
      <c r="H115" s="152">
        <v>28</v>
      </c>
      <c r="I115" s="156">
        <f>(References!T$4)-(References!T$3/2)</f>
        <v>30.45</v>
      </c>
      <c r="J115" s="152">
        <f t="shared" si="6"/>
        <v>10.228</v>
      </c>
      <c r="K115" s="153">
        <f t="shared" si="7"/>
        <v>1146.5625599999998</v>
      </c>
    </row>
    <row r="116" spans="1:13" ht="15" thickBot="1" x14ac:dyDescent="0.35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3" ht="15" thickBot="1" x14ac:dyDescent="0.35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  <c r="M117">
        <f>Table2[[#This Row],[A(m^2)]]+1.2*0.6</f>
        <v>12</v>
      </c>
    </row>
    <row r="118" spans="1:13" ht="15" thickBot="1" x14ac:dyDescent="0.35">
      <c r="A118" s="151" t="s">
        <v>90</v>
      </c>
      <c r="B118" s="152" t="s">
        <v>49</v>
      </c>
      <c r="C118" s="155">
        <v>2.7143999999999999</v>
      </c>
      <c r="D118" s="152">
        <f>(References!C70*4)-(References!B70*1)-(References!A70*2)</f>
        <v>24</v>
      </c>
      <c r="E118" s="152">
        <f t="shared" si="8"/>
        <v>22</v>
      </c>
      <c r="F118" s="152">
        <f t="shared" si="9"/>
        <v>-3.88</v>
      </c>
      <c r="G118" s="152">
        <v>0.65</v>
      </c>
      <c r="H118" s="152">
        <v>28</v>
      </c>
      <c r="I118" s="156">
        <f>(References!T$4)-(References!T$3/2)</f>
        <v>30.45</v>
      </c>
      <c r="J118" s="152">
        <f t="shared" si="6"/>
        <v>10.228</v>
      </c>
      <c r="K118" s="153">
        <f t="shared" si="7"/>
        <v>1433.2031999999999</v>
      </c>
    </row>
    <row r="119" spans="1:13" ht="15" thickBot="1" x14ac:dyDescent="0.35">
      <c r="A119" s="151" t="s">
        <v>80</v>
      </c>
      <c r="B119" s="152" t="s">
        <v>49</v>
      </c>
      <c r="C119" s="155">
        <v>2.7143999999999999</v>
      </c>
      <c r="D119" s="152">
        <f>(References!C71*4)-(References!B71*1)-(References!A71*2)</f>
        <v>48</v>
      </c>
      <c r="E119" s="152">
        <f t="shared" si="8"/>
        <v>22</v>
      </c>
      <c r="F119" s="152">
        <f t="shared" si="9"/>
        <v>-3.88</v>
      </c>
      <c r="G119" s="152">
        <v>0.65</v>
      </c>
      <c r="H119" s="152">
        <v>24</v>
      </c>
      <c r="I119" s="156">
        <f>(References!T$4)-(References!T$3/2)</f>
        <v>30.45</v>
      </c>
      <c r="J119" s="152">
        <f t="shared" si="6"/>
        <v>14.228</v>
      </c>
      <c r="K119" s="153">
        <f t="shared" si="7"/>
        <v>2866.4063999999998</v>
      </c>
    </row>
    <row r="120" spans="1:13" ht="15" thickBot="1" x14ac:dyDescent="0.35">
      <c r="A120" s="151" t="s">
        <v>81</v>
      </c>
      <c r="B120" s="152" t="s">
        <v>46</v>
      </c>
      <c r="C120" s="155">
        <v>2.7143999999999999</v>
      </c>
      <c r="D120" s="152">
        <f>(References!C72*4)-(References!B72*1)-(References!A72*2)</f>
        <v>61.6</v>
      </c>
      <c r="E120" s="152">
        <f t="shared" si="8"/>
        <v>25</v>
      </c>
      <c r="F120" s="152">
        <f t="shared" si="9"/>
        <v>-0.55000000000000004</v>
      </c>
      <c r="G120" s="152">
        <v>0.65</v>
      </c>
      <c r="H120" s="152">
        <v>24</v>
      </c>
      <c r="I120" s="156">
        <f>(References!T$4)-(References!T$3/2)</f>
        <v>30.45</v>
      </c>
      <c r="J120" s="152">
        <f t="shared" si="6"/>
        <v>18.342499999999998</v>
      </c>
      <c r="K120" s="153">
        <f t="shared" si="7"/>
        <v>4180.1760000000004</v>
      </c>
    </row>
    <row r="121" spans="1:13" ht="15" thickBot="1" x14ac:dyDescent="0.35">
      <c r="A121" s="151" t="s">
        <v>82</v>
      </c>
      <c r="B121" s="152" t="s">
        <v>47</v>
      </c>
      <c r="C121" s="155">
        <v>2.7143999999999999</v>
      </c>
      <c r="D121" s="152">
        <f>(References!C73*4)-(References!B73*1)-(References!A73*2)</f>
        <v>8.8800000000000008</v>
      </c>
      <c r="E121" s="152">
        <f t="shared" si="8"/>
        <v>13</v>
      </c>
      <c r="F121" s="152">
        <f t="shared" si="9"/>
        <v>2.2200000000000002</v>
      </c>
      <c r="G121" s="152">
        <v>0.65</v>
      </c>
      <c r="H121" s="152">
        <v>24</v>
      </c>
      <c r="I121" s="156">
        <f>(References!T$4)-(References!T$3/2)</f>
        <v>30.45</v>
      </c>
      <c r="J121" s="152">
        <f t="shared" si="6"/>
        <v>12.343</v>
      </c>
      <c r="K121" s="153">
        <f t="shared" si="7"/>
        <v>313.35033600000003</v>
      </c>
    </row>
    <row r="122" spans="1:13" ht="15" thickBot="1" x14ac:dyDescent="0.35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  <c r="M122">
        <f>Table2[[#This Row],[A(m^2)]]+3.33</f>
        <v>15</v>
      </c>
    </row>
    <row r="123" spans="1:13" ht="15" thickBot="1" x14ac:dyDescent="0.35">
      <c r="A123" s="45" t="s">
        <v>70</v>
      </c>
      <c r="B123" s="107" t="s">
        <v>46</v>
      </c>
      <c r="C123" s="34">
        <v>2.7143999999999999</v>
      </c>
      <c r="D123" s="107">
        <f>(References!C75*4)-(References!B75*1)-(References!A75*2)</f>
        <v>10.6</v>
      </c>
      <c r="E123" s="107">
        <f t="shared" si="8"/>
        <v>25</v>
      </c>
      <c r="F123" s="107">
        <f t="shared" si="9"/>
        <v>-0.55000000000000004</v>
      </c>
      <c r="G123" s="107">
        <v>0.65</v>
      </c>
      <c r="H123" s="107">
        <v>22.5</v>
      </c>
      <c r="I123" s="34">
        <f>(References!T$4)-(References!T$3/2)</f>
        <v>30.45</v>
      </c>
      <c r="J123" s="107">
        <f t="shared" si="6"/>
        <v>19.842499999999998</v>
      </c>
      <c r="K123" s="108">
        <f t="shared" si="7"/>
        <v>719.31600000000003</v>
      </c>
    </row>
    <row r="124" spans="1:13" ht="15" thickBot="1" x14ac:dyDescent="0.35">
      <c r="A124" s="45" t="s">
        <v>70</v>
      </c>
      <c r="B124" s="107" t="s">
        <v>46</v>
      </c>
      <c r="C124" s="34">
        <v>2.7143999999999999</v>
      </c>
      <c r="D124" s="107">
        <f>(References!C76*4)-(References!B76*1)-(References!A76*2)</f>
        <v>10.6</v>
      </c>
      <c r="E124" s="107">
        <f t="shared" si="8"/>
        <v>25</v>
      </c>
      <c r="F124" s="107">
        <f t="shared" si="9"/>
        <v>-0.55000000000000004</v>
      </c>
      <c r="G124" s="107">
        <v>0.65</v>
      </c>
      <c r="H124" s="107">
        <v>22.5</v>
      </c>
      <c r="I124" s="34">
        <f>(References!T$4)-(References!T$3/2)</f>
        <v>30.45</v>
      </c>
      <c r="J124" s="107">
        <f t="shared" si="6"/>
        <v>19.842499999999998</v>
      </c>
      <c r="K124" s="108">
        <f t="shared" si="7"/>
        <v>719.31600000000003</v>
      </c>
    </row>
    <row r="125" spans="1:13" ht="15" thickBot="1" x14ac:dyDescent="0.35">
      <c r="A125" s="45" t="s">
        <v>70</v>
      </c>
      <c r="B125" s="107" t="s">
        <v>46</v>
      </c>
      <c r="C125" s="34">
        <v>2.7143999999999999</v>
      </c>
      <c r="D125" s="107">
        <f>(References!C77*4)-(References!B77*1)-(References!A77*2)</f>
        <v>10.6</v>
      </c>
      <c r="E125" s="107">
        <f t="shared" si="8"/>
        <v>25</v>
      </c>
      <c r="F125" s="107">
        <f t="shared" si="9"/>
        <v>-0.55000000000000004</v>
      </c>
      <c r="G125" s="107">
        <v>0.65</v>
      </c>
      <c r="H125" s="107">
        <v>22.5</v>
      </c>
      <c r="I125" s="34">
        <f>(References!T$4)-(References!T$3/2)</f>
        <v>30.45</v>
      </c>
      <c r="J125" s="107">
        <f t="shared" si="6"/>
        <v>19.842499999999998</v>
      </c>
      <c r="K125" s="108">
        <f t="shared" si="7"/>
        <v>719.31600000000003</v>
      </c>
    </row>
    <row r="126" spans="1:13" ht="15" thickBot="1" x14ac:dyDescent="0.35">
      <c r="A126" s="45" t="s">
        <v>70</v>
      </c>
      <c r="B126" s="107" t="s">
        <v>46</v>
      </c>
      <c r="C126" s="34">
        <v>2.7143999999999999</v>
      </c>
      <c r="D126" s="107">
        <f>(References!C78*4)-(References!B78*1)-(References!A78*2)</f>
        <v>10.6</v>
      </c>
      <c r="E126" s="107">
        <f t="shared" si="8"/>
        <v>25</v>
      </c>
      <c r="F126" s="107">
        <f t="shared" si="9"/>
        <v>-0.55000000000000004</v>
      </c>
      <c r="G126" s="107">
        <v>0.65</v>
      </c>
      <c r="H126" s="107">
        <v>22.5</v>
      </c>
      <c r="I126" s="34">
        <f>(References!T$4)-(References!T$3/2)</f>
        <v>30.45</v>
      </c>
      <c r="J126" s="107">
        <f t="shared" si="6"/>
        <v>19.842499999999998</v>
      </c>
      <c r="K126" s="108">
        <f t="shared" si="7"/>
        <v>719.31600000000003</v>
      </c>
    </row>
    <row r="127" spans="1:13" ht="15" thickBot="1" x14ac:dyDescent="0.35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3" ht="15" thickBot="1" x14ac:dyDescent="0.35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  <c r="M128">
        <f>Table2[[#This Row],[A(m^2)]]+1.4</f>
        <v>14.8</v>
      </c>
    </row>
    <row r="129" spans="1:13" ht="15" thickBot="1" x14ac:dyDescent="0.35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  <c r="M129">
        <f>Table2[[#This Row],[A(m^2)]]+0.6*0.6</f>
        <v>9.4</v>
      </c>
    </row>
    <row r="130" spans="1:13" ht="15" thickBot="1" x14ac:dyDescent="0.35">
      <c r="A130" s="157" t="s">
        <v>65</v>
      </c>
      <c r="B130" s="158" t="s">
        <v>46</v>
      </c>
      <c r="C130" s="159">
        <v>2.7143999999999999</v>
      </c>
      <c r="D130" s="158">
        <f>(References!C82*4)-(References!B82*1)-(References!A82*2)</f>
        <v>7.4</v>
      </c>
      <c r="E130" s="158">
        <f t="shared" si="8"/>
        <v>25</v>
      </c>
      <c r="F130" s="158">
        <f t="shared" si="9"/>
        <v>-0.55000000000000004</v>
      </c>
      <c r="G130" s="158">
        <v>0.65</v>
      </c>
      <c r="H130" s="158">
        <v>22.5</v>
      </c>
      <c r="I130" s="160">
        <f>(References!T$4)-(References!T$3/2)</f>
        <v>30.45</v>
      </c>
      <c r="J130" s="158">
        <f t="shared" si="6"/>
        <v>19.842499999999998</v>
      </c>
      <c r="K130" s="161">
        <f t="shared" si="7"/>
        <v>502.16399999999999</v>
      </c>
    </row>
    <row r="131" spans="1:13" ht="15" thickBot="1" x14ac:dyDescent="0.35">
      <c r="J131" s="41" t="s">
        <v>161</v>
      </c>
      <c r="K131" s="41">
        <f>SUM(Table2[Q(W)])</f>
        <v>48205.328184000005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O167"/>
  <sheetViews>
    <sheetView topLeftCell="A46" workbookViewId="0">
      <selection activeCell="E63" sqref="E63:F63"/>
    </sheetView>
  </sheetViews>
  <sheetFormatPr defaultColWidth="9.109375" defaultRowHeight="14.4" x14ac:dyDescent="0.3"/>
  <cols>
    <col min="1" max="1" width="37" style="87" customWidth="1"/>
    <col min="2" max="5" width="9.109375" style="87"/>
    <col min="6" max="6" width="9.33203125" style="87" customWidth="1"/>
    <col min="7" max="16384" width="9.109375" style="86"/>
  </cols>
  <sheetData>
    <row r="1" spans="1:15" ht="23.4" x14ac:dyDescent="0.3">
      <c r="A1" s="185" t="s">
        <v>535</v>
      </c>
      <c r="B1" s="185"/>
      <c r="C1" s="185"/>
      <c r="D1" s="185"/>
      <c r="E1" s="185"/>
      <c r="F1" s="185"/>
      <c r="G1" s="111"/>
      <c r="H1" s="111"/>
    </row>
    <row r="2" spans="1:15" ht="24" thickBot="1" x14ac:dyDescent="0.5">
      <c r="A2" s="183" t="s">
        <v>160</v>
      </c>
      <c r="B2" s="183"/>
      <c r="C2" s="183"/>
      <c r="D2" s="183"/>
      <c r="E2" s="183"/>
      <c r="F2" s="183"/>
      <c r="G2" s="103"/>
      <c r="H2" s="103"/>
    </row>
    <row r="3" spans="1:15" ht="15" thickBot="1" x14ac:dyDescent="0.35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186" t="s">
        <v>539</v>
      </c>
      <c r="K3" s="186"/>
      <c r="L3" s="186"/>
      <c r="M3" s="186"/>
      <c r="N3" s="186"/>
      <c r="O3" s="186"/>
    </row>
    <row r="4" spans="1:15" ht="15" thickBot="1" x14ac:dyDescent="0.35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187"/>
      <c r="K4" s="187"/>
      <c r="L4" s="187"/>
      <c r="M4" s="187" t="s">
        <v>430</v>
      </c>
      <c r="N4" s="187"/>
      <c r="O4" s="187"/>
    </row>
    <row r="5" spans="1:15" ht="15" thickBot="1" x14ac:dyDescent="0.35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188" t="s">
        <v>160</v>
      </c>
      <c r="K5" s="188"/>
      <c r="L5" s="188"/>
      <c r="M5" s="188">
        <f>F63</f>
        <v>19883.609740799991</v>
      </c>
      <c r="N5" s="188"/>
      <c r="O5" s="188"/>
    </row>
    <row r="6" spans="1:15" ht="15" thickBot="1" x14ac:dyDescent="0.35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188" t="s">
        <v>41</v>
      </c>
      <c r="K6" s="188"/>
      <c r="L6" s="188"/>
      <c r="M6" s="188">
        <f>F117</f>
        <v>16958.066184539995</v>
      </c>
      <c r="N6" s="188"/>
      <c r="O6" s="188"/>
    </row>
    <row r="7" spans="1:15" ht="15" thickBot="1" x14ac:dyDescent="0.35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188" t="s">
        <v>59</v>
      </c>
      <c r="K7" s="188"/>
      <c r="L7" s="188"/>
      <c r="M7" s="188">
        <f>F167</f>
        <v>22702.400073599994</v>
      </c>
      <c r="N7" s="188"/>
      <c r="O7" s="188"/>
    </row>
    <row r="8" spans="1:15" ht="15" thickBot="1" x14ac:dyDescent="0.35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>B8*C8*D8*E8</f>
        <v>134.1690012</v>
      </c>
      <c r="J8" s="189" t="s">
        <v>540</v>
      </c>
      <c r="K8" s="189"/>
      <c r="L8" s="189"/>
      <c r="M8" s="203">
        <f>M5+M6+M7</f>
        <v>59544.075998939981</v>
      </c>
      <c r="N8" s="204"/>
      <c r="O8" s="205"/>
    </row>
    <row r="9" spans="1:15" ht="15" thickBot="1" x14ac:dyDescent="0.35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189"/>
      <c r="K9" s="189"/>
      <c r="L9" s="189"/>
      <c r="M9" s="206"/>
      <c r="N9" s="207"/>
      <c r="O9" s="208"/>
    </row>
    <row r="10" spans="1:15" ht="15" thickBot="1" x14ac:dyDescent="0.35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ht="15" thickBot="1" x14ac:dyDescent="0.35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ht="15" thickBot="1" x14ac:dyDescent="0.35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ht="15" thickBot="1" x14ac:dyDescent="0.35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ht="15" thickBot="1" x14ac:dyDescent="0.35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ht="15" thickBot="1" x14ac:dyDescent="0.35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ht="15" thickBot="1" x14ac:dyDescent="0.35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8" ht="15" thickBot="1" x14ac:dyDescent="0.35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8" ht="15" thickBot="1" x14ac:dyDescent="0.35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8" ht="15" thickBot="1" x14ac:dyDescent="0.35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8" ht="15" thickBot="1" x14ac:dyDescent="0.35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8" ht="15" thickBot="1" x14ac:dyDescent="0.35">
      <c r="A21" s="169" t="s">
        <v>254</v>
      </c>
      <c r="B21" s="170">
        <f>13*References!BA21</f>
        <v>1702.5865999999999</v>
      </c>
      <c r="C21" s="170">
        <v>0.75</v>
      </c>
      <c r="D21" s="170">
        <v>1.2</v>
      </c>
      <c r="E21" s="170">
        <v>0.94</v>
      </c>
      <c r="F21" s="171">
        <f t="shared" si="0"/>
        <v>1440.3882635999998</v>
      </c>
      <c r="H21" s="86">
        <f>Table23[[#This Row],[Qs (W)]]+F12</f>
        <v>1904.4213785999998</v>
      </c>
    </row>
    <row r="22" spans="1:8" ht="15" thickBot="1" x14ac:dyDescent="0.35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8" ht="15" thickBot="1" x14ac:dyDescent="0.35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8" ht="15" thickBot="1" x14ac:dyDescent="0.35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8" ht="15" thickBot="1" x14ac:dyDescent="0.35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8" ht="15" thickBot="1" x14ac:dyDescent="0.35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8" ht="15" thickBot="1" x14ac:dyDescent="0.35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8" ht="15" thickBot="1" x14ac:dyDescent="0.35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8" ht="15" thickBot="1" x14ac:dyDescent="0.35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8" ht="15" thickBot="1" x14ac:dyDescent="0.35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8" ht="15" thickBot="1" x14ac:dyDescent="0.35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8" ht="15" thickBot="1" x14ac:dyDescent="0.35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8" ht="15" thickBot="1" x14ac:dyDescent="0.35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8" ht="15" thickBot="1" x14ac:dyDescent="0.35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8" ht="15" thickBot="1" x14ac:dyDescent="0.35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8" ht="15" thickBot="1" x14ac:dyDescent="0.35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8" ht="15" thickBot="1" x14ac:dyDescent="0.35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8" ht="15" thickBot="1" x14ac:dyDescent="0.35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8" ht="15" thickBot="1" x14ac:dyDescent="0.35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8" ht="15" thickBot="1" x14ac:dyDescent="0.35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8" ht="15" thickBot="1" x14ac:dyDescent="0.35">
      <c r="A41" s="173" t="s">
        <v>507</v>
      </c>
      <c r="B41" s="170">
        <f>13*References!BA41</f>
        <v>8530.3269999999993</v>
      </c>
      <c r="C41" s="170">
        <v>1</v>
      </c>
      <c r="D41" s="170">
        <v>1.2</v>
      </c>
      <c r="E41" s="170">
        <v>0.94</v>
      </c>
      <c r="F41" s="171">
        <f t="shared" si="0"/>
        <v>9622.2088559999975</v>
      </c>
    </row>
    <row r="42" spans="1:8" ht="15" thickBot="1" x14ac:dyDescent="0.35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8" ht="15" thickBot="1" x14ac:dyDescent="0.35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8" ht="15" thickBot="1" x14ac:dyDescent="0.35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  <c r="H44" s="86">
        <f>Table23[[#This Row],[Qs (W)]]+F43</f>
        <v>122.8197984</v>
      </c>
    </row>
    <row r="45" spans="1:8" ht="15" thickBot="1" x14ac:dyDescent="0.35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8" ht="15" thickBot="1" x14ac:dyDescent="0.35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8" ht="15" thickBot="1" x14ac:dyDescent="0.35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8" ht="15" thickBot="1" x14ac:dyDescent="0.35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  <c r="H48" s="86">
        <f>Table23[[#This Row],[Qs (W)]]+F47</f>
        <v>188.41626959999996</v>
      </c>
    </row>
    <row r="49" spans="1:8" ht="15" thickBot="1" x14ac:dyDescent="0.35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8" ht="15" thickBot="1" x14ac:dyDescent="0.35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8" ht="15" thickBot="1" x14ac:dyDescent="0.35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8" ht="15" thickBot="1" x14ac:dyDescent="0.35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8" ht="15" thickBot="1" x14ac:dyDescent="0.35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8" ht="15" thickBot="1" x14ac:dyDescent="0.35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  <c r="H54" s="86">
        <f>Table23[[#This Row],[Qs (W)]]+F59+F60</f>
        <v>1089.3874602000001</v>
      </c>
    </row>
    <row r="55" spans="1:8" ht="15" thickBot="1" x14ac:dyDescent="0.35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8" ht="15" thickBot="1" x14ac:dyDescent="0.35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8" ht="15" thickBot="1" x14ac:dyDescent="0.35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8" ht="15" thickBot="1" x14ac:dyDescent="0.35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8" ht="15" thickBot="1" x14ac:dyDescent="0.35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8" ht="15" thickBot="1" x14ac:dyDescent="0.35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8" ht="15" thickBot="1" x14ac:dyDescent="0.35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8" ht="15" thickBot="1" x14ac:dyDescent="0.35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8" ht="15" thickBot="1" x14ac:dyDescent="0.35">
      <c r="E63" s="181" t="s">
        <v>333</v>
      </c>
      <c r="F63" s="181">
        <f>SUM(Table23[Qs (W)])</f>
        <v>19883.609740799991</v>
      </c>
    </row>
    <row r="65" spans="1:8" ht="24" thickBot="1" x14ac:dyDescent="0.5">
      <c r="A65" s="183" t="s">
        <v>41</v>
      </c>
      <c r="B65" s="183"/>
      <c r="C65" s="183"/>
      <c r="D65" s="183"/>
      <c r="E65" s="183"/>
      <c r="F65" s="183"/>
      <c r="G65" s="103"/>
      <c r="H65" s="103"/>
    </row>
    <row r="66" spans="1:8" ht="15" thickBot="1" x14ac:dyDescent="0.35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ht="15" thickBot="1" x14ac:dyDescent="0.35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ht="15" thickBot="1" x14ac:dyDescent="0.35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ht="15" thickBot="1" x14ac:dyDescent="0.35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ht="15" thickBot="1" x14ac:dyDescent="0.35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ht="15" thickBot="1" x14ac:dyDescent="0.35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ht="15" thickBot="1" x14ac:dyDescent="0.35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" thickBot="1" x14ac:dyDescent="0.35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" thickBot="1" x14ac:dyDescent="0.35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" thickBot="1" x14ac:dyDescent="0.35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" thickBot="1" x14ac:dyDescent="0.35">
      <c r="A76" s="169" t="s">
        <v>175</v>
      </c>
      <c r="B76" s="170">
        <f>13*References!BB13</f>
        <v>296.77699999999999</v>
      </c>
      <c r="C76" s="170">
        <v>0.75</v>
      </c>
      <c r="D76" s="170">
        <v>1.2</v>
      </c>
      <c r="E76" s="170">
        <v>0.94</v>
      </c>
      <c r="F76" s="171">
        <f t="shared" si="1"/>
        <v>251.07334199999997</v>
      </c>
    </row>
    <row r="77" spans="1:8" ht="15" thickBot="1" x14ac:dyDescent="0.35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" thickBot="1" x14ac:dyDescent="0.35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" thickBot="1" x14ac:dyDescent="0.35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" thickBot="1" x14ac:dyDescent="0.35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8" ht="15" thickBot="1" x14ac:dyDescent="0.35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8" ht="15" thickBot="1" x14ac:dyDescent="0.35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8" ht="15" thickBot="1" x14ac:dyDescent="0.35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8" ht="15" thickBot="1" x14ac:dyDescent="0.35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8" ht="15" thickBot="1" x14ac:dyDescent="0.35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8" ht="15" thickBot="1" x14ac:dyDescent="0.35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8" ht="15" thickBot="1" x14ac:dyDescent="0.35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8" ht="15" thickBot="1" x14ac:dyDescent="0.35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8" ht="15" thickBot="1" x14ac:dyDescent="0.35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8" ht="15" thickBot="1" x14ac:dyDescent="0.35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8" ht="15" thickBot="1" x14ac:dyDescent="0.35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8" ht="15" thickBot="1" x14ac:dyDescent="0.35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8" ht="15" thickBot="1" x14ac:dyDescent="0.35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8" ht="15" thickBot="1" x14ac:dyDescent="0.35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  <c r="H94" s="86">
        <f>Table24[[#This Row],[Qs (W)]]+F102</f>
        <v>340.39763160000001</v>
      </c>
    </row>
    <row r="95" spans="1:8" ht="15" thickBot="1" x14ac:dyDescent="0.35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8" ht="15" thickBot="1" x14ac:dyDescent="0.35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" thickBot="1" x14ac:dyDescent="0.35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" thickBot="1" x14ac:dyDescent="0.35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" thickBot="1" x14ac:dyDescent="0.35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" thickBot="1" x14ac:dyDescent="0.35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" thickBot="1" x14ac:dyDescent="0.35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" thickBot="1" x14ac:dyDescent="0.35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2"/>
    </row>
    <row r="103" spans="1:11" ht="15" thickBot="1" x14ac:dyDescent="0.35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" thickBot="1" x14ac:dyDescent="0.35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" thickBot="1" x14ac:dyDescent="0.35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" thickBot="1" x14ac:dyDescent="0.35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" thickBot="1" x14ac:dyDescent="0.35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" thickBot="1" x14ac:dyDescent="0.35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" thickBot="1" x14ac:dyDescent="0.35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" thickBot="1" x14ac:dyDescent="0.35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" thickBot="1" x14ac:dyDescent="0.35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" thickBot="1" x14ac:dyDescent="0.35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8" ht="15" thickBot="1" x14ac:dyDescent="0.35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8" ht="15" thickBot="1" x14ac:dyDescent="0.35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8" ht="15" thickBot="1" x14ac:dyDescent="0.35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8" ht="15" thickBot="1" x14ac:dyDescent="0.35">
      <c r="A116" s="174" t="s">
        <v>64</v>
      </c>
      <c r="B116" s="175">
        <f>13*References!BB53</f>
        <v>8903.9174899999998</v>
      </c>
      <c r="C116" s="175">
        <v>0.75</v>
      </c>
      <c r="D116" s="175">
        <v>1.2</v>
      </c>
      <c r="E116" s="175">
        <v>0.94</v>
      </c>
      <c r="F116" s="176">
        <f>B116*C116*D116*E116</f>
        <v>7532.7141965399987</v>
      </c>
    </row>
    <row r="117" spans="1:8" ht="15" thickBot="1" x14ac:dyDescent="0.35">
      <c r="E117" s="128" t="s">
        <v>333</v>
      </c>
      <c r="F117" s="128">
        <f>SUM(Table24[Qs (W)])</f>
        <v>16958.066184539995</v>
      </c>
    </row>
    <row r="119" spans="1:8" ht="23.4" x14ac:dyDescent="0.45">
      <c r="A119" s="184" t="s">
        <v>59</v>
      </c>
      <c r="B119" s="184"/>
      <c r="C119" s="184"/>
      <c r="D119" s="184"/>
      <c r="E119" s="184"/>
      <c r="F119" s="184"/>
      <c r="G119" s="106"/>
      <c r="H119" s="106"/>
    </row>
    <row r="120" spans="1:8" ht="15" thickBot="1" x14ac:dyDescent="0.35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8" ht="15" thickBot="1" x14ac:dyDescent="0.35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8" ht="15" thickBot="1" x14ac:dyDescent="0.35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8" ht="15" thickBot="1" x14ac:dyDescent="0.35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</row>
    <row r="124" spans="1:8" ht="15" thickBot="1" x14ac:dyDescent="0.35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</row>
    <row r="125" spans="1:8" ht="15" thickBot="1" x14ac:dyDescent="0.35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8" ht="15" thickBot="1" x14ac:dyDescent="0.35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8" ht="15" thickBot="1" x14ac:dyDescent="0.35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8" ht="15" thickBot="1" x14ac:dyDescent="0.35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" thickBot="1" x14ac:dyDescent="0.35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" thickBot="1" x14ac:dyDescent="0.35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" thickBot="1" x14ac:dyDescent="0.35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" thickBot="1" x14ac:dyDescent="0.35">
      <c r="A132" s="169" t="s">
        <v>175</v>
      </c>
      <c r="B132" s="170">
        <f>13*References!BC15</f>
        <v>296.77699999999999</v>
      </c>
      <c r="C132" s="170">
        <v>0.75</v>
      </c>
      <c r="D132" s="170">
        <v>1.2</v>
      </c>
      <c r="E132" s="170">
        <v>0.94</v>
      </c>
      <c r="F132" s="171">
        <f t="shared" si="2"/>
        <v>251.07334199999997</v>
      </c>
    </row>
    <row r="133" spans="1:6" ht="15" thickBot="1" x14ac:dyDescent="0.35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" thickBot="1" x14ac:dyDescent="0.35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" thickBot="1" x14ac:dyDescent="0.35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" thickBot="1" x14ac:dyDescent="0.35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" thickBot="1" x14ac:dyDescent="0.35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" thickBot="1" x14ac:dyDescent="0.35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" thickBot="1" x14ac:dyDescent="0.35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" thickBot="1" x14ac:dyDescent="0.35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" thickBot="1" x14ac:dyDescent="0.35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" thickBot="1" x14ac:dyDescent="0.35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" thickBot="1" x14ac:dyDescent="0.35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" thickBot="1" x14ac:dyDescent="0.35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8" ht="15" thickBot="1" x14ac:dyDescent="0.35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8" ht="15" thickBot="1" x14ac:dyDescent="0.35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8" ht="15" thickBot="1" x14ac:dyDescent="0.35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8" ht="15" thickBot="1" x14ac:dyDescent="0.35">
      <c r="A148" s="169" t="s">
        <v>308</v>
      </c>
      <c r="B148" s="170">
        <f>13*References!BC31</f>
        <v>305.27769999999998</v>
      </c>
      <c r="C148" s="170">
        <v>0.75</v>
      </c>
      <c r="D148" s="170">
        <v>1.2</v>
      </c>
      <c r="E148" s="170">
        <v>0.94</v>
      </c>
      <c r="F148" s="171">
        <f t="shared" si="2"/>
        <v>258.26493419999991</v>
      </c>
    </row>
    <row r="149" spans="1:8" ht="15" thickBot="1" x14ac:dyDescent="0.35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8" ht="15" thickBot="1" x14ac:dyDescent="0.35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8" ht="15" thickBot="1" x14ac:dyDescent="0.35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8" ht="15" thickBot="1" x14ac:dyDescent="0.35">
      <c r="A152" s="169" t="s">
        <v>312</v>
      </c>
      <c r="B152" s="170">
        <f>13*References!BC35</f>
        <v>144.1336</v>
      </c>
      <c r="C152" s="170">
        <v>1</v>
      </c>
      <c r="D152" s="170">
        <v>1.2</v>
      </c>
      <c r="E152" s="170">
        <v>0.94</v>
      </c>
      <c r="F152" s="171">
        <f t="shared" si="2"/>
        <v>162.5827008</v>
      </c>
    </row>
    <row r="153" spans="1:8" ht="15" thickBot="1" x14ac:dyDescent="0.35">
      <c r="A153" s="169" t="s">
        <v>313</v>
      </c>
      <c r="B153" s="170">
        <f>13*References!BC36</f>
        <v>107.575</v>
      </c>
      <c r="C153" s="170">
        <v>1</v>
      </c>
      <c r="D153" s="170">
        <v>1.2</v>
      </c>
      <c r="E153" s="170">
        <v>0.94</v>
      </c>
      <c r="F153" s="171">
        <f t="shared" si="2"/>
        <v>121.3446</v>
      </c>
    </row>
    <row r="154" spans="1:8" ht="15" thickBot="1" x14ac:dyDescent="0.35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8" ht="15" thickBot="1" x14ac:dyDescent="0.35">
      <c r="A155" s="169" t="s">
        <v>509</v>
      </c>
      <c r="B155" s="170">
        <f>13*References!BC38</f>
        <v>2391.2694000000001</v>
      </c>
      <c r="C155" s="170">
        <v>0.75</v>
      </c>
      <c r="D155" s="170">
        <v>1.2</v>
      </c>
      <c r="E155" s="170">
        <v>0.94</v>
      </c>
      <c r="F155" s="171">
        <f t="shared" si="2"/>
        <v>2023.0139124</v>
      </c>
    </row>
    <row r="156" spans="1:8" ht="15" thickBot="1" x14ac:dyDescent="0.35">
      <c r="A156" s="169" t="s">
        <v>316</v>
      </c>
      <c r="B156" s="170">
        <f>13*References!BC39</f>
        <v>765.18130000000008</v>
      </c>
      <c r="C156" s="170">
        <v>1</v>
      </c>
      <c r="D156" s="170">
        <v>1.2</v>
      </c>
      <c r="E156" s="170">
        <v>0.94</v>
      </c>
      <c r="F156" s="171">
        <f t="shared" si="2"/>
        <v>863.12450639999997</v>
      </c>
    </row>
    <row r="157" spans="1:8" ht="15" thickBot="1" x14ac:dyDescent="0.35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8" ht="15" thickBot="1" x14ac:dyDescent="0.35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8" ht="15" thickBot="1" x14ac:dyDescent="0.35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8" ht="15" thickBot="1" x14ac:dyDescent="0.35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  <c r="H160" s="86">
        <f>Table25[[#This Row],[Qs (W)]]+F161+F162</f>
        <v>342.03779999999995</v>
      </c>
    </row>
    <row r="161" spans="1:6" ht="15" thickBot="1" x14ac:dyDescent="0.35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" thickBot="1" x14ac:dyDescent="0.35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" thickBot="1" x14ac:dyDescent="0.35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" thickBot="1" x14ac:dyDescent="0.35">
      <c r="A164" s="174" t="s">
        <v>510</v>
      </c>
      <c r="B164" s="170">
        <f>13*References!BC47</f>
        <v>10504.1001</v>
      </c>
      <c r="C164" s="175">
        <v>1</v>
      </c>
      <c r="D164" s="175">
        <v>1.2</v>
      </c>
      <c r="E164" s="175">
        <v>0.94</v>
      </c>
      <c r="F164" s="176">
        <f t="shared" si="2"/>
        <v>11848.624912799998</v>
      </c>
    </row>
    <row r="165" spans="1:6" s="148" customFormat="1" ht="15" thickBot="1" x14ac:dyDescent="0.35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8" customFormat="1" ht="15" thickBot="1" x14ac:dyDescent="0.35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" thickBot="1" x14ac:dyDescent="0.35">
      <c r="E167" s="128" t="s">
        <v>333</v>
      </c>
      <c r="F167" s="128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sheetPr>
    <tabColor rgb="FFFFFF00"/>
  </sheetPr>
  <dimension ref="A1:H14"/>
  <sheetViews>
    <sheetView workbookViewId="0">
      <selection activeCell="G13" sqref="G13"/>
    </sheetView>
  </sheetViews>
  <sheetFormatPr defaultRowHeight="14.4" x14ac:dyDescent="0.3"/>
  <cols>
    <col min="1" max="1" width="33.109375" customWidth="1"/>
    <col min="2" max="4" width="15.88671875" customWidth="1"/>
  </cols>
  <sheetData>
    <row r="1" spans="1:8" s="118" customFormat="1" ht="39" customHeight="1" thickBot="1" x14ac:dyDescent="0.5">
      <c r="A1" s="212" t="s">
        <v>547</v>
      </c>
      <c r="B1" s="212"/>
      <c r="C1" s="212"/>
      <c r="D1" s="212"/>
      <c r="E1" s="103"/>
      <c r="F1" s="103"/>
      <c r="G1" s="103"/>
      <c r="H1" s="103"/>
    </row>
    <row r="2" spans="1:8" ht="35.25" customHeight="1" thickBot="1" x14ac:dyDescent="0.35">
      <c r="A2" s="140"/>
      <c r="B2" s="141" t="s">
        <v>548</v>
      </c>
      <c r="C2" s="141" t="s">
        <v>549</v>
      </c>
      <c r="D2" s="141" t="s">
        <v>550</v>
      </c>
    </row>
    <row r="3" spans="1:8" ht="26.25" customHeight="1" thickBot="1" x14ac:dyDescent="0.35">
      <c r="A3" s="142" t="s">
        <v>537</v>
      </c>
      <c r="B3" s="82">
        <f>'EXTERNAL WALL LOAD'!Q8</f>
        <v>118797.28045801198</v>
      </c>
      <c r="C3" s="82">
        <v>0</v>
      </c>
      <c r="D3" s="82">
        <f t="shared" ref="D3:D9" si="0">B3+C3</f>
        <v>118797.28045801198</v>
      </c>
    </row>
    <row r="4" spans="1:8" ht="26.25" customHeight="1" thickBot="1" x14ac:dyDescent="0.35">
      <c r="A4" s="142" t="s">
        <v>11</v>
      </c>
      <c r="B4" s="82">
        <f>'GLASS LOAD'!R8</f>
        <v>38633.611499999999</v>
      </c>
      <c r="C4" s="82">
        <f>'GLASS LOAD'!S8</f>
        <v>5763.8469070000001</v>
      </c>
      <c r="D4" s="82">
        <f t="shared" si="0"/>
        <v>44397.458406999998</v>
      </c>
    </row>
    <row r="5" spans="1:8" ht="26.25" customHeight="1" thickBot="1" x14ac:dyDescent="0.35">
      <c r="A5" s="142" t="s">
        <v>18</v>
      </c>
      <c r="B5" s="82">
        <f>'INFILTRATION LOAD'!O8</f>
        <v>17243.796313248808</v>
      </c>
      <c r="C5" s="82">
        <f>'INFILTRATION LOAD'!P8</f>
        <v>36486.734712379381</v>
      </c>
      <c r="D5" s="82">
        <f t="shared" si="0"/>
        <v>53730.531025628188</v>
      </c>
    </row>
    <row r="6" spans="1:8" ht="26.25" customHeight="1" thickBot="1" x14ac:dyDescent="0.35">
      <c r="A6" s="142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5">
      <c r="A7" s="142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5">
      <c r="A8" s="142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5">
      <c r="A9" s="142" t="s">
        <v>504</v>
      </c>
      <c r="B9" s="82">
        <f>'VENTILATION LOAD'!Q8</f>
        <v>42537.572</v>
      </c>
      <c r="C9" s="82">
        <f>'VENTILATION LOAD'!R8</f>
        <v>83456.651898000026</v>
      </c>
      <c r="D9" s="82">
        <f t="shared" si="0"/>
        <v>125994.22389800003</v>
      </c>
    </row>
    <row r="10" spans="1:8" ht="26.25" customHeight="1" thickBot="1" x14ac:dyDescent="0.35">
      <c r="A10" s="142" t="s">
        <v>503</v>
      </c>
      <c r="B10" s="82">
        <f>'OCCUPANT LOAD'!Q8</f>
        <v>19716.98</v>
      </c>
      <c r="C10" s="82">
        <f>'OCCUPANT LOAD'!R8</f>
        <v>10453.359999999999</v>
      </c>
      <c r="D10" s="82">
        <f t="shared" ref="D10:D12" si="1">B10+C10</f>
        <v>30170.339999999997</v>
      </c>
    </row>
    <row r="11" spans="1:8" ht="26.25" customHeight="1" thickBot="1" x14ac:dyDescent="0.35">
      <c r="A11" s="142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5">
      <c r="A12" s="142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5">
      <c r="A13" s="143" t="s">
        <v>540</v>
      </c>
      <c r="B13" s="144">
        <f>SUM(B3:B12)</f>
        <v>399922.54750221182</v>
      </c>
      <c r="C13" s="144">
        <f>SUM(C3:C12)</f>
        <v>141776.5775173794</v>
      </c>
      <c r="D13" s="145">
        <f>B13+C13</f>
        <v>541699.12501959119</v>
      </c>
    </row>
    <row r="14" spans="1:8" x14ac:dyDescent="0.3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0F4D-A63A-4EF8-8449-24CBBFBC24A1}">
  <sheetPr>
    <tabColor rgb="FF7030A0"/>
  </sheetPr>
  <dimension ref="A1:Q24"/>
  <sheetViews>
    <sheetView tabSelected="1" workbookViewId="0">
      <selection activeCell="E24" sqref="E24"/>
    </sheetView>
  </sheetViews>
  <sheetFormatPr defaultRowHeight="14.4" x14ac:dyDescent="0.3"/>
  <cols>
    <col min="1" max="1" width="15.109375" style="214" customWidth="1"/>
    <col min="2" max="2" width="12" style="214" customWidth="1"/>
    <col min="3" max="3" width="12.44140625" style="215" customWidth="1"/>
    <col min="4" max="4" width="20.77734375" style="214" customWidth="1"/>
    <col min="5" max="5" width="24.33203125" style="214" customWidth="1"/>
    <col min="6" max="6" width="10.44140625" style="214" hidden="1" customWidth="1"/>
    <col min="7" max="7" width="29.6640625" style="214" customWidth="1"/>
    <col min="8" max="8" width="14" style="214" customWidth="1"/>
    <col min="9" max="9" width="23.88671875" style="214" customWidth="1"/>
    <col min="10" max="10" width="20.33203125" style="214" customWidth="1"/>
    <col min="11" max="11" width="17.77734375" style="214" customWidth="1"/>
    <col min="12" max="14" width="8.88671875" style="214"/>
    <col min="15" max="15" width="18.6640625" style="214" customWidth="1"/>
    <col min="16" max="16384" width="8.88671875" style="214"/>
  </cols>
  <sheetData>
    <row r="1" spans="1:16" ht="15" thickBot="1" x14ac:dyDescent="0.35">
      <c r="A1" s="219" t="s">
        <v>591</v>
      </c>
      <c r="B1" s="168" t="s">
        <v>20</v>
      </c>
      <c r="C1" s="168" t="s">
        <v>559</v>
      </c>
      <c r="D1" s="220" t="s">
        <v>560</v>
      </c>
      <c r="E1" s="221" t="s">
        <v>561</v>
      </c>
      <c r="F1" s="221" t="s">
        <v>562</v>
      </c>
      <c r="G1" s="168" t="s">
        <v>563</v>
      </c>
      <c r="H1" s="168" t="s">
        <v>564</v>
      </c>
      <c r="I1" s="168" t="s">
        <v>566</v>
      </c>
      <c r="J1" s="168" t="s">
        <v>567</v>
      </c>
      <c r="K1" s="222" t="s">
        <v>568</v>
      </c>
      <c r="O1" s="89" t="s">
        <v>565</v>
      </c>
      <c r="P1" s="89"/>
    </row>
    <row r="2" spans="1:16" ht="15" thickBot="1" x14ac:dyDescent="0.35">
      <c r="A2" s="94" t="s">
        <v>569</v>
      </c>
      <c r="B2" s="95">
        <v>19.148900000000001</v>
      </c>
      <c r="C2" s="95">
        <f>B2*15.850372483753</f>
        <v>303.51719765413787</v>
      </c>
      <c r="D2" s="217">
        <v>5</v>
      </c>
      <c r="E2" s="218">
        <f>(D2*25.4)/1000</f>
        <v>0.127</v>
      </c>
      <c r="F2" s="218">
        <v>5.0469999999999997</v>
      </c>
      <c r="G2" s="95">
        <f>(F2*25.4)/1000</f>
        <v>0.12819379999999997</v>
      </c>
      <c r="H2" s="95">
        <v>4.87</v>
      </c>
      <c r="I2" s="95">
        <f>(O2/100)*2989.06689999997*3.281</f>
        <v>160.93497866694739</v>
      </c>
      <c r="J2" s="107">
        <f>P2+(((H2^2)*1000)/2)/I2</f>
        <v>75.684727199926442</v>
      </c>
      <c r="K2" s="108">
        <f>I2*J2</f>
        <v>12180.319957333895</v>
      </c>
      <c r="O2" s="89">
        <v>1.641</v>
      </c>
      <c r="P2" s="89">
        <v>2</v>
      </c>
    </row>
    <row r="3" spans="1:16" ht="15" thickBot="1" x14ac:dyDescent="0.35">
      <c r="A3" s="94" t="s">
        <v>570</v>
      </c>
      <c r="B3" s="95">
        <v>19.148900000000001</v>
      </c>
      <c r="C3" s="95">
        <f t="shared" ref="C3:C23" si="0">B3*15.850372483753</f>
        <v>303.51719765413787</v>
      </c>
      <c r="D3" s="217">
        <v>5</v>
      </c>
      <c r="E3" s="218">
        <f t="shared" ref="E3:E24" si="1">(D3*25.4)/1000</f>
        <v>0.127</v>
      </c>
      <c r="F3" s="218">
        <v>5.0469999999999997</v>
      </c>
      <c r="G3" s="95">
        <f t="shared" ref="G3:G23" si="2">(F3*25.4)/1000</f>
        <v>0.12819379999999997</v>
      </c>
      <c r="H3" s="95">
        <v>4.87</v>
      </c>
      <c r="I3" s="95">
        <f>(O3/100)*2989.06689999997*3.281</f>
        <v>160.93497866694739</v>
      </c>
      <c r="J3" s="107">
        <f>P3+(((((H3^2)*1000)/2)*((((G3^4)/(G4^4))-1)/I3)))</f>
        <v>110.2919022058967</v>
      </c>
      <c r="K3" s="108">
        <f>I3*J3</f>
        <v>17749.824928643033</v>
      </c>
      <c r="O3" s="89">
        <v>1.641</v>
      </c>
      <c r="P3" s="89">
        <v>2</v>
      </c>
    </row>
    <row r="4" spans="1:16" ht="15" thickBot="1" x14ac:dyDescent="0.35">
      <c r="A4" s="94" t="s">
        <v>571</v>
      </c>
      <c r="B4" s="95">
        <v>14.898300000000001</v>
      </c>
      <c r="C4" s="95">
        <f t="shared" si="0"/>
        <v>236.14360437469733</v>
      </c>
      <c r="D4" s="217">
        <v>4</v>
      </c>
      <c r="E4" s="218">
        <f t="shared" si="1"/>
        <v>0.1016</v>
      </c>
      <c r="F4" s="95">
        <v>4.0259999999999998</v>
      </c>
      <c r="G4" s="95">
        <f t="shared" si="2"/>
        <v>0.10226039999999999</v>
      </c>
      <c r="H4" s="95">
        <v>5.95</v>
      </c>
      <c r="I4" s="95">
        <f>(O4/100)*2989.06689999997*3.281</f>
        <v>309.61104671026987</v>
      </c>
      <c r="J4" s="107">
        <f>P4+((((H4^2)*1000)/2)*((((G4^4)/(G5^4))-1)/I4))</f>
        <v>116.36315418531193</v>
      </c>
      <c r="K4" s="108">
        <f>I4*J4</f>
        <v>36027.317965822949</v>
      </c>
      <c r="O4" s="89">
        <v>3.157</v>
      </c>
      <c r="P4" s="89">
        <v>4</v>
      </c>
    </row>
    <row r="5" spans="1:16" ht="15" thickBot="1" x14ac:dyDescent="0.35">
      <c r="A5" s="94" t="s">
        <v>572</v>
      </c>
      <c r="B5" s="95">
        <v>6.78</v>
      </c>
      <c r="C5" s="95">
        <f t="shared" si="0"/>
        <v>107.46552543984535</v>
      </c>
      <c r="D5" s="217">
        <v>3</v>
      </c>
      <c r="E5" s="218">
        <f t="shared" si="1"/>
        <v>7.619999999999999E-2</v>
      </c>
      <c r="F5" s="218">
        <v>3.0680000000000001</v>
      </c>
      <c r="G5" s="95">
        <f t="shared" si="2"/>
        <v>7.7927200000000002E-2</v>
      </c>
      <c r="H5" s="95">
        <v>4.66</v>
      </c>
      <c r="I5" s="95">
        <f>(O5/100)*2989.06689999997*3.281</f>
        <v>273.91309897427425</v>
      </c>
      <c r="J5" s="107">
        <f>P5+((((H5^2)*1000)/2)/I5)</f>
        <v>43.639579270430431</v>
      </c>
      <c r="K5" s="108">
        <f>I5*J5</f>
        <v>11953.452395897097</v>
      </c>
      <c r="O5" s="89">
        <v>2.7930000000000001</v>
      </c>
      <c r="P5" s="89">
        <v>4</v>
      </c>
    </row>
    <row r="6" spans="1:16" ht="15" thickBot="1" x14ac:dyDescent="0.35">
      <c r="A6" s="94" t="s">
        <v>573</v>
      </c>
      <c r="B6" s="95">
        <v>6.78</v>
      </c>
      <c r="C6" s="95">
        <f t="shared" si="0"/>
        <v>107.46552543984535</v>
      </c>
      <c r="D6" s="217">
        <v>3</v>
      </c>
      <c r="E6" s="218">
        <f t="shared" si="1"/>
        <v>7.619999999999999E-2</v>
      </c>
      <c r="F6" s="218">
        <v>3.0680000000000001</v>
      </c>
      <c r="G6" s="95">
        <f t="shared" si="2"/>
        <v>7.7927200000000002E-2</v>
      </c>
      <c r="H6" s="95">
        <v>4.66</v>
      </c>
      <c r="I6" s="95">
        <f>(O6/100)*2989.06689999997*3.281</f>
        <v>273.91309897427425</v>
      </c>
      <c r="J6" s="107">
        <f>P6+((((H6^2)*1000)/2)*(((G6^4)/(G7^4))/I6))</f>
        <v>46.239579270430433</v>
      </c>
      <c r="K6" s="108">
        <f>I6*J6</f>
        <v>12665.62645323021</v>
      </c>
      <c r="O6" s="89">
        <v>2.7930000000000001</v>
      </c>
      <c r="P6" s="89">
        <f>6.15+0.45</f>
        <v>6.6000000000000005</v>
      </c>
    </row>
    <row r="7" spans="1:16" ht="15" thickBot="1" x14ac:dyDescent="0.35">
      <c r="A7" s="94" t="s">
        <v>574</v>
      </c>
      <c r="B7" s="95">
        <v>6.6</v>
      </c>
      <c r="C7" s="95">
        <f t="shared" si="0"/>
        <v>104.6124583927698</v>
      </c>
      <c r="D7" s="217">
        <v>3</v>
      </c>
      <c r="E7" s="218">
        <f t="shared" si="1"/>
        <v>7.619999999999999E-2</v>
      </c>
      <c r="F7" s="218">
        <v>3.0680000000000001</v>
      </c>
      <c r="G7" s="95">
        <f t="shared" si="2"/>
        <v>7.7927200000000002E-2</v>
      </c>
      <c r="H7" s="95">
        <v>4.54</v>
      </c>
      <c r="I7" s="95">
        <f>(O7/100)*2989.06689999997*3.281</f>
        <v>260.47733293078136</v>
      </c>
      <c r="J7" s="107">
        <f>P7+((((H7^2)*1000)/2)*(((G7^4)/(G8^4))/I7))</f>
        <v>40.015054985950123</v>
      </c>
      <c r="K7" s="108">
        <f>I7*J7</f>
        <v>10423.014799818853</v>
      </c>
      <c r="O7" s="89">
        <v>2.6560000000000001</v>
      </c>
      <c r="P7" s="89">
        <v>0.45</v>
      </c>
    </row>
    <row r="8" spans="1:16" ht="15" thickBot="1" x14ac:dyDescent="0.35">
      <c r="A8" s="94" t="s">
        <v>575</v>
      </c>
      <c r="B8" s="95">
        <v>6.53</v>
      </c>
      <c r="C8" s="95">
        <f t="shared" si="0"/>
        <v>103.5029323189071</v>
      </c>
      <c r="D8" s="217">
        <v>3</v>
      </c>
      <c r="E8" s="218">
        <f t="shared" si="1"/>
        <v>7.619999999999999E-2</v>
      </c>
      <c r="F8" s="218">
        <v>3.0680000000000001</v>
      </c>
      <c r="G8" s="95">
        <f t="shared" si="2"/>
        <v>7.7927200000000002E-2</v>
      </c>
      <c r="H8" s="95">
        <v>4.49</v>
      </c>
      <c r="I8" s="95">
        <f>(O8/100)*2989.06689999997*3.281</f>
        <v>255.27955482636443</v>
      </c>
      <c r="J8" s="107">
        <f>P8+((((H8^2)*1000)/2)*(((G8^4)/(G9^4))/I8))</f>
        <v>42.336319250502576</v>
      </c>
      <c r="K8" s="108">
        <f>I8*J8</f>
        <v>10807.59673125514</v>
      </c>
      <c r="O8" s="89">
        <v>2.6030000000000002</v>
      </c>
      <c r="P8" s="89">
        <v>2.85</v>
      </c>
    </row>
    <row r="9" spans="1:16" ht="15" thickBot="1" x14ac:dyDescent="0.35">
      <c r="A9" s="94" t="s">
        <v>576</v>
      </c>
      <c r="B9" s="95">
        <v>6.46</v>
      </c>
      <c r="C9" s="95">
        <f t="shared" si="0"/>
        <v>102.39340624504439</v>
      </c>
      <c r="D9" s="217">
        <v>3</v>
      </c>
      <c r="E9" s="218">
        <f t="shared" si="1"/>
        <v>7.619999999999999E-2</v>
      </c>
      <c r="F9" s="218">
        <v>3.0680000000000001</v>
      </c>
      <c r="G9" s="95">
        <f t="shared" si="2"/>
        <v>7.7927200000000002E-2</v>
      </c>
      <c r="H9" s="95">
        <v>4.4400000000000004</v>
      </c>
      <c r="I9" s="95">
        <f>(O9/100)*2989.06689999997*3.281</f>
        <v>250.27791929192551</v>
      </c>
      <c r="J9" s="107">
        <f>P9+((((H9^2)*1000)/2)*(((G9^4)/(G10^4))/I9))</f>
        <v>43.933418353030874</v>
      </c>
      <c r="K9" s="108">
        <f>I9*J9</f>
        <v>10995.56453277826</v>
      </c>
      <c r="O9" s="89">
        <v>2.552</v>
      </c>
      <c r="P9" s="89">
        <f>2.75+1.8</f>
        <v>4.55</v>
      </c>
    </row>
    <row r="10" spans="1:16" ht="15" thickBot="1" x14ac:dyDescent="0.35">
      <c r="A10" s="94" t="s">
        <v>577</v>
      </c>
      <c r="B10" s="95">
        <v>5.68</v>
      </c>
      <c r="C10" s="95">
        <f t="shared" si="0"/>
        <v>90.030115707717044</v>
      </c>
      <c r="D10" s="217">
        <v>3</v>
      </c>
      <c r="E10" s="218">
        <f t="shared" si="1"/>
        <v>7.619999999999999E-2</v>
      </c>
      <c r="F10" s="218">
        <v>3.0680000000000001</v>
      </c>
      <c r="G10" s="95">
        <f t="shared" si="2"/>
        <v>7.7927200000000002E-2</v>
      </c>
      <c r="H10" s="95">
        <v>3.91</v>
      </c>
      <c r="I10" s="95">
        <f>(O10/100)*2989.06689999997*3.281</f>
        <v>196.92714025791003</v>
      </c>
      <c r="J10" s="107">
        <f>P10+((((H10^2)*1000)/2)*(((G10^4)/(G11^4))/I10))</f>
        <v>41.516640458947407</v>
      </c>
      <c r="K10" s="108">
        <f>I10*J10</f>
        <v>8175.7532786963584</v>
      </c>
      <c r="O10" s="89">
        <v>2.008</v>
      </c>
      <c r="P10" s="89">
        <v>2.7</v>
      </c>
    </row>
    <row r="11" spans="1:16" ht="15" thickBot="1" x14ac:dyDescent="0.35">
      <c r="A11" s="94" t="s">
        <v>578</v>
      </c>
      <c r="B11" s="95">
        <v>4.96</v>
      </c>
      <c r="C11" s="95">
        <f t="shared" si="0"/>
        <v>78.61784751941488</v>
      </c>
      <c r="D11" s="217">
        <v>3</v>
      </c>
      <c r="E11" s="218">
        <f t="shared" si="1"/>
        <v>7.619999999999999E-2</v>
      </c>
      <c r="F11" s="218">
        <v>3.0680000000000001</v>
      </c>
      <c r="G11" s="95">
        <f t="shared" si="2"/>
        <v>7.7927200000000002E-2</v>
      </c>
      <c r="H11" s="95">
        <v>3.41</v>
      </c>
      <c r="I11" s="95">
        <f>(O11/100)*2989.06689999997*3.281</f>
        <v>153.18734715281647</v>
      </c>
      <c r="J11" s="107">
        <f>P11+((((H11^2)*1000)/2)*(((G11^4)/(G12^4))/I11))</f>
        <v>43.053852639017421</v>
      </c>
      <c r="K11" s="108">
        <f>I11*J11</f>
        <v>6595.3054704793649</v>
      </c>
      <c r="O11" s="89">
        <v>1.5620000000000001</v>
      </c>
      <c r="P11" s="89">
        <v>5.0999999999999996</v>
      </c>
    </row>
    <row r="12" spans="1:16" ht="15" thickBot="1" x14ac:dyDescent="0.35">
      <c r="A12" s="94" t="s">
        <v>579</v>
      </c>
      <c r="B12" s="95">
        <v>4.82</v>
      </c>
      <c r="C12" s="95">
        <f>B12*15.850372483753</f>
        <v>76.398795371689474</v>
      </c>
      <c r="D12" s="217">
        <v>3</v>
      </c>
      <c r="E12" s="218">
        <f t="shared" si="1"/>
        <v>7.619999999999999E-2</v>
      </c>
      <c r="F12" s="218">
        <v>3.0680000000000001</v>
      </c>
      <c r="G12" s="95">
        <f t="shared" si="2"/>
        <v>7.7927200000000002E-2</v>
      </c>
      <c r="H12" s="95">
        <v>3.32</v>
      </c>
      <c r="I12" s="95">
        <f>(O12/100)*2989.06689999997*3.281</f>
        <v>145.34164435369652</v>
      </c>
      <c r="J12" s="107">
        <f>P12+((((H12^2)*1000)/2)*(((G12^4)/(G13^4))/I12))</f>
        <v>39.118932488394073</v>
      </c>
      <c r="K12" s="108">
        <f>I12*J12</f>
        <v>5685.6099732244356</v>
      </c>
      <c r="O12" s="89">
        <v>1.482</v>
      </c>
      <c r="P12" s="89">
        <v>1.2</v>
      </c>
    </row>
    <row r="13" spans="1:16" ht="15" thickBot="1" x14ac:dyDescent="0.35">
      <c r="A13" s="94" t="s">
        <v>580</v>
      </c>
      <c r="B13" s="95">
        <v>4.68</v>
      </c>
      <c r="C13" s="95">
        <f t="shared" si="0"/>
        <v>74.179743223964039</v>
      </c>
      <c r="D13" s="217">
        <v>3</v>
      </c>
      <c r="E13" s="218">
        <f t="shared" si="1"/>
        <v>7.619999999999999E-2</v>
      </c>
      <c r="F13" s="218">
        <v>3.0680000000000001</v>
      </c>
      <c r="G13" s="95">
        <f t="shared" si="2"/>
        <v>7.7927200000000002E-2</v>
      </c>
      <c r="H13" s="95">
        <v>3.22</v>
      </c>
      <c r="I13" s="95">
        <f>(O13/100)*2989.06689999997*3.281</f>
        <v>137.39787026958763</v>
      </c>
      <c r="J13" s="107">
        <f>P13+((((H13^2)*1000)/2)*(((G13^4)/(G14^4))/I13))</f>
        <v>44.131298089468999</v>
      </c>
      <c r="K13" s="108">
        <f>I13*J13</f>
        <v>6063.5463697253617</v>
      </c>
      <c r="O13" s="89">
        <v>1.401</v>
      </c>
      <c r="P13" s="89">
        <v>6.4</v>
      </c>
    </row>
    <row r="14" spans="1:16" ht="15" thickBot="1" x14ac:dyDescent="0.35">
      <c r="A14" s="94" t="s">
        <v>581</v>
      </c>
      <c r="B14" s="95">
        <v>4.57</v>
      </c>
      <c r="C14" s="95">
        <f>B14*15.850372483753</f>
        <v>72.436202250751222</v>
      </c>
      <c r="D14" s="217">
        <v>3</v>
      </c>
      <c r="E14" s="218">
        <f t="shared" si="1"/>
        <v>7.619999999999999E-2</v>
      </c>
      <c r="F14" s="218">
        <v>3.0680000000000001</v>
      </c>
      <c r="G14" s="95">
        <f t="shared" si="2"/>
        <v>7.7927200000000002E-2</v>
      </c>
      <c r="H14" s="95">
        <v>3.14</v>
      </c>
      <c r="I14" s="95">
        <f>(O14/100)*2989.06689999997*3.281</f>
        <v>131.70973574022565</v>
      </c>
      <c r="J14" s="107">
        <f>P14+((((H14^2)*1000)/2)*(((G14^4)/(G15^4))/I14))</f>
        <v>38.679275613483618</v>
      </c>
      <c r="K14" s="108">
        <f>I14*J14</f>
        <v>5094.4371696752814</v>
      </c>
      <c r="O14" s="89">
        <v>1.343</v>
      </c>
      <c r="P14" s="89">
        <v>1.25</v>
      </c>
    </row>
    <row r="15" spans="1:16" ht="15" thickBot="1" x14ac:dyDescent="0.35">
      <c r="A15" s="94" t="s">
        <v>582</v>
      </c>
      <c r="B15" s="95">
        <v>4.47</v>
      </c>
      <c r="C15" s="95">
        <f t="shared" si="0"/>
        <v>70.851165002375907</v>
      </c>
      <c r="D15" s="217">
        <v>3</v>
      </c>
      <c r="E15" s="218">
        <f t="shared" si="1"/>
        <v>7.619999999999999E-2</v>
      </c>
      <c r="F15" s="218">
        <v>3.0680000000000001</v>
      </c>
      <c r="G15" s="95">
        <f t="shared" si="2"/>
        <v>7.7927200000000002E-2</v>
      </c>
      <c r="H15" s="95">
        <v>3.07</v>
      </c>
      <c r="I15" s="95">
        <f>(O15/100)*2989.06689999997*3.281</f>
        <v>126.41388635081971</v>
      </c>
      <c r="J15" s="107">
        <f>P15+((((H15^2)*1000)/2)*(((G15^4)/(G16^4))/I15))</f>
        <v>40.02794577031009</v>
      </c>
      <c r="K15" s="108">
        <f>I15*J15</f>
        <v>5060.0881874647539</v>
      </c>
      <c r="O15" s="89">
        <v>1.2889999999999999</v>
      </c>
      <c r="P15" s="89">
        <v>2.75</v>
      </c>
    </row>
    <row r="16" spans="1:16" ht="15" thickBot="1" x14ac:dyDescent="0.35">
      <c r="A16" s="94" t="s">
        <v>583</v>
      </c>
      <c r="B16" s="95">
        <v>4.25</v>
      </c>
      <c r="C16" s="95">
        <f t="shared" si="0"/>
        <v>67.364083055950246</v>
      </c>
      <c r="D16" s="217">
        <v>3</v>
      </c>
      <c r="E16" s="218">
        <f t="shared" si="1"/>
        <v>7.619999999999999E-2</v>
      </c>
      <c r="F16" s="218">
        <v>3.0680000000000001</v>
      </c>
      <c r="G16" s="95">
        <f t="shared" si="2"/>
        <v>7.7927200000000002E-2</v>
      </c>
      <c r="H16" s="95">
        <v>2.92</v>
      </c>
      <c r="I16" s="95">
        <f>(O16/100)*2989.06689999997*3.281</f>
        <v>115.23375986207384</v>
      </c>
      <c r="J16" s="107">
        <f>P16+((((H16^2)*1000)/2)*(((G16^4)/(G17^4))/I16))</f>
        <v>43.146102575345367</v>
      </c>
      <c r="K16" s="108">
        <f>I16*J16</f>
        <v>4971.8876231517534</v>
      </c>
      <c r="O16" s="89">
        <v>1.175</v>
      </c>
      <c r="P16" s="89">
        <v>6.15</v>
      </c>
    </row>
    <row r="17" spans="1:16" ht="15" thickBot="1" x14ac:dyDescent="0.35">
      <c r="A17" s="94" t="s">
        <v>584</v>
      </c>
      <c r="B17" s="95">
        <v>4.18</v>
      </c>
      <c r="C17" s="95">
        <f>B17*15.850372483753</f>
        <v>66.254556982087536</v>
      </c>
      <c r="D17" s="217">
        <v>3</v>
      </c>
      <c r="E17" s="218">
        <f t="shared" si="1"/>
        <v>7.619999999999999E-2</v>
      </c>
      <c r="F17" s="218">
        <v>3.0680000000000001</v>
      </c>
      <c r="G17" s="95">
        <f t="shared" si="2"/>
        <v>7.7927200000000002E-2</v>
      </c>
      <c r="H17" s="95">
        <v>2.88</v>
      </c>
      <c r="I17" s="95">
        <f>(O17/100)*2989.06689999997*3.281</f>
        <v>111.80126488745887</v>
      </c>
      <c r="J17" s="107">
        <f>P17+((((H17^2)*1000)/2)*(((G17^4)/(G18^4))/I17))</f>
        <v>40.344392484509406</v>
      </c>
      <c r="K17" s="108">
        <f>I17*J17</f>
        <v>4510.5541108842408</v>
      </c>
      <c r="O17" s="89">
        <v>1.1399999999999999</v>
      </c>
      <c r="P17" s="89">
        <v>3.25</v>
      </c>
    </row>
    <row r="18" spans="1:16" ht="15" thickBot="1" x14ac:dyDescent="0.35">
      <c r="A18" s="94" t="s">
        <v>585</v>
      </c>
      <c r="B18" s="95">
        <v>4.0999999999999996</v>
      </c>
      <c r="C18" s="95">
        <f t="shared" si="0"/>
        <v>64.986527183387295</v>
      </c>
      <c r="D18" s="217">
        <v>3</v>
      </c>
      <c r="E18" s="218">
        <f t="shared" si="1"/>
        <v>7.619999999999999E-2</v>
      </c>
      <c r="F18" s="218">
        <v>3.0680000000000001</v>
      </c>
      <c r="G18" s="95">
        <f t="shared" si="2"/>
        <v>7.7927200000000002E-2</v>
      </c>
      <c r="H18" s="95">
        <v>2.82</v>
      </c>
      <c r="I18" s="95">
        <f>(O18/100)*2989.06689999997*3.281</f>
        <v>107.87841348789894</v>
      </c>
      <c r="J18" s="107">
        <f>P18+((((H18^2)*1000)/2)*(((G18^4)/(G19^4))/I18))</f>
        <v>37.608161623279919</v>
      </c>
      <c r="K18" s="108">
        <f>I18*J18</f>
        <v>4057.1088101159239</v>
      </c>
      <c r="O18" s="89">
        <v>1.1000000000000001</v>
      </c>
      <c r="P18" s="89">
        <v>0.75</v>
      </c>
    </row>
    <row r="19" spans="1:16" ht="15" thickBot="1" x14ac:dyDescent="0.35">
      <c r="A19" s="94" t="s">
        <v>586</v>
      </c>
      <c r="B19" s="95">
        <v>3.96</v>
      </c>
      <c r="C19" s="95">
        <f t="shared" si="0"/>
        <v>62.767475035661882</v>
      </c>
      <c r="D19" s="217">
        <v>3</v>
      </c>
      <c r="E19" s="218">
        <f t="shared" si="1"/>
        <v>7.619999999999999E-2</v>
      </c>
      <c r="F19" s="218">
        <v>3.0680000000000001</v>
      </c>
      <c r="G19" s="95">
        <f t="shared" si="2"/>
        <v>7.7927200000000002E-2</v>
      </c>
      <c r="H19" s="95">
        <v>2.72</v>
      </c>
      <c r="I19" s="95">
        <f>(O19/100)*2989.06689999997*3.281</f>
        <v>101.209566108647</v>
      </c>
      <c r="J19" s="107">
        <f>P19+((((H19^2)*1000)/2)*(((G19^4)/(G20^4))/I19))</f>
        <v>39.849904739527915</v>
      </c>
      <c r="K19" s="108">
        <f>I19*J19</f>
        <v>4033.1915681585356</v>
      </c>
      <c r="O19" s="89">
        <v>1.032</v>
      </c>
      <c r="P19" s="89">
        <v>3.3</v>
      </c>
    </row>
    <row r="20" spans="1:16" ht="15" thickBot="1" x14ac:dyDescent="0.35">
      <c r="A20" s="94" t="s">
        <v>587</v>
      </c>
      <c r="B20" s="95">
        <v>3.82</v>
      </c>
      <c r="C20" s="95">
        <f t="shared" si="0"/>
        <v>60.548422887936461</v>
      </c>
      <c r="D20" s="217">
        <v>3</v>
      </c>
      <c r="E20" s="218">
        <f t="shared" si="1"/>
        <v>7.619999999999999E-2</v>
      </c>
      <c r="F20" s="218">
        <v>3.0680000000000001</v>
      </c>
      <c r="G20" s="95">
        <f t="shared" si="2"/>
        <v>7.7927200000000002E-2</v>
      </c>
      <c r="H20" s="95">
        <v>2.63</v>
      </c>
      <c r="I20" s="95">
        <f>(O20/100)*2989.06689999997*3.281</f>
        <v>94.736861299373047</v>
      </c>
      <c r="J20" s="107">
        <f>P20+((((H20^2)*1000)/2)*(((G20^4)/(G21^4))/I20))</f>
        <v>45.055853714861115</v>
      </c>
      <c r="K20" s="108">
        <f>I20*J20</f>
        <v>4268.4501641096394</v>
      </c>
      <c r="O20" s="89">
        <v>0.96599999999999997</v>
      </c>
      <c r="P20" s="89">
        <v>8.5500000000000007</v>
      </c>
    </row>
    <row r="21" spans="1:16" ht="15" thickBot="1" x14ac:dyDescent="0.35">
      <c r="A21" s="94" t="s">
        <v>588</v>
      </c>
      <c r="B21" s="95">
        <v>3.61</v>
      </c>
      <c r="C21" s="95">
        <f t="shared" si="0"/>
        <v>57.21984466634833</v>
      </c>
      <c r="D21" s="217">
        <v>3</v>
      </c>
      <c r="E21" s="218">
        <f t="shared" si="1"/>
        <v>7.619999999999999E-2</v>
      </c>
      <c r="F21" s="218">
        <v>3.0680000000000001</v>
      </c>
      <c r="G21" s="95">
        <f t="shared" si="2"/>
        <v>7.7927200000000002E-2</v>
      </c>
      <c r="H21" s="95">
        <v>2.48</v>
      </c>
      <c r="I21" s="95">
        <f>(O21/100)*2989.06689999997*3.281</f>
        <v>85.420089225418138</v>
      </c>
      <c r="J21" s="107">
        <f>P21+((((H21^2)*1000)/2)*(((G21^4)/(G22^4))/I21))</f>
        <v>39.350898944096684</v>
      </c>
      <c r="K21" s="108">
        <f>I21*J21</f>
        <v>3361.3572989051513</v>
      </c>
      <c r="O21" s="89">
        <v>0.871</v>
      </c>
      <c r="P21" s="89">
        <v>3.35</v>
      </c>
    </row>
    <row r="22" spans="1:16" ht="15" thickBot="1" x14ac:dyDescent="0.35">
      <c r="A22" s="94" t="s">
        <v>589</v>
      </c>
      <c r="B22" s="95">
        <v>3.5</v>
      </c>
      <c r="C22" s="95">
        <f>B22*15.850372483753</f>
        <v>55.476303693135499</v>
      </c>
      <c r="D22" s="217">
        <v>3</v>
      </c>
      <c r="E22" s="218">
        <f t="shared" si="1"/>
        <v>7.619999999999999E-2</v>
      </c>
      <c r="F22" s="218">
        <v>3.0680000000000001</v>
      </c>
      <c r="G22" s="95">
        <f t="shared" si="2"/>
        <v>7.7927200000000002E-2</v>
      </c>
      <c r="H22" s="95">
        <v>2.41</v>
      </c>
      <c r="I22" s="95">
        <f>(O22/100)*2989.06689999997*3.281</f>
        <v>80.712667545946189</v>
      </c>
      <c r="J22" s="107">
        <f>P22+((((H22^2)*1000)/2)*(((G22^4)/(G23^4))/I22))</f>
        <v>42.03010186377314</v>
      </c>
      <c r="K22" s="108">
        <f>I22*J22</f>
        <v>3392.3616386529748</v>
      </c>
      <c r="O22" s="89">
        <v>0.82299999999999995</v>
      </c>
      <c r="P22" s="89">
        <v>6.05</v>
      </c>
    </row>
    <row r="23" spans="1:16" ht="15" thickBot="1" x14ac:dyDescent="0.35">
      <c r="A23" s="97" t="s">
        <v>590</v>
      </c>
      <c r="B23" s="98">
        <v>3.43</v>
      </c>
      <c r="C23" s="98">
        <f t="shared" si="0"/>
        <v>54.366777619272796</v>
      </c>
      <c r="D23" s="223">
        <v>3</v>
      </c>
      <c r="E23" s="224">
        <f t="shared" si="1"/>
        <v>7.619999999999999E-2</v>
      </c>
      <c r="F23" s="224">
        <v>3.0680000000000001</v>
      </c>
      <c r="G23" s="98">
        <f t="shared" si="2"/>
        <v>7.7927200000000002E-2</v>
      </c>
      <c r="H23" s="98">
        <v>2.36</v>
      </c>
      <c r="I23" s="98">
        <f>(O23/100)*2989.06689999997*3.281</f>
        <v>77.770528996276212</v>
      </c>
      <c r="J23" s="109">
        <f>P23+((((H23^2)*1000)/2)/I23)</f>
        <v>45.957908676220278</v>
      </c>
      <c r="K23" s="110">
        <f>I23*J23</f>
        <v>3574.1708693122032</v>
      </c>
      <c r="O23" s="89">
        <v>0.79300000000000004</v>
      </c>
      <c r="P23" s="89">
        <f>8.65+1.5</f>
        <v>10.15</v>
      </c>
    </row>
    <row r="24" spans="1:16" ht="15" thickBot="1" x14ac:dyDescent="0.35">
      <c r="A24" s="89"/>
      <c r="B24" s="89"/>
      <c r="C24" s="89"/>
      <c r="D24" s="213"/>
      <c r="E24" s="216">
        <f t="shared" si="1"/>
        <v>0</v>
      </c>
      <c r="F24" s="216"/>
      <c r="G24" s="89"/>
      <c r="H24" s="89"/>
      <c r="I24" s="89"/>
      <c r="J24" s="41" t="s">
        <v>592</v>
      </c>
      <c r="K24" s="41">
        <f>SUM(K2:K23)</f>
        <v>191646.54029733539</v>
      </c>
      <c r="O24" s="89"/>
      <c r="P24" s="89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>
    <tabColor rgb="FF7030A0"/>
  </sheetPr>
  <dimension ref="A1:BC106"/>
  <sheetViews>
    <sheetView zoomScale="70" zoomScaleNormal="70" workbookViewId="0">
      <selection activeCell="L6" sqref="L6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55" x14ac:dyDescent="0.3">
      <c r="A1" t="s">
        <v>94</v>
      </c>
      <c r="J1" t="s">
        <v>99</v>
      </c>
      <c r="L1">
        <v>2.8721999999999999</v>
      </c>
    </row>
    <row r="2" spans="1:55" x14ac:dyDescent="0.3">
      <c r="A2" t="s">
        <v>95</v>
      </c>
      <c r="J2" t="s">
        <v>100</v>
      </c>
      <c r="L2">
        <v>2.8210999999999999</v>
      </c>
      <c r="S2" s="5" t="s">
        <v>43</v>
      </c>
      <c r="T2" s="3"/>
      <c r="Y2" s="195" t="s">
        <v>297</v>
      </c>
      <c r="Z2" s="195"/>
      <c r="AB2" t="s">
        <v>298</v>
      </c>
      <c r="AD2" s="195" t="s">
        <v>318</v>
      </c>
      <c r="AE2" s="195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3">
      <c r="A3" s="195" t="s">
        <v>96</v>
      </c>
      <c r="B3" s="195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5" t="s">
        <v>53</v>
      </c>
      <c r="BB3" s="115" t="s">
        <v>53</v>
      </c>
      <c r="BC3" s="115" t="s">
        <v>53</v>
      </c>
    </row>
    <row r="4" spans="1:55" x14ac:dyDescent="0.3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6">
        <v>37.438600000000001</v>
      </c>
      <c r="BB4" s="116">
        <v>34.276899999999998</v>
      </c>
      <c r="BC4" s="116">
        <v>34.276899999999998</v>
      </c>
    </row>
    <row r="5" spans="1:55" x14ac:dyDescent="0.3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6">
        <v>9.6511999999999993</v>
      </c>
      <c r="BB5" s="116">
        <v>34.26</v>
      </c>
      <c r="BC5" s="116">
        <v>34.26</v>
      </c>
    </row>
    <row r="6" spans="1:55" x14ac:dyDescent="0.3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6">
        <v>7.8174999999999999</v>
      </c>
      <c r="BB6" s="116">
        <v>34.29</v>
      </c>
      <c r="BC6" s="116">
        <v>37.408700000000003</v>
      </c>
    </row>
    <row r="7" spans="1:55" x14ac:dyDescent="0.3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6">
        <v>16.3095</v>
      </c>
      <c r="BB7" s="116">
        <v>34.1175</v>
      </c>
      <c r="BC7" s="116">
        <v>37.408700000000003</v>
      </c>
    </row>
    <row r="8" spans="1:55" x14ac:dyDescent="0.3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6">
        <v>18.299099999999999</v>
      </c>
      <c r="BB8" s="116">
        <v>13.6738</v>
      </c>
      <c r="BC8" s="116">
        <v>34.26</v>
      </c>
    </row>
    <row r="9" spans="1:55" x14ac:dyDescent="0.3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6">
        <v>18.346399999999999</v>
      </c>
      <c r="BB9" s="116">
        <v>13.9206</v>
      </c>
      <c r="BC9" s="116">
        <v>34.26</v>
      </c>
    </row>
    <row r="10" spans="1:55" x14ac:dyDescent="0.3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6">
        <v>23.3886</v>
      </c>
      <c r="BB10" s="116">
        <v>13.875400000000001</v>
      </c>
      <c r="BC10" s="116">
        <v>10.1393</v>
      </c>
    </row>
    <row r="11" spans="1:55" x14ac:dyDescent="0.3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6">
        <v>5.61</v>
      </c>
      <c r="BB11" s="116">
        <v>30.712</v>
      </c>
      <c r="BC11" s="116">
        <v>13.9222</v>
      </c>
    </row>
    <row r="12" spans="1:55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6">
        <v>42.192500000000003</v>
      </c>
      <c r="BB12" s="116">
        <v>17.941299999999998</v>
      </c>
      <c r="BC12" s="116">
        <v>13.873799999999999</v>
      </c>
    </row>
    <row r="13" spans="1:55" x14ac:dyDescent="0.3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8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6">
        <v>19.637799999999999</v>
      </c>
      <c r="BB13" s="116">
        <v>22.829000000000001</v>
      </c>
      <c r="BC13" s="116">
        <v>30.712</v>
      </c>
    </row>
    <row r="14" spans="1:55" x14ac:dyDescent="0.3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6">
        <v>31.289300000000001</v>
      </c>
      <c r="BB14" s="116">
        <v>4.7869000000000002</v>
      </c>
      <c r="BC14" s="116">
        <v>17.941299999999998</v>
      </c>
    </row>
    <row r="15" spans="1:55" x14ac:dyDescent="0.3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6">
        <v>3.9771999999999998</v>
      </c>
      <c r="BB15" s="116">
        <v>2.4581</v>
      </c>
      <c r="BC15" s="116">
        <v>22.829000000000001</v>
      </c>
    </row>
    <row r="16" spans="1:55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6">
        <v>20.748699999999999</v>
      </c>
      <c r="BB16" s="116">
        <v>13.8735</v>
      </c>
      <c r="BC16" s="116">
        <v>4.7869000000000002</v>
      </c>
    </row>
    <row r="17" spans="1:55" x14ac:dyDescent="0.3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8">
        <f>3.7*4</f>
        <v>14.8</v>
      </c>
      <c r="AO17">
        <v>0</v>
      </c>
      <c r="AP17">
        <v>1.4</v>
      </c>
      <c r="AQ17" s="118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6">
        <v>17.9512</v>
      </c>
      <c r="BB17" s="116">
        <v>13.892799999999999</v>
      </c>
      <c r="BC17" s="116">
        <v>2.4581</v>
      </c>
    </row>
    <row r="18" spans="1:55" x14ac:dyDescent="0.3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6">
        <v>18.630800000000001</v>
      </c>
      <c r="BB18" s="116">
        <v>13.7066</v>
      </c>
      <c r="BC18" s="116">
        <v>13.8735</v>
      </c>
    </row>
    <row r="19" spans="1:55" x14ac:dyDescent="0.3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6">
        <v>17.137799999999999</v>
      </c>
      <c r="BB19" s="116">
        <v>11.052199999999999</v>
      </c>
      <c r="BC19" s="116">
        <v>13.892799999999999</v>
      </c>
    </row>
    <row r="20" spans="1:55" x14ac:dyDescent="0.3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6">
        <v>11.606199999999999</v>
      </c>
      <c r="BB20" s="116">
        <v>13.6813</v>
      </c>
      <c r="BC20" s="116">
        <v>10.1716</v>
      </c>
    </row>
    <row r="21" spans="1:55" x14ac:dyDescent="0.3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6">
        <v>130.9682</v>
      </c>
      <c r="BB21" s="116">
        <v>18.7319</v>
      </c>
      <c r="BC21" s="116">
        <v>15.8619</v>
      </c>
    </row>
    <row r="22" spans="1:55" x14ac:dyDescent="0.3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6">
        <v>32.86</v>
      </c>
      <c r="BB22" s="116">
        <v>25.372</v>
      </c>
      <c r="BC22" s="116">
        <v>15.8619</v>
      </c>
    </row>
    <row r="23" spans="1:55" x14ac:dyDescent="0.3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6">
        <v>12.6775</v>
      </c>
      <c r="BB23" s="116">
        <v>25.48</v>
      </c>
      <c r="BC23" s="116">
        <v>24.783000000000001</v>
      </c>
    </row>
    <row r="24" spans="1:55" x14ac:dyDescent="0.3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6">
        <v>14.3811</v>
      </c>
      <c r="BB24" s="116">
        <v>13.751200000000001</v>
      </c>
      <c r="BC24" s="116">
        <v>24.890899999999998</v>
      </c>
    </row>
    <row r="25" spans="1:55" x14ac:dyDescent="0.3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6">
        <v>14.3811</v>
      </c>
      <c r="BB25" s="116">
        <v>38.453699999999998</v>
      </c>
      <c r="BC25" s="116">
        <v>13.6813</v>
      </c>
    </row>
    <row r="26" spans="1:55" x14ac:dyDescent="0.3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6">
        <v>14.435600000000001</v>
      </c>
      <c r="BB26" s="116">
        <v>25.372</v>
      </c>
      <c r="BC26" s="116">
        <v>13.751200000000001</v>
      </c>
    </row>
    <row r="27" spans="1:55" x14ac:dyDescent="0.3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6">
        <v>14.435600000000001</v>
      </c>
      <c r="BB27" s="116">
        <v>25.48</v>
      </c>
      <c r="BC27" s="116">
        <v>16.011199999999999</v>
      </c>
    </row>
    <row r="28" spans="1:55" x14ac:dyDescent="0.3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6">
        <v>5.4874999999999998</v>
      </c>
      <c r="BB28" s="116">
        <v>13.751200000000001</v>
      </c>
      <c r="BC28" s="116">
        <v>16.011199999999999</v>
      </c>
    </row>
    <row r="29" spans="1:55" x14ac:dyDescent="0.3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6">
        <v>5.51</v>
      </c>
      <c r="BB29" s="116">
        <v>13.751200000000001</v>
      </c>
      <c r="BC29" s="116">
        <v>13.751200000000001</v>
      </c>
    </row>
    <row r="30" spans="1:55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6">
        <v>5.6363000000000003</v>
      </c>
      <c r="BB30" s="116">
        <v>21.361599999999999</v>
      </c>
      <c r="BC30" s="116">
        <v>13.751200000000001</v>
      </c>
    </row>
    <row r="31" spans="1:55" x14ac:dyDescent="0.3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6">
        <v>5.5202999999999998</v>
      </c>
      <c r="BB31" s="116">
        <v>31.438800000000001</v>
      </c>
      <c r="BC31" s="116">
        <v>23.482900000000001</v>
      </c>
    </row>
    <row r="32" spans="1:55" x14ac:dyDescent="0.3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6">
        <v>9.1492000000000004</v>
      </c>
      <c r="BB32" s="116">
        <v>34.986199999999997</v>
      </c>
      <c r="BC32" s="116">
        <v>10.757199999999999</v>
      </c>
    </row>
    <row r="33" spans="1:55" x14ac:dyDescent="0.3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6">
        <v>4.9522000000000004</v>
      </c>
      <c r="BB33" s="116">
        <v>5.4111000000000002</v>
      </c>
      <c r="BC33" s="116">
        <v>11.315</v>
      </c>
    </row>
    <row r="34" spans="1:55" x14ac:dyDescent="0.3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6">
        <v>25.253799999999998</v>
      </c>
      <c r="BB34" s="116">
        <v>25.7486</v>
      </c>
      <c r="BC34" s="116">
        <v>13.308299999999999</v>
      </c>
    </row>
    <row r="35" spans="1:55" x14ac:dyDescent="0.3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6">
        <v>14.3811</v>
      </c>
      <c r="BB35" s="116">
        <v>16.799399999999999</v>
      </c>
      <c r="BC35" s="116">
        <v>11.087199999999999</v>
      </c>
    </row>
    <row r="36" spans="1:55" x14ac:dyDescent="0.3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6">
        <v>14.3811</v>
      </c>
      <c r="BB36" s="116">
        <v>16.799900000000001</v>
      </c>
      <c r="BC36" s="116">
        <v>8.2750000000000004</v>
      </c>
    </row>
    <row r="37" spans="1:55" x14ac:dyDescent="0.3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6">
        <v>10.417999999999999</v>
      </c>
      <c r="BB37" s="116">
        <v>10.2258</v>
      </c>
      <c r="BC37" s="116">
        <v>13.467499999999999</v>
      </c>
    </row>
    <row r="38" spans="1:55" x14ac:dyDescent="0.3">
      <c r="A38" s="195" t="s">
        <v>98</v>
      </c>
      <c r="B38" s="195"/>
      <c r="C38" s="195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6">
        <v>9.9804999999999993</v>
      </c>
      <c r="BB38" s="116">
        <v>19.000699999999998</v>
      </c>
      <c r="BC38" s="116">
        <v>183.94380000000001</v>
      </c>
    </row>
    <row r="39" spans="1:55" x14ac:dyDescent="0.3">
      <c r="A39" s="195" t="s">
        <v>97</v>
      </c>
      <c r="B39" s="195"/>
      <c r="C39" s="195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8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6">
        <v>14.435600000000001</v>
      </c>
      <c r="BB39" s="116">
        <v>14.987500000000001</v>
      </c>
      <c r="BC39" s="116">
        <v>58.860100000000003</v>
      </c>
    </row>
    <row r="40" spans="1:55" x14ac:dyDescent="0.3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8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6">
        <v>14.435600000000001</v>
      </c>
      <c r="BB40" s="116">
        <v>21.6006</v>
      </c>
      <c r="BC40" s="116">
        <v>17.4452</v>
      </c>
    </row>
    <row r="41" spans="1:55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6">
        <v>656.17899999999997</v>
      </c>
      <c r="BB41" s="116">
        <v>23.600300000000001</v>
      </c>
      <c r="BC41" s="116">
        <v>17.480599999999999</v>
      </c>
    </row>
    <row r="42" spans="1:55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6">
        <v>8.4309999999999992</v>
      </c>
      <c r="BB42" s="116">
        <v>35.042499999999997</v>
      </c>
      <c r="BC42" s="116">
        <v>43.5914</v>
      </c>
    </row>
    <row r="43" spans="1:55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6">
        <v>8.3137000000000008</v>
      </c>
      <c r="BB43" s="116">
        <v>5.6912000000000003</v>
      </c>
      <c r="BC43" s="116">
        <v>10.900600000000001</v>
      </c>
    </row>
    <row r="44" spans="1:55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7">
        <v>0.8</v>
      </c>
      <c r="AX44" s="85">
        <v>1.2</v>
      </c>
      <c r="AY44" s="85">
        <v>1.2</v>
      </c>
      <c r="BA44" s="116">
        <v>8.4375</v>
      </c>
      <c r="BB44" s="116">
        <v>4.1337999999999999</v>
      </c>
      <c r="BC44" s="116">
        <v>10.783099999999999</v>
      </c>
    </row>
    <row r="45" spans="1:55" x14ac:dyDescent="0.3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7">
        <v>0.9</v>
      </c>
      <c r="AX45" s="85">
        <v>0.7</v>
      </c>
      <c r="AY45" s="85">
        <v>0.7</v>
      </c>
      <c r="BA45" s="116">
        <v>13.606999999999999</v>
      </c>
      <c r="BB45" s="116">
        <v>12.91</v>
      </c>
      <c r="BC45" s="116">
        <v>9.4162999999999997</v>
      </c>
    </row>
    <row r="46" spans="1:55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6">
        <v>17.259899999999998</v>
      </c>
      <c r="BB46" s="116">
        <v>7.4783999999999997</v>
      </c>
      <c r="BC46" s="116">
        <v>26.995799999999999</v>
      </c>
    </row>
    <row r="47" spans="1:55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6">
        <v>17.1267</v>
      </c>
      <c r="BB47" s="116">
        <v>17.520700000000001</v>
      </c>
      <c r="BC47" s="116">
        <v>808.0077</v>
      </c>
    </row>
    <row r="48" spans="1:55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6">
        <v>8.5710999999999995</v>
      </c>
      <c r="BB48" s="116">
        <v>2.8</v>
      </c>
    </row>
    <row r="49" spans="1:54" x14ac:dyDescent="0.3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6">
        <v>13.5984</v>
      </c>
      <c r="BB49" s="116">
        <v>2.8</v>
      </c>
    </row>
    <row r="50" spans="1:54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6">
        <v>17.0428</v>
      </c>
      <c r="BB50" s="116">
        <v>2.8</v>
      </c>
    </row>
    <row r="51" spans="1:54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6">
        <v>10.441700000000001</v>
      </c>
      <c r="BB51" s="116">
        <v>41.302100000000003</v>
      </c>
    </row>
    <row r="52" spans="1:54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6">
        <v>11.591900000000001</v>
      </c>
      <c r="BB52" s="116">
        <v>46.974200000000003</v>
      </c>
    </row>
    <row r="53" spans="1:54" x14ac:dyDescent="0.3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6">
        <v>19.076899999999998</v>
      </c>
      <c r="BB53" s="122">
        <v>684.91673000000003</v>
      </c>
    </row>
    <row r="54" spans="1:54" x14ac:dyDescent="0.3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6">
        <v>34.215200000000003</v>
      </c>
    </row>
    <row r="55" spans="1:54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6">
        <v>2.5941000000000001</v>
      </c>
    </row>
    <row r="56" spans="1:54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8">
        <v>0</v>
      </c>
      <c r="AH56" s="118">
        <v>0</v>
      </c>
      <c r="AI56" s="118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6">
        <v>1.9624999999999999</v>
      </c>
    </row>
    <row r="57" spans="1:54" x14ac:dyDescent="0.3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6">
        <v>5.7183999999999999</v>
      </c>
    </row>
    <row r="58" spans="1:54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6">
        <v>9.2249999999999996</v>
      </c>
    </row>
    <row r="59" spans="1:54" x14ac:dyDescent="0.3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6">
        <v>38.032499999999999</v>
      </c>
    </row>
    <row r="60" spans="1:54" x14ac:dyDescent="0.3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7">
        <v>2</v>
      </c>
      <c r="AX60" s="85">
        <v>0.9</v>
      </c>
      <c r="AY60" s="85">
        <v>1.6</v>
      </c>
      <c r="BA60" s="116">
        <v>50.888100000000001</v>
      </c>
    </row>
    <row r="61" spans="1:54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6">
        <v>27.005600000000001</v>
      </c>
    </row>
    <row r="62" spans="1:54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6">
        <v>181.69919999999999</v>
      </c>
    </row>
    <row r="63" spans="1:54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3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3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3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3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3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3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3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3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3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3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3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3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3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3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3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3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3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3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3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3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3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3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3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3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3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3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3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3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3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3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3">
      <c r="AK98">
        <v>0.8</v>
      </c>
      <c r="AL98">
        <v>0</v>
      </c>
      <c r="AM98">
        <f>2.88*4</f>
        <v>11.52</v>
      </c>
    </row>
    <row r="99" spans="37:43" x14ac:dyDescent="0.3">
      <c r="AK99">
        <v>0</v>
      </c>
      <c r="AL99">
        <v>2</v>
      </c>
      <c r="AM99">
        <f>2.25*4</f>
        <v>9</v>
      </c>
    </row>
    <row r="100" spans="37:43" x14ac:dyDescent="0.3">
      <c r="AK100">
        <v>0</v>
      </c>
      <c r="AL100">
        <v>1.4</v>
      </c>
      <c r="AM100">
        <f>4.55*4</f>
        <v>18.2</v>
      </c>
    </row>
    <row r="101" spans="37:43" x14ac:dyDescent="0.3">
      <c r="AK101">
        <v>0</v>
      </c>
      <c r="AL101">
        <v>1.6</v>
      </c>
      <c r="AM101">
        <f>2.88*4</f>
        <v>11.52</v>
      </c>
    </row>
    <row r="102" spans="37:43" x14ac:dyDescent="0.3">
      <c r="AK102">
        <v>0.8</v>
      </c>
      <c r="AL102">
        <v>1.8</v>
      </c>
      <c r="AM102">
        <f>6.28*4</f>
        <v>25.12</v>
      </c>
    </row>
    <row r="103" spans="37:43" x14ac:dyDescent="0.3">
      <c r="AK103">
        <v>0</v>
      </c>
      <c r="AL103">
        <v>1.2</v>
      </c>
      <c r="AM103">
        <f>1.55*4</f>
        <v>6.2</v>
      </c>
    </row>
    <row r="104" spans="37:43" x14ac:dyDescent="0.3">
      <c r="AK104">
        <v>0</v>
      </c>
      <c r="AL104">
        <v>1.2</v>
      </c>
      <c r="AM104">
        <f>1.55*4</f>
        <v>6.2</v>
      </c>
    </row>
    <row r="105" spans="37:43" x14ac:dyDescent="0.3">
      <c r="AK105">
        <v>0</v>
      </c>
      <c r="AL105">
        <v>1.2</v>
      </c>
      <c r="AM105">
        <f>6.05*4</f>
        <v>24.2</v>
      </c>
    </row>
    <row r="106" spans="37:43" x14ac:dyDescent="0.3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24" priority="9" operator="equal">
      <formula>$T$1</formula>
    </cfRule>
  </conditionalFormatting>
  <conditionalFormatting sqref="AB4:AB83">
    <cfRule type="cellIs" dxfId="23" priority="8" operator="equal">
      <formula>$K$1</formula>
    </cfRule>
  </conditionalFormatting>
  <conditionalFormatting sqref="AG4:AI89">
    <cfRule type="cellIs" dxfId="22" priority="7" operator="equal">
      <formula>$M$4</formula>
    </cfRule>
  </conditionalFormatting>
  <conditionalFormatting sqref="AK4:AM106">
    <cfRule type="cellIs" dxfId="21" priority="6" operator="equal">
      <formula>$H$197</formula>
    </cfRule>
  </conditionalFormatting>
  <conditionalFormatting sqref="AO3:AQ3">
    <cfRule type="cellIs" dxfId="20" priority="5" operator="equal">
      <formula>$H$197</formula>
    </cfRule>
  </conditionalFormatting>
  <conditionalFormatting sqref="AO4:AQ97">
    <cfRule type="cellIs" dxfId="19" priority="4" operator="equal">
      <formula>$H$258</formula>
    </cfRule>
  </conditionalFormatting>
  <conditionalFormatting sqref="AW4:AW62">
    <cfRule type="cellIs" dxfId="18" priority="3" operator="equal">
      <formula>$J$1</formula>
    </cfRule>
  </conditionalFormatting>
  <conditionalFormatting sqref="AX4:AX73">
    <cfRule type="cellIs" dxfId="17" priority="2" operator="equal">
      <formula>$I$65</formula>
    </cfRule>
  </conditionalFormatting>
  <conditionalFormatting sqref="AY4:AY63">
    <cfRule type="cellIs" dxfId="16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T101"/>
  <sheetViews>
    <sheetView topLeftCell="A73" workbookViewId="0">
      <selection activeCell="L169" sqref="L169"/>
    </sheetView>
  </sheetViews>
  <sheetFormatPr defaultRowHeight="14.4" x14ac:dyDescent="0.3"/>
  <cols>
    <col min="1" max="1" width="38" customWidth="1"/>
    <col min="2" max="2" width="12.33203125" customWidth="1"/>
    <col min="10" max="11" width="9.33203125" customWidth="1"/>
  </cols>
  <sheetData>
    <row r="1" spans="1:20" ht="23.4" x14ac:dyDescent="0.3">
      <c r="A1" s="185" t="s">
        <v>11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20" ht="24" thickBot="1" x14ac:dyDescent="0.5">
      <c r="A2" s="184" t="s">
        <v>160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</row>
    <row r="3" spans="1:20" ht="15" thickBot="1" x14ac:dyDescent="0.35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186" t="s">
        <v>539</v>
      </c>
      <c r="P3" s="186"/>
      <c r="Q3" s="186"/>
      <c r="R3" s="186"/>
      <c r="S3" s="186"/>
      <c r="T3" s="186"/>
    </row>
    <row r="4" spans="1:20" ht="15" thickBot="1" x14ac:dyDescent="0.35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187"/>
      <c r="P4" s="187"/>
      <c r="Q4" s="187"/>
      <c r="R4" s="132" t="s">
        <v>541</v>
      </c>
      <c r="S4" s="132" t="s">
        <v>542</v>
      </c>
      <c r="T4" s="132" t="s">
        <v>430</v>
      </c>
    </row>
    <row r="5" spans="1:20" ht="15" thickBot="1" x14ac:dyDescent="0.35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188" t="s">
        <v>160</v>
      </c>
      <c r="P5" s="188"/>
      <c r="Q5" s="188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" thickBot="1" x14ac:dyDescent="0.35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188" t="s">
        <v>41</v>
      </c>
      <c r="P6" s="188"/>
      <c r="Q6" s="188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" thickBot="1" x14ac:dyDescent="0.35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188" t="s">
        <v>59</v>
      </c>
      <c r="P7" s="188"/>
      <c r="Q7" s="188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" thickBot="1" x14ac:dyDescent="0.35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189" t="s">
        <v>540</v>
      </c>
      <c r="P8" s="189"/>
      <c r="Q8" s="189"/>
      <c r="R8" s="193">
        <f>SUM(R5:R7)</f>
        <v>38633.611499999999</v>
      </c>
      <c r="S8" s="193">
        <f>SUM(S5:S7)</f>
        <v>5763.8469070000001</v>
      </c>
      <c r="T8" s="193">
        <f>T5+T6+T7</f>
        <v>44397.458406999998</v>
      </c>
    </row>
    <row r="9" spans="1:20" ht="15" thickBot="1" x14ac:dyDescent="0.35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189"/>
      <c r="P9" s="189"/>
      <c r="Q9" s="189"/>
      <c r="R9" s="194"/>
      <c r="S9" s="194"/>
      <c r="T9" s="194"/>
    </row>
    <row r="10" spans="1:20" ht="15" thickBot="1" x14ac:dyDescent="0.35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" thickBot="1" x14ac:dyDescent="0.35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" thickBot="1" x14ac:dyDescent="0.35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" thickBot="1" x14ac:dyDescent="0.35">
      <c r="A13" s="151" t="s">
        <v>64</v>
      </c>
      <c r="B13" s="152" t="s">
        <v>48</v>
      </c>
      <c r="C13" s="152">
        <v>2.8721999999999999</v>
      </c>
      <c r="D13" s="152">
        <v>34.5</v>
      </c>
      <c r="E13" s="152">
        <v>28</v>
      </c>
      <c r="F13" s="152">
        <f>References!E14*References!F14</f>
        <v>2.75</v>
      </c>
      <c r="G13" s="152">
        <f t="shared" si="1"/>
        <v>685</v>
      </c>
      <c r="H13" s="152">
        <f t="shared" si="2"/>
        <v>0.82</v>
      </c>
      <c r="I13" s="152">
        <v>0.55000000000000004</v>
      </c>
      <c r="J13" s="152">
        <f t="shared" si="3"/>
        <v>849.57124999999996</v>
      </c>
      <c r="K13" s="153">
        <f t="shared" si="0"/>
        <v>51.340574999999994</v>
      </c>
    </row>
    <row r="14" spans="1:20" ht="15" thickBot="1" x14ac:dyDescent="0.35">
      <c r="A14" s="151" t="s">
        <v>64</v>
      </c>
      <c r="B14" s="152" t="s">
        <v>48</v>
      </c>
      <c r="C14" s="152">
        <v>2.8210999999999999</v>
      </c>
      <c r="D14" s="152">
        <v>34.5</v>
      </c>
      <c r="E14" s="152">
        <v>28</v>
      </c>
      <c r="F14" s="152">
        <f>References!E15*References!F15</f>
        <v>9</v>
      </c>
      <c r="G14" s="152">
        <f t="shared" si="1"/>
        <v>685</v>
      </c>
      <c r="H14" s="152">
        <f t="shared" si="2"/>
        <v>0.82</v>
      </c>
      <c r="I14" s="152">
        <v>0.55000000000000004</v>
      </c>
      <c r="J14" s="152">
        <f t="shared" si="3"/>
        <v>2780.415</v>
      </c>
      <c r="K14" s="153">
        <f t="shared" si="0"/>
        <v>165.03435000000002</v>
      </c>
    </row>
    <row r="15" spans="1:20" ht="15" thickBot="1" x14ac:dyDescent="0.35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" thickBot="1" x14ac:dyDescent="0.35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" thickBot="1" x14ac:dyDescent="0.35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18" t="s">
        <v>99</v>
      </c>
      <c r="N17" s="118"/>
      <c r="O17" s="118">
        <v>2.8721999999999999</v>
      </c>
    </row>
    <row r="18" spans="1:15" ht="15" thickBot="1" x14ac:dyDescent="0.35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18" t="s">
        <v>100</v>
      </c>
      <c r="N18" s="118"/>
      <c r="O18" s="118">
        <v>2.8210999999999999</v>
      </c>
    </row>
    <row r="19" spans="1:15" ht="15" thickBot="1" x14ac:dyDescent="0.35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" thickBot="1" x14ac:dyDescent="0.35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" thickBot="1" x14ac:dyDescent="0.35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" thickBot="1" x14ac:dyDescent="0.35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" thickBot="1" x14ac:dyDescent="0.35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" thickBot="1" x14ac:dyDescent="0.35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" thickBot="1" x14ac:dyDescent="0.35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" thickBot="1" x14ac:dyDescent="0.35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" thickBot="1" x14ac:dyDescent="0.35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150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" thickBot="1" x14ac:dyDescent="0.35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" thickBot="1" x14ac:dyDescent="0.35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" thickBot="1" x14ac:dyDescent="0.35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" thickBot="1" x14ac:dyDescent="0.35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" thickBot="1" x14ac:dyDescent="0.35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" thickBot="1" x14ac:dyDescent="0.35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18" customFormat="1" ht="15" thickBot="1" x14ac:dyDescent="0.35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ht="15" thickBot="1" x14ac:dyDescent="0.35">
      <c r="H35" s="190" t="s">
        <v>122</v>
      </c>
      <c r="I35" s="190"/>
      <c r="J35" s="41">
        <f>SUM(J4:J33)</f>
        <v>14479.770250000001</v>
      </c>
      <c r="K35" s="41">
        <f>SUM(K4:K33)</f>
        <v>2026.92127</v>
      </c>
    </row>
    <row r="36" spans="1:11" ht="15" thickBot="1" x14ac:dyDescent="0.35">
      <c r="H36" s="190" t="s">
        <v>166</v>
      </c>
      <c r="I36" s="190"/>
      <c r="J36" s="191">
        <f>J35+K35</f>
        <v>16506.69152</v>
      </c>
      <c r="K36" s="192"/>
    </row>
    <row r="37" spans="1:11" x14ac:dyDescent="0.3">
      <c r="H37" s="3"/>
      <c r="I37" s="3"/>
      <c r="J37" s="3"/>
      <c r="K37" s="3"/>
    </row>
    <row r="38" spans="1:11" ht="23.4" x14ac:dyDescent="0.45">
      <c r="A38" s="184" t="s">
        <v>41</v>
      </c>
      <c r="B38" s="184"/>
      <c r="C38" s="184"/>
      <c r="D38" s="184"/>
      <c r="E38" s="184"/>
      <c r="F38" s="184"/>
      <c r="G38" s="184"/>
      <c r="H38" s="184"/>
      <c r="I38" s="184"/>
      <c r="J38" s="184"/>
      <c r="K38" s="184"/>
    </row>
    <row r="39" spans="1:11" ht="15" thickBot="1" x14ac:dyDescent="0.35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ht="15" thickBot="1" x14ac:dyDescent="0.35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" thickBot="1" x14ac:dyDescent="0.35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" thickBot="1" x14ac:dyDescent="0.35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" thickBot="1" x14ac:dyDescent="0.35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" thickBot="1" x14ac:dyDescent="0.35">
      <c r="A44" s="151" t="s">
        <v>64</v>
      </c>
      <c r="B44" s="152" t="s">
        <v>48</v>
      </c>
      <c r="C44" s="152">
        <v>2.8210999999999999</v>
      </c>
      <c r="D44" s="152">
        <v>34.5</v>
      </c>
      <c r="E44" s="152">
        <v>28</v>
      </c>
      <c r="F44" s="152">
        <v>2.7</v>
      </c>
      <c r="G44" s="152">
        <f t="shared" si="7"/>
        <v>685</v>
      </c>
      <c r="H44" s="152">
        <f t="shared" si="5"/>
        <v>0.82</v>
      </c>
      <c r="I44" s="152">
        <v>0.55000000000000004</v>
      </c>
      <c r="J44" s="152">
        <f t="shared" si="6"/>
        <v>834.12450000000001</v>
      </c>
      <c r="K44" s="153">
        <f t="shared" si="4"/>
        <v>49.510305000000002</v>
      </c>
    </row>
    <row r="45" spans="1:11" ht="15" thickBot="1" x14ac:dyDescent="0.35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" thickBot="1" x14ac:dyDescent="0.35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" thickBot="1" x14ac:dyDescent="0.35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" thickBot="1" x14ac:dyDescent="0.35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" thickBot="1" x14ac:dyDescent="0.35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" thickBot="1" x14ac:dyDescent="0.35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" thickBot="1" x14ac:dyDescent="0.35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" thickBot="1" x14ac:dyDescent="0.35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" thickBot="1" x14ac:dyDescent="0.35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" thickBot="1" x14ac:dyDescent="0.35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" thickBot="1" x14ac:dyDescent="0.35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" thickBot="1" x14ac:dyDescent="0.35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" thickBot="1" x14ac:dyDescent="0.35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" thickBot="1" x14ac:dyDescent="0.35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" thickBot="1" x14ac:dyDescent="0.35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" thickBot="1" x14ac:dyDescent="0.35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" thickBot="1" x14ac:dyDescent="0.35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" thickBot="1" x14ac:dyDescent="0.35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" thickBot="1" x14ac:dyDescent="0.35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" thickBot="1" x14ac:dyDescent="0.35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" thickBot="1" x14ac:dyDescent="0.35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" thickBot="1" x14ac:dyDescent="0.35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" thickBot="1" x14ac:dyDescent="0.35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" thickBot="1" x14ac:dyDescent="0.35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" thickBot="1" x14ac:dyDescent="0.35">
      <c r="H69" s="190" t="s">
        <v>122</v>
      </c>
      <c r="I69" s="190"/>
      <c r="J69" s="41">
        <f>SUM(J40:J68)</f>
        <v>12911.636650000004</v>
      </c>
      <c r="K69" s="41">
        <f>SUM(K40:K68)</f>
        <v>2185.8239429999999</v>
      </c>
    </row>
    <row r="70" spans="1:11" ht="15" thickBot="1" x14ac:dyDescent="0.35">
      <c r="H70" s="190" t="s">
        <v>167</v>
      </c>
      <c r="I70" s="190"/>
      <c r="J70" s="191">
        <f>J69+K69</f>
        <v>15097.460593000003</v>
      </c>
      <c r="K70" s="192"/>
    </row>
    <row r="72" spans="1:11" ht="23.4" x14ac:dyDescent="0.45">
      <c r="A72" s="184" t="s">
        <v>59</v>
      </c>
      <c r="B72" s="184"/>
      <c r="C72" s="184"/>
      <c r="D72" s="184"/>
      <c r="E72" s="184"/>
      <c r="F72" s="184"/>
      <c r="G72" s="184"/>
      <c r="H72" s="184"/>
      <c r="I72" s="184"/>
      <c r="J72" s="184"/>
      <c r="K72" s="184"/>
    </row>
    <row r="73" spans="1:11" ht="15" thickBot="1" x14ac:dyDescent="0.35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ht="15" thickBot="1" x14ac:dyDescent="0.35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>
        <f>_xlfn.IFS(B74="E",685,B74="N",120,B74="W",685,B74="S",230)</f>
        <v>120</v>
      </c>
      <c r="H74" s="34">
        <f>_xlfn.IFS(B74="E",0.8,B74="N",0.91,B74="W",0.82,B74="S",0.83)</f>
        <v>0.91</v>
      </c>
      <c r="I74" s="34">
        <v>0.55000000000000004</v>
      </c>
      <c r="J74" s="34">
        <f>G74*H74*F74*I74</f>
        <v>138.73860000000002</v>
      </c>
      <c r="K74" s="35">
        <f t="shared" ref="K74:K99" si="8">ABS((C74*F74)*(D74-E74))</f>
        <v>79.617383999999987</v>
      </c>
    </row>
    <row r="75" spans="1:11" ht="15" thickBot="1" x14ac:dyDescent="0.35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>
        <f t="shared" ref="G75:G98" si="9">_xlfn.IFS(B75="E",685,B75="N",120,B75="W",685,B75="S",230)</f>
        <v>120</v>
      </c>
      <c r="H75" s="34">
        <f t="shared" ref="H75:H98" si="10">_xlfn.IFS(B75="E",0.8,B75="N",0.91,B75="W",0.82,B75="S",0.83)</f>
        <v>0.91</v>
      </c>
      <c r="I75" s="34">
        <v>0.55000000000000004</v>
      </c>
      <c r="J75" s="34">
        <f t="shared" ref="J75:J99" si="11">G75*H75*F75*I75</f>
        <v>138.73860000000002</v>
      </c>
      <c r="K75" s="35">
        <f t="shared" si="8"/>
        <v>79.617383999999987</v>
      </c>
    </row>
    <row r="76" spans="1:11" ht="15" thickBot="1" x14ac:dyDescent="0.35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>
        <f t="shared" si="9"/>
        <v>120</v>
      </c>
      <c r="H76" s="34">
        <f t="shared" si="10"/>
        <v>0.91</v>
      </c>
      <c r="I76" s="34">
        <v>0.55000000000000004</v>
      </c>
      <c r="J76" s="34">
        <f t="shared" si="11"/>
        <v>138.73860000000002</v>
      </c>
      <c r="K76" s="35">
        <f t="shared" si="8"/>
        <v>79.617383999999987</v>
      </c>
    </row>
    <row r="77" spans="1:11" ht="15" thickBot="1" x14ac:dyDescent="0.35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>
        <f t="shared" si="9"/>
        <v>120</v>
      </c>
      <c r="H77" s="34">
        <f t="shared" si="10"/>
        <v>0.91</v>
      </c>
      <c r="I77" s="34">
        <v>0.55000000000000004</v>
      </c>
      <c r="J77" s="34">
        <f t="shared" si="11"/>
        <v>138.73860000000002</v>
      </c>
      <c r="K77" s="35">
        <f t="shared" si="8"/>
        <v>79.617383999999987</v>
      </c>
    </row>
    <row r="78" spans="1:11" ht="15" thickBot="1" x14ac:dyDescent="0.35">
      <c r="A78" s="151" t="s">
        <v>64</v>
      </c>
      <c r="B78" s="152" t="s">
        <v>48</v>
      </c>
      <c r="C78" s="152">
        <v>2.8721999999999999</v>
      </c>
      <c r="D78" s="152">
        <v>34.5</v>
      </c>
      <c r="E78" s="152">
        <v>28</v>
      </c>
      <c r="F78" s="152">
        <f>References!E45*References!F45</f>
        <v>2.7</v>
      </c>
      <c r="G78" s="155">
        <f t="shared" si="9"/>
        <v>685</v>
      </c>
      <c r="H78" s="155">
        <f t="shared" si="10"/>
        <v>0.82</v>
      </c>
      <c r="I78" s="155">
        <v>0.55000000000000004</v>
      </c>
      <c r="J78" s="155">
        <f t="shared" si="11"/>
        <v>834.12450000000001</v>
      </c>
      <c r="K78" s="165">
        <f t="shared" si="8"/>
        <v>50.407110000000003</v>
      </c>
    </row>
    <row r="79" spans="1:11" ht="15" thickBot="1" x14ac:dyDescent="0.35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>
        <f t="shared" si="9"/>
        <v>685</v>
      </c>
      <c r="H79" s="34">
        <f t="shared" si="10"/>
        <v>0.82</v>
      </c>
      <c r="I79" s="34">
        <v>0.55000000000000004</v>
      </c>
      <c r="J79" s="34">
        <f t="shared" si="11"/>
        <v>432.50899999999996</v>
      </c>
      <c r="K79" s="35">
        <f t="shared" si="8"/>
        <v>48.252959999999995</v>
      </c>
    </row>
    <row r="80" spans="1:11" ht="15" thickBot="1" x14ac:dyDescent="0.35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>
        <f t="shared" si="9"/>
        <v>685</v>
      </c>
      <c r="H80" s="34">
        <f t="shared" si="10"/>
        <v>0.82</v>
      </c>
      <c r="I80" s="34">
        <v>0.55000000000000004</v>
      </c>
      <c r="J80" s="34">
        <f t="shared" si="11"/>
        <v>432.50899999999996</v>
      </c>
      <c r="K80" s="35">
        <f t="shared" si="8"/>
        <v>48.252959999999995</v>
      </c>
    </row>
    <row r="81" spans="1:11" ht="15" thickBot="1" x14ac:dyDescent="0.35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>
        <f t="shared" si="9"/>
        <v>685</v>
      </c>
      <c r="H81" s="34">
        <f t="shared" si="10"/>
        <v>0.82</v>
      </c>
      <c r="I81" s="34">
        <v>0.55000000000000004</v>
      </c>
      <c r="J81" s="34">
        <f t="shared" si="11"/>
        <v>432.50899999999996</v>
      </c>
      <c r="K81" s="35">
        <f t="shared" si="8"/>
        <v>48.252959999999995</v>
      </c>
    </row>
    <row r="82" spans="1:11" ht="15" thickBot="1" x14ac:dyDescent="0.35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>
        <f t="shared" si="9"/>
        <v>685</v>
      </c>
      <c r="H82" s="34">
        <f t="shared" si="10"/>
        <v>0.82</v>
      </c>
      <c r="I82" s="34">
        <v>0.55000000000000004</v>
      </c>
      <c r="J82" s="34">
        <f t="shared" si="11"/>
        <v>432.50899999999996</v>
      </c>
      <c r="K82" s="35">
        <f t="shared" si="8"/>
        <v>48.252959999999995</v>
      </c>
    </row>
    <row r="83" spans="1:11" ht="15" thickBot="1" x14ac:dyDescent="0.35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>
        <f t="shared" si="9"/>
        <v>685</v>
      </c>
      <c r="H83" s="34">
        <f t="shared" si="10"/>
        <v>0.82</v>
      </c>
      <c r="I83" s="34">
        <v>0.55000000000000004</v>
      </c>
      <c r="J83" s="34">
        <f t="shared" si="11"/>
        <v>432.50899999999996</v>
      </c>
      <c r="K83" s="35">
        <f t="shared" si="8"/>
        <v>48.252959999999995</v>
      </c>
    </row>
    <row r="84" spans="1:11" ht="15" thickBot="1" x14ac:dyDescent="0.35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>
        <f t="shared" si="9"/>
        <v>685</v>
      </c>
      <c r="H84" s="34">
        <f t="shared" si="10"/>
        <v>0.82</v>
      </c>
      <c r="I84" s="34">
        <v>0.55000000000000004</v>
      </c>
      <c r="J84" s="34">
        <f t="shared" si="11"/>
        <v>1034.9322499999998</v>
      </c>
      <c r="K84" s="35">
        <f t="shared" si="8"/>
        <v>113.40822</v>
      </c>
    </row>
    <row r="85" spans="1:11" ht="15" thickBot="1" x14ac:dyDescent="0.35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>
        <f t="shared" si="9"/>
        <v>685</v>
      </c>
      <c r="H85" s="34">
        <f t="shared" si="10"/>
        <v>0.82</v>
      </c>
      <c r="I85" s="34">
        <v>0.55000000000000004</v>
      </c>
      <c r="J85" s="34">
        <f t="shared" si="11"/>
        <v>741.44399999999985</v>
      </c>
      <c r="K85" s="35">
        <f t="shared" si="8"/>
        <v>82.719359999999995</v>
      </c>
    </row>
    <row r="86" spans="1:11" ht="15" thickBot="1" x14ac:dyDescent="0.35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>
        <f t="shared" si="9"/>
        <v>685</v>
      </c>
      <c r="H86" s="34">
        <f t="shared" si="10"/>
        <v>0.82</v>
      </c>
      <c r="I86" s="34">
        <v>0.55000000000000004</v>
      </c>
      <c r="J86" s="34">
        <f t="shared" si="11"/>
        <v>741.44399999999985</v>
      </c>
      <c r="K86" s="35">
        <f t="shared" si="8"/>
        <v>82.719359999999995</v>
      </c>
    </row>
    <row r="87" spans="1:11" ht="15" thickBot="1" x14ac:dyDescent="0.35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>
        <f t="shared" si="9"/>
        <v>685</v>
      </c>
      <c r="H87" s="34">
        <f t="shared" si="10"/>
        <v>0.82</v>
      </c>
      <c r="I87" s="34">
        <v>0.55000000000000004</v>
      </c>
      <c r="J87" s="34">
        <f t="shared" si="11"/>
        <v>741.44399999999985</v>
      </c>
      <c r="K87" s="35">
        <f t="shared" si="8"/>
        <v>82.719359999999995</v>
      </c>
    </row>
    <row r="88" spans="1:11" ht="15" thickBot="1" x14ac:dyDescent="0.35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>
        <f t="shared" si="9"/>
        <v>685</v>
      </c>
      <c r="H88" s="34">
        <f t="shared" si="10"/>
        <v>0.82</v>
      </c>
      <c r="I88" s="34">
        <v>0.55000000000000004</v>
      </c>
      <c r="J88" s="34">
        <f t="shared" si="11"/>
        <v>688.92504999999994</v>
      </c>
      <c r="K88" s="35">
        <f t="shared" si="8"/>
        <v>76.860071999999988</v>
      </c>
    </row>
    <row r="89" spans="1:11" ht="15" thickBot="1" x14ac:dyDescent="0.35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>
        <f t="shared" si="9"/>
        <v>685</v>
      </c>
      <c r="H89" s="34">
        <f t="shared" si="10"/>
        <v>0.82</v>
      </c>
      <c r="I89" s="34">
        <v>0.55000000000000004</v>
      </c>
      <c r="J89" s="34">
        <f t="shared" si="11"/>
        <v>111.21659999999999</v>
      </c>
      <c r="K89" s="35">
        <f t="shared" si="8"/>
        <v>10.856916</v>
      </c>
    </row>
    <row r="90" spans="1:11" ht="15" thickBot="1" x14ac:dyDescent="0.35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>
        <f t="shared" si="9"/>
        <v>230</v>
      </c>
      <c r="H90" s="34">
        <f t="shared" si="10"/>
        <v>0.83</v>
      </c>
      <c r="I90" s="34">
        <v>0.55000000000000004</v>
      </c>
      <c r="J90" s="34">
        <f t="shared" si="11"/>
        <v>251.98799999999997</v>
      </c>
      <c r="K90" s="35">
        <f t="shared" si="8"/>
        <v>82.719359999999995</v>
      </c>
    </row>
    <row r="91" spans="1:11" ht="15" thickBot="1" x14ac:dyDescent="0.35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>
        <f t="shared" si="9"/>
        <v>230</v>
      </c>
      <c r="H91" s="34">
        <f t="shared" si="10"/>
        <v>0.83</v>
      </c>
      <c r="I91" s="34">
        <v>0.55000000000000004</v>
      </c>
      <c r="J91" s="34">
        <f t="shared" si="11"/>
        <v>75.596399999999988</v>
      </c>
      <c r="K91" s="35">
        <f t="shared" si="8"/>
        <v>21.713832</v>
      </c>
    </row>
    <row r="92" spans="1:11" ht="15" thickBot="1" x14ac:dyDescent="0.35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>
        <f t="shared" si="9"/>
        <v>230</v>
      </c>
      <c r="H92" s="34">
        <f t="shared" si="10"/>
        <v>0.83</v>
      </c>
      <c r="I92" s="34">
        <v>0.55000000000000004</v>
      </c>
      <c r="J92" s="34">
        <f t="shared" si="11"/>
        <v>75.596399999999988</v>
      </c>
      <c r="K92" s="35">
        <f t="shared" si="8"/>
        <v>21.713832</v>
      </c>
    </row>
    <row r="93" spans="1:11" ht="15" thickBot="1" x14ac:dyDescent="0.35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>
        <f t="shared" si="9"/>
        <v>685</v>
      </c>
      <c r="H93" s="34">
        <f t="shared" si="10"/>
        <v>0.8</v>
      </c>
      <c r="I93" s="34">
        <v>0.55000000000000004</v>
      </c>
      <c r="J93" s="34">
        <f t="shared" si="11"/>
        <v>1009.69</v>
      </c>
      <c r="K93" s="35">
        <f t="shared" si="8"/>
        <v>113.40822</v>
      </c>
    </row>
    <row r="94" spans="1:11" ht="15" thickBot="1" x14ac:dyDescent="0.35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>
        <f t="shared" si="9"/>
        <v>685</v>
      </c>
      <c r="H94" s="34">
        <f t="shared" si="10"/>
        <v>0.8</v>
      </c>
      <c r="I94" s="34">
        <v>0.55000000000000004</v>
      </c>
      <c r="J94" s="34">
        <f t="shared" si="11"/>
        <v>421.96</v>
      </c>
      <c r="K94" s="35">
        <f t="shared" si="8"/>
        <v>48.252959999999995</v>
      </c>
    </row>
    <row r="95" spans="1:11" ht="15" thickBot="1" x14ac:dyDescent="0.35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>
        <f t="shared" si="9"/>
        <v>685</v>
      </c>
      <c r="H95" s="34">
        <f t="shared" si="10"/>
        <v>0.8</v>
      </c>
      <c r="I95" s="34">
        <v>0.55000000000000004</v>
      </c>
      <c r="J95" s="34">
        <f t="shared" si="11"/>
        <v>421.96</v>
      </c>
      <c r="K95" s="35">
        <f t="shared" si="8"/>
        <v>48.252959999999995</v>
      </c>
    </row>
    <row r="96" spans="1:11" ht="15" thickBot="1" x14ac:dyDescent="0.35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>
        <f t="shared" si="9"/>
        <v>685</v>
      </c>
      <c r="H96" s="34">
        <f t="shared" si="10"/>
        <v>0.8</v>
      </c>
      <c r="I96" s="34">
        <v>0.55000000000000004</v>
      </c>
      <c r="J96" s="34">
        <f t="shared" si="11"/>
        <v>421.96</v>
      </c>
      <c r="K96" s="35">
        <f t="shared" si="8"/>
        <v>48.252959999999995</v>
      </c>
    </row>
    <row r="97" spans="1:11" ht="15" thickBot="1" x14ac:dyDescent="0.35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>
        <f t="shared" si="9"/>
        <v>685</v>
      </c>
      <c r="H97" s="34">
        <f t="shared" si="10"/>
        <v>0.8</v>
      </c>
      <c r="I97" s="34">
        <v>0.55000000000000004</v>
      </c>
      <c r="J97" s="34">
        <f t="shared" si="11"/>
        <v>421.96</v>
      </c>
      <c r="K97" s="35">
        <f t="shared" si="8"/>
        <v>48.252959999999995</v>
      </c>
    </row>
    <row r="98" spans="1:11" ht="15" thickBot="1" x14ac:dyDescent="0.35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>
        <f t="shared" si="9"/>
        <v>685</v>
      </c>
      <c r="H98" s="34">
        <f t="shared" si="10"/>
        <v>0.8</v>
      </c>
      <c r="I98" s="34">
        <v>0.55000000000000004</v>
      </c>
      <c r="J98" s="34">
        <f>G98*H98*F98*I98</f>
        <v>421.96</v>
      </c>
      <c r="K98" s="35">
        <f t="shared" si="8"/>
        <v>48.252959999999995</v>
      </c>
    </row>
    <row r="99" spans="1:11" ht="15" thickBot="1" x14ac:dyDescent="0.35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>
        <f t="shared" ref="G99" si="12">_xlfn.IFS(B99="E",685,B99="N",120,B99="W",685,B99="S",230)</f>
        <v>685</v>
      </c>
      <c r="H99" s="36">
        <f t="shared" ref="H99" si="13">_xlfn.IFS(B99="E",0.8,B99="N",0.91,B99="W",0.82,B99="S",0.83)</f>
        <v>0.8</v>
      </c>
      <c r="I99" s="36">
        <v>0.55000000000000004</v>
      </c>
      <c r="J99" s="36">
        <f t="shared" si="11"/>
        <v>108.504</v>
      </c>
      <c r="K99" s="37">
        <f t="shared" si="8"/>
        <v>10.856916</v>
      </c>
    </row>
    <row r="100" spans="1:11" ht="15" thickBot="1" x14ac:dyDescent="0.35">
      <c r="H100" s="190" t="s">
        <v>122</v>
      </c>
      <c r="I100" s="190"/>
      <c r="J100" s="41">
        <f>SUM(J74:J99)</f>
        <v>11242.204599999995</v>
      </c>
      <c r="K100" s="41">
        <f>SUM(K74:K99)</f>
        <v>1551.101694</v>
      </c>
    </row>
    <row r="101" spans="1:11" ht="15" thickBot="1" x14ac:dyDescent="0.35">
      <c r="H101" s="190" t="s">
        <v>167</v>
      </c>
      <c r="I101" s="190"/>
      <c r="J101" s="191">
        <f>J100+K100</f>
        <v>12793.306293999995</v>
      </c>
      <c r="K101" s="192"/>
    </row>
  </sheetData>
  <mergeCells count="22">
    <mergeCell ref="O6:Q6"/>
    <mergeCell ref="O7:Q7"/>
    <mergeCell ref="O8:Q9"/>
    <mergeCell ref="O3:T3"/>
    <mergeCell ref="O4:Q4"/>
    <mergeCell ref="O5:Q5"/>
    <mergeCell ref="T8:T9"/>
    <mergeCell ref="S8:S9"/>
    <mergeCell ref="R8:R9"/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</mergeCells>
  <conditionalFormatting sqref="A73:K99">
    <cfRule type="cellIs" dxfId="30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S238"/>
  <sheetViews>
    <sheetView topLeftCell="A142" zoomScale="85" zoomScaleNormal="85" workbookViewId="0">
      <selection activeCell="L169" sqref="L169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6.44140625" customWidth="1"/>
    <col min="10" max="10" width="21.109375" customWidth="1"/>
    <col min="11" max="13" width="9.1093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19" ht="23.4" x14ac:dyDescent="0.3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26"/>
      <c r="K1" s="126"/>
    </row>
    <row r="2" spans="1:19" ht="24" thickBot="1" x14ac:dyDescent="0.5">
      <c r="A2" s="184" t="s">
        <v>160</v>
      </c>
      <c r="B2" s="184"/>
      <c r="C2" s="184"/>
      <c r="D2" s="184"/>
      <c r="E2" s="184"/>
      <c r="F2" s="184"/>
      <c r="G2" s="184"/>
      <c r="H2" s="184"/>
      <c r="I2" s="184"/>
      <c r="J2" s="106"/>
      <c r="K2" s="106"/>
    </row>
    <row r="3" spans="1:19" ht="15" thickBot="1" x14ac:dyDescent="0.35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L3" s="186" t="s">
        <v>539</v>
      </c>
      <c r="M3" s="186"/>
      <c r="N3" s="186"/>
      <c r="O3" s="186"/>
      <c r="P3" s="186"/>
      <c r="Q3" s="186"/>
    </row>
    <row r="4" spans="1:19" ht="15" thickBot="1" x14ac:dyDescent="0.35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187"/>
      <c r="M4" s="187"/>
      <c r="N4" s="187"/>
      <c r="O4" s="132" t="s">
        <v>541</v>
      </c>
      <c r="P4" s="132" t="s">
        <v>542</v>
      </c>
      <c r="Q4" s="132" t="s">
        <v>430</v>
      </c>
    </row>
    <row r="5" spans="1:19" ht="15" thickBot="1" x14ac:dyDescent="0.35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188" t="s">
        <v>160</v>
      </c>
      <c r="M5" s="188"/>
      <c r="N5" s="188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" thickBot="1" x14ac:dyDescent="0.35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188" t="s">
        <v>41</v>
      </c>
      <c r="M6" s="188"/>
      <c r="N6" s="188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" thickBot="1" x14ac:dyDescent="0.35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188" t="s">
        <v>59</v>
      </c>
      <c r="M7" s="188"/>
      <c r="N7" s="188"/>
      <c r="O7" s="6">
        <f>H237</f>
        <v>5262.10371996711</v>
      </c>
      <c r="P7" s="6">
        <f>I237</f>
        <v>11319.931684291781</v>
      </c>
      <c r="Q7" s="7">
        <f>O7+P7</f>
        <v>16582.035404258892</v>
      </c>
    </row>
    <row r="8" spans="1:19" ht="15" thickBot="1" x14ac:dyDescent="0.35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189" t="s">
        <v>540</v>
      </c>
      <c r="M8" s="189"/>
      <c r="N8" s="189"/>
      <c r="O8" s="193">
        <f>SUM(O5:O7)</f>
        <v>17243.796313248808</v>
      </c>
      <c r="P8" s="193">
        <f>SUM(P5:P7)</f>
        <v>36486.734712379381</v>
      </c>
      <c r="Q8" s="193">
        <f>Q5+Q6+Q7</f>
        <v>53730.531025628181</v>
      </c>
    </row>
    <row r="9" spans="1:19" ht="15" thickBot="1" x14ac:dyDescent="0.35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189"/>
      <c r="M9" s="189"/>
      <c r="N9" s="189"/>
      <c r="O9" s="194"/>
      <c r="P9" s="194"/>
      <c r="Q9" s="194"/>
      <c r="R9" s="1"/>
      <c r="S9" s="1"/>
    </row>
    <row r="10" spans="1:19" ht="15" thickBot="1" x14ac:dyDescent="0.35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" thickBot="1" x14ac:dyDescent="0.35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" thickBot="1" x14ac:dyDescent="0.35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" thickBot="1" x14ac:dyDescent="0.35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4"/>
      <c r="N13" s="44"/>
    </row>
    <row r="14" spans="1:19" ht="15" thickBot="1" x14ac:dyDescent="0.35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" thickBot="1" x14ac:dyDescent="0.35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" thickBot="1" x14ac:dyDescent="0.35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" thickBot="1" x14ac:dyDescent="0.35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" thickBot="1" x14ac:dyDescent="0.35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" thickBot="1" x14ac:dyDescent="0.35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" thickBot="1" x14ac:dyDescent="0.35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" thickBot="1" x14ac:dyDescent="0.35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" thickBot="1" x14ac:dyDescent="0.35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195"/>
      <c r="Q22" s="195"/>
    </row>
    <row r="23" spans="1:19" ht="15" thickBot="1" x14ac:dyDescent="0.35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" thickBot="1" x14ac:dyDescent="0.35">
      <c r="A24" s="154" t="s">
        <v>28</v>
      </c>
      <c r="B24" s="152">
        <f>References!Z25*4</f>
        <v>2624.7159999999999</v>
      </c>
      <c r="C24" s="152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K24">
        <f>Table9[[#This Row],[Volume]]/4</f>
        <v>656.17899999999997</v>
      </c>
      <c r="P24" s="2"/>
      <c r="Q24" s="1"/>
      <c r="R24" s="1"/>
      <c r="S24" s="1"/>
    </row>
    <row r="25" spans="1:19" ht="15" thickBot="1" x14ac:dyDescent="0.35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" thickBot="1" x14ac:dyDescent="0.35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" thickBot="1" x14ac:dyDescent="0.35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" thickBot="1" x14ac:dyDescent="0.35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" thickBot="1" x14ac:dyDescent="0.35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" thickBot="1" x14ac:dyDescent="0.35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" thickBot="1" x14ac:dyDescent="0.35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" thickBot="1" x14ac:dyDescent="0.35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" thickBot="1" x14ac:dyDescent="0.35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" thickBot="1" x14ac:dyDescent="0.35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ht="15" thickBot="1" x14ac:dyDescent="0.35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ht="15" thickBot="1" x14ac:dyDescent="0.35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" thickBot="1" x14ac:dyDescent="0.35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" thickBot="1" x14ac:dyDescent="0.35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" thickBot="1" x14ac:dyDescent="0.35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" thickBot="1" x14ac:dyDescent="0.35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" thickBot="1" x14ac:dyDescent="0.35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" thickBot="1" x14ac:dyDescent="0.35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" thickBot="1" x14ac:dyDescent="0.35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" thickBot="1" x14ac:dyDescent="0.35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" thickBot="1" x14ac:dyDescent="0.35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" thickBot="1" x14ac:dyDescent="0.35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" thickBot="1" x14ac:dyDescent="0.35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" thickBot="1" x14ac:dyDescent="0.35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" thickBot="1" x14ac:dyDescent="0.35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" thickBot="1" x14ac:dyDescent="0.35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" thickBot="1" x14ac:dyDescent="0.35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" thickBot="1" x14ac:dyDescent="0.35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" thickBot="1" x14ac:dyDescent="0.35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" thickBot="1" x14ac:dyDescent="0.35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" thickBot="1" x14ac:dyDescent="0.35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" thickBot="1" x14ac:dyDescent="0.35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" thickBot="1" x14ac:dyDescent="0.35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" thickBot="1" x14ac:dyDescent="0.35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" thickBot="1" x14ac:dyDescent="0.35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" thickBot="1" x14ac:dyDescent="0.35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" thickBot="1" x14ac:dyDescent="0.35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" thickBot="1" x14ac:dyDescent="0.35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" thickBot="1" x14ac:dyDescent="0.35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" thickBot="1" x14ac:dyDescent="0.35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" thickBot="1" x14ac:dyDescent="0.35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" thickBot="1" x14ac:dyDescent="0.35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" thickBot="1" x14ac:dyDescent="0.35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18" customFormat="1" ht="15" thickBot="1" x14ac:dyDescent="0.35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18" customFormat="1" ht="15" thickBot="1" x14ac:dyDescent="0.35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" thickBot="1" x14ac:dyDescent="0.35">
      <c r="F73" s="190" t="s">
        <v>333</v>
      </c>
      <c r="G73" s="190"/>
      <c r="H73" s="41">
        <f>SUM(H4:H72)</f>
        <v>6335.2156108951121</v>
      </c>
      <c r="I73" s="146">
        <f>SUM(I4:I72)</f>
        <v>13463.221743267075</v>
      </c>
    </row>
    <row r="74" spans="1:9" ht="15" thickBot="1" x14ac:dyDescent="0.35">
      <c r="F74" s="190" t="s">
        <v>161</v>
      </c>
      <c r="G74" s="190"/>
      <c r="H74" s="191">
        <f>H73+I73</f>
        <v>19798.437354162186</v>
      </c>
      <c r="I74" s="192"/>
    </row>
    <row r="76" spans="1:9" ht="23.4" x14ac:dyDescent="0.45">
      <c r="A76" s="196" t="s">
        <v>41</v>
      </c>
      <c r="B76" s="196"/>
      <c r="C76" s="196"/>
      <c r="D76" s="196"/>
      <c r="E76" s="196"/>
      <c r="F76" s="196"/>
      <c r="G76" s="196"/>
      <c r="H76" s="196"/>
      <c r="I76" s="196"/>
    </row>
    <row r="77" spans="1:9" ht="15" thickBot="1" x14ac:dyDescent="0.35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9" ht="15" thickBot="1" x14ac:dyDescent="0.35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9" ht="15" thickBot="1" x14ac:dyDescent="0.35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9" ht="15" thickBot="1" x14ac:dyDescent="0.35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11" ht="15" thickBot="1" x14ac:dyDescent="0.35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11" ht="15" thickBot="1" x14ac:dyDescent="0.35">
      <c r="A82" s="152" t="s">
        <v>230</v>
      </c>
      <c r="B82" s="152">
        <f>References!AB8*4</f>
        <v>881.32960000000003</v>
      </c>
      <c r="C82" s="152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  <c r="K82">
        <f>(Table8[[#This Row],[Volume]]+B83+B84+B85+B86+B100)/4</f>
        <v>707.74473</v>
      </c>
    </row>
    <row r="83" spans="1:11" ht="15" thickBot="1" x14ac:dyDescent="0.35">
      <c r="A83" s="152" t="s">
        <v>231</v>
      </c>
      <c r="B83" s="152">
        <f>References!AB9*4</f>
        <v>573.16452000000004</v>
      </c>
      <c r="C83" s="152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11" ht="15" thickBot="1" x14ac:dyDescent="0.35">
      <c r="A84" s="152" t="s">
        <v>232</v>
      </c>
      <c r="B84" s="152">
        <f>References!AB10*4</f>
        <v>315.02960000000002</v>
      </c>
      <c r="C84" s="152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11" ht="15" thickBot="1" x14ac:dyDescent="0.35">
      <c r="A85" s="152" t="s">
        <v>233</v>
      </c>
      <c r="B85" s="152">
        <f>References!AB11*4</f>
        <v>398.61880000000002</v>
      </c>
      <c r="C85" s="152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11" ht="15" thickBot="1" x14ac:dyDescent="0.35">
      <c r="A86" s="152" t="s">
        <v>234</v>
      </c>
      <c r="B86" s="152">
        <f>References!AB12*4</f>
        <v>571.5204</v>
      </c>
      <c r="C86" s="152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11" ht="15" thickBot="1" x14ac:dyDescent="0.35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11" ht="15" thickBot="1" x14ac:dyDescent="0.35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11" ht="15" thickBot="1" x14ac:dyDescent="0.35">
      <c r="A89" s="6" t="s">
        <v>125</v>
      </c>
      <c r="B89" s="6">
        <f>References!AB15*4</f>
        <v>136.47</v>
      </c>
      <c r="C89" s="6">
        <f>((0.15+0.01*3+0.007*(D89-E89))*B89)/3.6</f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11" ht="15" thickBot="1" x14ac:dyDescent="0.35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11" ht="15" thickBot="1" x14ac:dyDescent="0.35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11" ht="15" thickBot="1" x14ac:dyDescent="0.35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11" ht="15" thickBot="1" x14ac:dyDescent="0.35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11" ht="15" thickBot="1" x14ac:dyDescent="0.35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11" ht="15" thickBot="1" x14ac:dyDescent="0.35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11" ht="15" thickBot="1" x14ac:dyDescent="0.35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" thickBot="1" x14ac:dyDescent="0.35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" thickBot="1" x14ac:dyDescent="0.35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" thickBot="1" x14ac:dyDescent="0.35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" thickBot="1" x14ac:dyDescent="0.35">
      <c r="A100" s="152" t="s">
        <v>64</v>
      </c>
      <c r="B100" s="152">
        <f>References!AB26*4</f>
        <v>91.316000000000003</v>
      </c>
      <c r="C100" s="152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" thickBot="1" x14ac:dyDescent="0.35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" thickBot="1" x14ac:dyDescent="0.35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" thickBot="1" x14ac:dyDescent="0.35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" thickBot="1" x14ac:dyDescent="0.35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" thickBot="1" x14ac:dyDescent="0.35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" thickBot="1" x14ac:dyDescent="0.35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" thickBot="1" x14ac:dyDescent="0.35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" thickBot="1" x14ac:dyDescent="0.35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" thickBot="1" x14ac:dyDescent="0.35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" thickBot="1" x14ac:dyDescent="0.35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" thickBot="1" x14ac:dyDescent="0.35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" thickBot="1" x14ac:dyDescent="0.35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" thickBot="1" x14ac:dyDescent="0.35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" thickBot="1" x14ac:dyDescent="0.35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" thickBot="1" x14ac:dyDescent="0.35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" thickBot="1" x14ac:dyDescent="0.35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" thickBot="1" x14ac:dyDescent="0.35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" thickBot="1" x14ac:dyDescent="0.35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" thickBot="1" x14ac:dyDescent="0.35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" thickBot="1" x14ac:dyDescent="0.35">
      <c r="A120" s="6" t="s">
        <v>186</v>
      </c>
      <c r="B120" s="6">
        <f>References!AB46*4</f>
        <v>55.004800000000003</v>
      </c>
      <c r="C120" s="6">
        <f>((0.15+0.01*3+0.007*(D120-E120))*B120)/3.6</f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" thickBot="1" x14ac:dyDescent="0.35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" thickBot="1" x14ac:dyDescent="0.35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" thickBot="1" x14ac:dyDescent="0.35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" thickBot="1" x14ac:dyDescent="0.35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" thickBot="1" x14ac:dyDescent="0.35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" thickBot="1" x14ac:dyDescent="0.35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" thickBot="1" x14ac:dyDescent="0.35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" thickBot="1" x14ac:dyDescent="0.35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11" ht="15" thickBot="1" x14ac:dyDescent="0.35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11" ht="15" thickBot="1" x14ac:dyDescent="0.35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11" ht="15" thickBot="1" x14ac:dyDescent="0.35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11" ht="15" thickBot="1" x14ac:dyDescent="0.35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11" ht="15" thickBot="1" x14ac:dyDescent="0.35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  <c r="K133">
        <f>Table8[[#This Row],[L/s]]+C142</f>
        <v>13.618381333333332</v>
      </c>
    </row>
    <row r="134" spans="1:11" ht="15" thickBot="1" x14ac:dyDescent="0.35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11" ht="15" thickBot="1" x14ac:dyDescent="0.35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11" ht="15" thickBot="1" x14ac:dyDescent="0.35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11" ht="15" thickBot="1" x14ac:dyDescent="0.35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11" ht="15" thickBot="1" x14ac:dyDescent="0.35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11" ht="15" thickBot="1" x14ac:dyDescent="0.35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11" ht="15" thickBot="1" x14ac:dyDescent="0.35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11" ht="15" thickBot="1" x14ac:dyDescent="0.35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11" ht="15" thickBot="1" x14ac:dyDescent="0.35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11" ht="15" thickBot="1" x14ac:dyDescent="0.35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11" ht="15" thickBot="1" x14ac:dyDescent="0.35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" thickBot="1" x14ac:dyDescent="0.35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" thickBot="1" x14ac:dyDescent="0.35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" thickBot="1" x14ac:dyDescent="0.35">
      <c r="A147" s="6" t="s">
        <v>201</v>
      </c>
      <c r="B147" s="6">
        <f>References!AB73*4</f>
        <v>22.764800000000001</v>
      </c>
      <c r="C147" s="6">
        <f>((0.15+0.01*3+0.007*(D147-E147))*B147)/3.6</f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" thickBot="1" x14ac:dyDescent="0.35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" thickBot="1" x14ac:dyDescent="0.35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" thickBot="1" x14ac:dyDescent="0.35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" thickBot="1" x14ac:dyDescent="0.35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" thickBot="1" x14ac:dyDescent="0.35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" thickBot="1" x14ac:dyDescent="0.35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" thickBot="1" x14ac:dyDescent="0.35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" thickBot="1" x14ac:dyDescent="0.35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" thickBot="1" x14ac:dyDescent="0.35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" thickBot="1" x14ac:dyDescent="0.35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" thickBot="1" x14ac:dyDescent="0.35">
      <c r="F158" s="197" t="s">
        <v>122</v>
      </c>
      <c r="G158" s="197"/>
      <c r="H158" s="147">
        <f>SUM(H78:H157)</f>
        <v>5646.4769823865836</v>
      </c>
      <c r="I158" s="147">
        <f>SUM(I78:I157)</f>
        <v>11703.581284820526</v>
      </c>
    </row>
    <row r="159" spans="1:9" ht="15" thickBot="1" x14ac:dyDescent="0.35">
      <c r="F159" s="190" t="s">
        <v>167</v>
      </c>
      <c r="G159" s="190"/>
      <c r="H159" s="191">
        <f>I158+H158</f>
        <v>17350.05826720711</v>
      </c>
      <c r="I159" s="192"/>
    </row>
    <row r="161" spans="1:11" ht="23.4" x14ac:dyDescent="0.45">
      <c r="A161" s="184" t="s">
        <v>59</v>
      </c>
      <c r="B161" s="184"/>
      <c r="C161" s="184"/>
      <c r="D161" s="184"/>
      <c r="E161" s="184"/>
      <c r="F161" s="184"/>
      <c r="G161" s="184"/>
      <c r="H161" s="184"/>
      <c r="I161" s="184"/>
      <c r="J161" s="106"/>
      <c r="K161" s="106"/>
    </row>
    <row r="162" spans="1:11" ht="15" thickBot="1" x14ac:dyDescent="0.35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" thickBot="1" x14ac:dyDescent="0.35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1" ht="15" thickBot="1" x14ac:dyDescent="0.35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1" ht="15" thickBot="1" x14ac:dyDescent="0.35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1" ht="15" thickBot="1" x14ac:dyDescent="0.35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1" ht="15" thickBot="1" x14ac:dyDescent="0.35">
      <c r="A167" s="151" t="s">
        <v>302</v>
      </c>
      <c r="B167" s="152">
        <f>References!AE8*4</f>
        <v>149.63480000000001</v>
      </c>
      <c r="C167" s="152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1" ht="15" thickBot="1" x14ac:dyDescent="0.35">
      <c r="A168" s="151" t="s">
        <v>303</v>
      </c>
      <c r="B168" s="152">
        <f>References!AE9*4</f>
        <v>149.63480000000001</v>
      </c>
      <c r="C168" s="152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1" ht="15" thickBot="1" x14ac:dyDescent="0.35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1" ht="15" thickBot="1" x14ac:dyDescent="0.35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1" ht="15" thickBot="1" x14ac:dyDescent="0.35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1" ht="15" thickBot="1" x14ac:dyDescent="0.35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1" ht="15" thickBot="1" x14ac:dyDescent="0.35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</row>
    <row r="174" spans="1:11" ht="15" thickBot="1" x14ac:dyDescent="0.35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</row>
    <row r="175" spans="1:11" ht="15" thickBot="1" x14ac:dyDescent="0.35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1" ht="15" thickBot="1" x14ac:dyDescent="0.35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9" ht="15" thickBot="1" x14ac:dyDescent="0.35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</row>
    <row r="178" spans="1:9" ht="15" thickBot="1" x14ac:dyDescent="0.35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9" ht="15" thickBot="1" x14ac:dyDescent="0.35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9" ht="15" thickBot="1" x14ac:dyDescent="0.35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9" ht="15" thickBot="1" x14ac:dyDescent="0.35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9" ht="15" thickBot="1" x14ac:dyDescent="0.35">
      <c r="A182" s="151" t="s">
        <v>64</v>
      </c>
      <c r="B182" s="152">
        <f>References!AE23*4</f>
        <v>91.316000000000003</v>
      </c>
      <c r="C182" s="152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9" ht="15" thickBot="1" x14ac:dyDescent="0.35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9" ht="15" thickBot="1" x14ac:dyDescent="0.35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</row>
    <row r="185" spans="1:9" ht="15" thickBot="1" x14ac:dyDescent="0.35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</row>
    <row r="186" spans="1:9" ht="15" thickBot="1" x14ac:dyDescent="0.35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9" ht="15" thickBot="1" x14ac:dyDescent="0.35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9" ht="15" thickBot="1" x14ac:dyDescent="0.35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9" ht="15" thickBot="1" x14ac:dyDescent="0.35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9" ht="15" thickBot="1" x14ac:dyDescent="0.35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9" ht="15" thickBot="1" x14ac:dyDescent="0.35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9" ht="15" thickBot="1" x14ac:dyDescent="0.35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" thickBot="1" x14ac:dyDescent="0.35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" thickBot="1" x14ac:dyDescent="0.35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" thickBot="1" x14ac:dyDescent="0.35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" thickBot="1" x14ac:dyDescent="0.35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" thickBot="1" x14ac:dyDescent="0.35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" thickBot="1" x14ac:dyDescent="0.35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" thickBot="1" x14ac:dyDescent="0.35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" thickBot="1" x14ac:dyDescent="0.35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" thickBot="1" x14ac:dyDescent="0.35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" thickBot="1" x14ac:dyDescent="0.35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" thickBot="1" x14ac:dyDescent="0.35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" thickBot="1" x14ac:dyDescent="0.35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" thickBot="1" x14ac:dyDescent="0.35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" thickBot="1" x14ac:dyDescent="0.35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" thickBot="1" x14ac:dyDescent="0.35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" thickBot="1" x14ac:dyDescent="0.35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" thickBot="1" x14ac:dyDescent="0.35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" thickBot="1" x14ac:dyDescent="0.35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" thickBot="1" x14ac:dyDescent="0.35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" thickBot="1" x14ac:dyDescent="0.35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" thickBot="1" x14ac:dyDescent="0.35">
      <c r="A213" s="151" t="s">
        <v>308</v>
      </c>
      <c r="B213" s="152">
        <f>References!AE54*4</f>
        <v>93.931600000000003</v>
      </c>
      <c r="C213" s="152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" thickBot="1" x14ac:dyDescent="0.35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" thickBot="1" x14ac:dyDescent="0.35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" thickBot="1" x14ac:dyDescent="0.35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" thickBot="1" x14ac:dyDescent="0.35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" thickBot="1" x14ac:dyDescent="0.35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" thickBot="1" x14ac:dyDescent="0.35">
      <c r="A219" s="151" t="s">
        <v>312</v>
      </c>
      <c r="B219" s="152">
        <f>References!AE60*4</f>
        <v>44.348799999999997</v>
      </c>
      <c r="C219" s="152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" thickBot="1" x14ac:dyDescent="0.35">
      <c r="A220" s="151" t="s">
        <v>313</v>
      </c>
      <c r="B220" s="152">
        <f>References!AE61*4</f>
        <v>33.1</v>
      </c>
      <c r="C220" s="152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" thickBot="1" x14ac:dyDescent="0.35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" thickBot="1" x14ac:dyDescent="0.35">
      <c r="A222" s="151" t="s">
        <v>315</v>
      </c>
      <c r="B222" s="152">
        <f>References!AE63*4</f>
        <v>735.77520000000004</v>
      </c>
      <c r="C222" s="152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" thickBot="1" x14ac:dyDescent="0.35">
      <c r="A223" s="151" t="s">
        <v>316</v>
      </c>
      <c r="B223" s="152">
        <f>References!AE64*4</f>
        <v>235.44040000000001</v>
      </c>
      <c r="C223" s="152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" thickBot="1" x14ac:dyDescent="0.35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11" ht="15" thickBot="1" x14ac:dyDescent="0.35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11" ht="15" thickBot="1" x14ac:dyDescent="0.35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11" ht="15" thickBot="1" x14ac:dyDescent="0.35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6" si="24">ABS(3000*C227*(F227-G227))</f>
        <v>92.629690265375999</v>
      </c>
      <c r="K227">
        <f>B226/4</f>
        <v>43.5914</v>
      </c>
    </row>
    <row r="228" spans="1:11" ht="15" thickBot="1" x14ac:dyDescent="0.35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11" ht="15" thickBot="1" x14ac:dyDescent="0.35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11" ht="15" thickBot="1" x14ac:dyDescent="0.35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</row>
    <row r="231" spans="1:11" ht="15" thickBot="1" x14ac:dyDescent="0.35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11" ht="15" thickBot="1" x14ac:dyDescent="0.35">
      <c r="A232" s="157" t="s">
        <v>28</v>
      </c>
      <c r="B232" s="158">
        <f>References!AE73*4</f>
        <v>2512.0731999999998</v>
      </c>
      <c r="C232" s="158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11" s="118" customFormat="1" ht="15" thickBot="1" x14ac:dyDescent="0.35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62">
        <f t="shared" ref="G233:G234" si="25">_xlfn.IFS(E233=22.5,0.00848031,E233=24,0.009293235,E233=22,0.00821976,E233=28,0.0118162235)</f>
        <v>8.4803099999999996E-3</v>
      </c>
      <c r="H233" s="162">
        <f t="shared" ref="H233:H234" si="26">ABS(1.232*(D233-E233)*C233)</f>
        <v>46.402047999999994</v>
      </c>
      <c r="I233" s="21">
        <f t="shared" si="24"/>
        <v>90.925057871999996</v>
      </c>
    </row>
    <row r="234" spans="1:11" s="118" customFormat="1" ht="15" thickBot="1" x14ac:dyDescent="0.35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62">
        <f t="shared" si="25"/>
        <v>9.2932350000000004E-3</v>
      </c>
      <c r="H234" s="162">
        <f t="shared" si="26"/>
        <v>9.4734639999999999</v>
      </c>
      <c r="I234" s="21">
        <f t="shared" si="24"/>
        <v>19.429206848999996</v>
      </c>
    </row>
    <row r="235" spans="1:11" s="118" customFormat="1" ht="15" thickBot="1" x14ac:dyDescent="0.35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62">
        <f t="shared" ref="G235:G236" si="27">_xlfn.IFS(E235=22.5,0.00848031,E235=24,0.009293235,E235=22,0.00821976,E235=28,0.0118162235)</f>
        <v>8.4803099999999996E-3</v>
      </c>
      <c r="H235" s="162">
        <f t="shared" ref="H235:H236" si="28">ABS(1.232*(D235-E235)*C235)</f>
        <v>48.570367999999995</v>
      </c>
      <c r="I235" s="21">
        <f t="shared" si="24"/>
        <v>95.173892351999982</v>
      </c>
    </row>
    <row r="236" spans="1:11" s="118" customFormat="1" ht="15" thickBot="1" x14ac:dyDescent="0.35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62">
        <f t="shared" si="27"/>
        <v>9.2932350000000004E-3</v>
      </c>
      <c r="H236" s="162">
        <f t="shared" si="28"/>
        <v>9.837828</v>
      </c>
      <c r="I236" s="21">
        <f t="shared" si="24"/>
        <v>20.176484035499996</v>
      </c>
    </row>
    <row r="237" spans="1:11" ht="15" thickBot="1" x14ac:dyDescent="0.35">
      <c r="F237" s="190" t="s">
        <v>333</v>
      </c>
      <c r="G237" s="190"/>
      <c r="H237" s="41">
        <f>SUM(H163:H232)</f>
        <v>5262.10371996711</v>
      </c>
      <c r="I237" s="146">
        <f>SUM(I163:I236)</f>
        <v>11319.931684291781</v>
      </c>
    </row>
    <row r="238" spans="1:11" ht="15" thickBot="1" x14ac:dyDescent="0.35">
      <c r="F238" s="190" t="s">
        <v>161</v>
      </c>
      <c r="G238" s="190"/>
      <c r="H238" s="191">
        <f>I237+H237</f>
        <v>16582.035404258892</v>
      </c>
      <c r="I238" s="192"/>
    </row>
  </sheetData>
  <mergeCells count="23">
    <mergeCell ref="P8:P9"/>
    <mergeCell ref="Q8:Q9"/>
    <mergeCell ref="L4:N4"/>
    <mergeCell ref="L5:N5"/>
    <mergeCell ref="L6:N6"/>
    <mergeCell ref="L7:N7"/>
    <mergeCell ref="L8:N9"/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</mergeCells>
  <phoneticPr fontId="15" type="noConversion"/>
  <pageMargins left="0.7" right="0.7" top="0.75" bottom="0.75" header="0.3" footer="0.3"/>
  <pageSetup orientation="portrait" r:id="rId1"/>
  <ignoredErrors>
    <ignoredError sqref="B57:C69 B71 B23:C23 C24 B25:C40 B24 B46:C56 B41:C45 B70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129"/>
  <sheetViews>
    <sheetView topLeftCell="A49" workbookViewId="0">
      <selection activeCell="L169" sqref="L169"/>
    </sheetView>
  </sheetViews>
  <sheetFormatPr defaultRowHeight="14.4" x14ac:dyDescent="0.3"/>
  <cols>
    <col min="1" max="1" width="26.109375" customWidth="1"/>
    <col min="2" max="2" width="25.33203125" hidden="1" customWidth="1"/>
    <col min="3" max="3" width="12.109375" hidden="1" customWidth="1"/>
    <col min="4" max="6" width="8.88671875" hidden="1" customWidth="1"/>
    <col min="7" max="7" width="9.33203125" customWidth="1"/>
    <col min="8" max="8" width="10" customWidth="1"/>
  </cols>
  <sheetData>
    <row r="1" spans="1:17" ht="23.4" x14ac:dyDescent="0.3">
      <c r="A1" s="185" t="s">
        <v>533</v>
      </c>
      <c r="B1" s="185"/>
      <c r="C1" s="185"/>
      <c r="D1" s="185"/>
      <c r="E1" s="185"/>
      <c r="F1" s="185"/>
      <c r="G1" s="185"/>
      <c r="H1" s="185"/>
      <c r="I1" s="127"/>
    </row>
    <row r="2" spans="1:17" s="118" customFormat="1" ht="24" thickBot="1" x14ac:dyDescent="0.5">
      <c r="A2" s="183" t="s">
        <v>160</v>
      </c>
      <c r="B2" s="183"/>
      <c r="C2" s="183"/>
      <c r="D2" s="183"/>
      <c r="E2" s="183"/>
      <c r="F2" s="183"/>
      <c r="G2" s="183"/>
      <c r="H2" s="183"/>
      <c r="I2" s="103"/>
      <c r="J2" s="103"/>
      <c r="K2" s="103"/>
    </row>
    <row r="3" spans="1:17" ht="15" thickBot="1" x14ac:dyDescent="0.35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199" t="s">
        <v>539</v>
      </c>
      <c r="M3" s="199"/>
      <c r="N3" s="199"/>
      <c r="O3" s="199"/>
      <c r="P3" s="199"/>
      <c r="Q3" s="199"/>
    </row>
    <row r="4" spans="1:17" ht="42" customHeight="1" thickBot="1" x14ac:dyDescent="0.35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200"/>
      <c r="M4" s="200"/>
      <c r="N4" s="200"/>
      <c r="O4" s="133" t="s">
        <v>541</v>
      </c>
      <c r="P4" s="133" t="s">
        <v>542</v>
      </c>
      <c r="Q4" s="133" t="s">
        <v>430</v>
      </c>
    </row>
    <row r="5" spans="1:17" ht="87" thickBot="1" x14ac:dyDescent="0.35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201" t="s">
        <v>160</v>
      </c>
      <c r="M5" s="201"/>
      <c r="N5" s="201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29.4" thickBot="1" x14ac:dyDescent="0.35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201" t="s">
        <v>41</v>
      </c>
      <c r="M6" s="201"/>
      <c r="N6" s="201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58.2" thickBot="1" x14ac:dyDescent="0.35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201" t="s">
        <v>59</v>
      </c>
      <c r="M7" s="201"/>
      <c r="N7" s="201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58.2" thickBot="1" x14ac:dyDescent="0.35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189" t="s">
        <v>540</v>
      </c>
      <c r="M8" s="189"/>
      <c r="N8" s="189"/>
      <c r="O8" s="193">
        <f>SUM(O5:O7)</f>
        <v>11119.64832</v>
      </c>
      <c r="P8" s="193">
        <f>SUM(P5:P7)</f>
        <v>5615.9839999999995</v>
      </c>
      <c r="Q8" s="193">
        <f>Q5+Q6+Q7</f>
        <v>16735.632319999997</v>
      </c>
    </row>
    <row r="9" spans="1:17" ht="58.2" thickBot="1" x14ac:dyDescent="0.35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189"/>
      <c r="M9" s="189"/>
      <c r="N9" s="189"/>
      <c r="O9" s="194"/>
      <c r="P9" s="194"/>
      <c r="Q9" s="194"/>
    </row>
    <row r="10" spans="1:17" ht="58.2" thickBot="1" x14ac:dyDescent="0.35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58.2" thickBot="1" x14ac:dyDescent="0.35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58.2" thickBot="1" x14ac:dyDescent="0.35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  <c r="J12">
        <f>Table10[[#This Row],[Qs (W)]]+G6</f>
        <v>117.72288</v>
      </c>
      <c r="K12">
        <f>Table10[[#This Row],[Ql (W)]]+H6</f>
        <v>59.456000000000003</v>
      </c>
    </row>
    <row r="13" spans="1:17" ht="58.2" thickBot="1" x14ac:dyDescent="0.35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5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29.4" thickBot="1" x14ac:dyDescent="0.35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58.2" thickBot="1" x14ac:dyDescent="0.35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58.2" thickBot="1" x14ac:dyDescent="0.35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58.2" thickBot="1" x14ac:dyDescent="0.35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58.2" thickBot="1" x14ac:dyDescent="0.35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58.2" thickBot="1" x14ac:dyDescent="0.35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58.2" thickBot="1" x14ac:dyDescent="0.35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58.2" thickBot="1" x14ac:dyDescent="0.35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58.2" thickBot="1" x14ac:dyDescent="0.35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58.2" thickBot="1" x14ac:dyDescent="0.35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58.2" thickBot="1" x14ac:dyDescent="0.35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87" thickBot="1" x14ac:dyDescent="0.35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87" thickBot="1" x14ac:dyDescent="0.35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58.2" thickBot="1" x14ac:dyDescent="0.35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2.599999999999994" thickBot="1" x14ac:dyDescent="0.35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2.599999999999994" thickBot="1" x14ac:dyDescent="0.35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2.599999999999994" thickBot="1" x14ac:dyDescent="0.35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58.2" thickBot="1" x14ac:dyDescent="0.35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11" ht="86.25" customHeight="1" thickBot="1" x14ac:dyDescent="0.35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11" ht="58.2" thickBot="1" x14ac:dyDescent="0.35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11" ht="87" thickBot="1" x14ac:dyDescent="0.35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11" ht="58.2" thickBot="1" x14ac:dyDescent="0.35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11" ht="15" thickBot="1" x14ac:dyDescent="0.35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11" ht="15" thickBot="1" x14ac:dyDescent="0.35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11" ht="58.2" thickBot="1" x14ac:dyDescent="0.35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>D39*C39*F39</f>
        <v>95.293440000000004</v>
      </c>
      <c r="H39" s="62">
        <f t="shared" si="1"/>
        <v>48.128</v>
      </c>
    </row>
    <row r="40" spans="1:11" ht="15" thickBot="1" x14ac:dyDescent="0.35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11" s="50" customFormat="1" ht="54" customHeight="1" thickBot="1" x14ac:dyDescent="0.35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11" ht="58.2" thickBot="1" x14ac:dyDescent="0.35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11" ht="43.8" thickBot="1" x14ac:dyDescent="0.35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  <c r="J43">
        <f>Table10[[#This Row],[Qs (W)]]+G44</f>
        <v>1055.0707200000002</v>
      </c>
      <c r="K43">
        <f>Table10[[#This Row],[Ql (W)]]+H44</f>
        <v>532.86400000000003</v>
      </c>
    </row>
    <row r="44" spans="1:11" ht="43.8" thickBot="1" x14ac:dyDescent="0.35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11" ht="15" thickBot="1" x14ac:dyDescent="0.35">
      <c r="E45" s="198" t="s">
        <v>333</v>
      </c>
      <c r="F45" s="198"/>
      <c r="G45" s="123">
        <f>SUM(G4:G44)</f>
        <v>5447.2492799999991</v>
      </c>
      <c r="H45" s="123">
        <f>SUM(H4:H44)</f>
        <v>2751.1359999999986</v>
      </c>
    </row>
    <row r="46" spans="1:11" ht="15" thickBot="1" x14ac:dyDescent="0.35">
      <c r="E46" s="198" t="s">
        <v>161</v>
      </c>
      <c r="F46" s="198"/>
      <c r="G46" s="198">
        <f>G45+H45</f>
        <v>8198.3852799999986</v>
      </c>
      <c r="H46" s="198"/>
    </row>
    <row r="47" spans="1:11" x14ac:dyDescent="0.3">
      <c r="E47" s="49"/>
      <c r="F47" s="49"/>
      <c r="G47" s="49"/>
      <c r="H47" s="49"/>
    </row>
    <row r="48" spans="1:11" ht="23.4" x14ac:dyDescent="0.45">
      <c r="A48" s="196" t="s">
        <v>41</v>
      </c>
      <c r="B48" s="196"/>
      <c r="C48" s="196"/>
      <c r="D48" s="196"/>
      <c r="E48" s="196"/>
      <c r="F48" s="196"/>
      <c r="G48" s="196"/>
      <c r="H48" s="196"/>
      <c r="I48" s="125"/>
    </row>
    <row r="49" spans="1:8" ht="15" thickBot="1" x14ac:dyDescent="0.35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29.4" thickBot="1" x14ac:dyDescent="0.35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29.4" thickBot="1" x14ac:dyDescent="0.35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29.4" thickBot="1" x14ac:dyDescent="0.35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29.4" thickBot="1" x14ac:dyDescent="0.35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58.2" thickBot="1" x14ac:dyDescent="0.35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58.2" thickBot="1" x14ac:dyDescent="0.35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58.2" thickBot="1" x14ac:dyDescent="0.35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29.4" thickBot="1" x14ac:dyDescent="0.35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3.8" thickBot="1" x14ac:dyDescent="0.35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29.4" thickBot="1" x14ac:dyDescent="0.35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3.8" thickBot="1" x14ac:dyDescent="0.35">
      <c r="A66" s="151" t="s">
        <v>175</v>
      </c>
      <c r="B66" s="177" t="s">
        <v>381</v>
      </c>
      <c r="C66" s="152">
        <v>355</v>
      </c>
      <c r="D66" s="152">
        <v>0.33</v>
      </c>
      <c r="E66" s="152">
        <v>0.16</v>
      </c>
      <c r="F66" s="152">
        <v>0.96</v>
      </c>
      <c r="G66" s="152">
        <f t="shared" si="2"/>
        <v>112.464</v>
      </c>
      <c r="H66" s="153">
        <f t="shared" si="3"/>
        <v>56.800000000000004</v>
      </c>
    </row>
    <row r="67" spans="1:13" ht="29.4" thickBot="1" x14ac:dyDescent="0.35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2.599999999999994" thickBot="1" x14ac:dyDescent="0.35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5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2.599999999999994" thickBot="1" x14ac:dyDescent="0.35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29.4" thickBot="1" x14ac:dyDescent="0.35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29.4" thickBot="1" x14ac:dyDescent="0.35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2" thickBot="1" x14ac:dyDescent="0.35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" thickBot="1" x14ac:dyDescent="0.35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" thickBot="1" x14ac:dyDescent="0.35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72.599999999999994" thickBot="1" x14ac:dyDescent="0.35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29.4" thickBot="1" x14ac:dyDescent="0.35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3.8" thickBot="1" x14ac:dyDescent="0.35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" thickBot="1" x14ac:dyDescent="0.35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" thickBot="1" x14ac:dyDescent="0.35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58.2" thickBot="1" x14ac:dyDescent="0.35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3.8" thickBot="1" x14ac:dyDescent="0.35">
      <c r="A86" s="151" t="s">
        <v>175</v>
      </c>
      <c r="B86" s="177" t="s">
        <v>381</v>
      </c>
      <c r="C86" s="152">
        <v>355</v>
      </c>
      <c r="D86" s="152">
        <v>0.33</v>
      </c>
      <c r="E86" s="152">
        <v>0.16</v>
      </c>
      <c r="F86" s="152">
        <v>0.96</v>
      </c>
      <c r="G86" s="152">
        <f t="shared" si="2"/>
        <v>112.464</v>
      </c>
      <c r="H86" s="153">
        <f t="shared" si="3"/>
        <v>56.800000000000004</v>
      </c>
    </row>
    <row r="87" spans="1:9" ht="87" thickBot="1" x14ac:dyDescent="0.35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" thickBot="1" x14ac:dyDescent="0.35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58.2" thickBot="1" x14ac:dyDescent="0.35">
      <c r="A89" s="157" t="s">
        <v>64</v>
      </c>
      <c r="B89" s="178" t="s">
        <v>415</v>
      </c>
      <c r="C89" s="158">
        <v>45.8</v>
      </c>
      <c r="D89" s="158">
        <v>0.33</v>
      </c>
      <c r="E89" s="158">
        <v>0.16</v>
      </c>
      <c r="F89" s="158">
        <v>0.96</v>
      </c>
      <c r="G89" s="158">
        <f t="shared" si="2"/>
        <v>14.509439999999998</v>
      </c>
      <c r="H89" s="161">
        <f t="shared" si="3"/>
        <v>7.3279999999999994</v>
      </c>
    </row>
    <row r="90" spans="1:9" ht="15" thickBot="1" x14ac:dyDescent="0.35">
      <c r="E90" s="198" t="s">
        <v>333</v>
      </c>
      <c r="F90" s="198"/>
      <c r="G90" s="72">
        <f>SUM(G50:G89)</f>
        <v>3484.8253440000008</v>
      </c>
      <c r="H90" s="72">
        <f>SUM(H50:H89)</f>
        <v>1760.0128</v>
      </c>
    </row>
    <row r="91" spans="1:9" ht="15" thickBot="1" x14ac:dyDescent="0.35">
      <c r="E91" s="198" t="s">
        <v>161</v>
      </c>
      <c r="F91" s="198"/>
      <c r="G91" s="198">
        <f>G90+H90</f>
        <v>5244.8381440000012</v>
      </c>
      <c r="H91" s="198"/>
    </row>
    <row r="92" spans="1:9" x14ac:dyDescent="0.3">
      <c r="E92" s="49"/>
      <c r="F92" s="49"/>
      <c r="G92" s="49"/>
      <c r="H92" s="49"/>
    </row>
    <row r="93" spans="1:9" ht="23.4" x14ac:dyDescent="0.45">
      <c r="A93" s="184" t="s">
        <v>59</v>
      </c>
      <c r="B93" s="184"/>
      <c r="C93" s="184"/>
      <c r="D93" s="184"/>
      <c r="E93" s="184"/>
      <c r="F93" s="184"/>
      <c r="G93" s="184"/>
      <c r="H93" s="184"/>
      <c r="I93" s="106"/>
    </row>
    <row r="94" spans="1:9" ht="15" thickBot="1" x14ac:dyDescent="0.35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29.4" thickBot="1" x14ac:dyDescent="0.35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29.4" thickBot="1" x14ac:dyDescent="0.35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29.4" thickBot="1" x14ac:dyDescent="0.35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29.4" thickBot="1" x14ac:dyDescent="0.35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58.2" thickBot="1" x14ac:dyDescent="0.35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58.2" thickBot="1" x14ac:dyDescent="0.35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12" ht="58.2" thickBot="1" x14ac:dyDescent="0.35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12" ht="58.2" thickBot="1" x14ac:dyDescent="0.35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12" ht="58.2" thickBot="1" x14ac:dyDescent="0.35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12" ht="43.8" thickBot="1" x14ac:dyDescent="0.35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12" ht="29.4" thickBot="1" x14ac:dyDescent="0.35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12" ht="43.8" thickBot="1" x14ac:dyDescent="0.35">
      <c r="A118" s="151" t="s">
        <v>175</v>
      </c>
      <c r="B118" s="177" t="s">
        <v>381</v>
      </c>
      <c r="C118" s="152">
        <v>355</v>
      </c>
      <c r="D118" s="152">
        <v>0.33</v>
      </c>
      <c r="E118" s="152">
        <v>0.16</v>
      </c>
      <c r="F118" s="152">
        <v>0.96</v>
      </c>
      <c r="G118" s="152">
        <f t="shared" si="4"/>
        <v>112.464</v>
      </c>
      <c r="H118" s="153">
        <f t="shared" si="5"/>
        <v>56.800000000000004</v>
      </c>
    </row>
    <row r="119" spans="1:12" ht="29.4" thickBot="1" x14ac:dyDescent="0.35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12" ht="29.4" thickBot="1" x14ac:dyDescent="0.35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12" ht="58.2" thickBot="1" x14ac:dyDescent="0.35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  <c r="K121">
        <f>Table12[[#This Row],[Qs (W)]]+G122+G123</f>
        <v>428.44031999999993</v>
      </c>
      <c r="L121">
        <f>Table12[[#This Row],[Qw (W)]]+H122+H123</f>
        <v>216.38400000000001</v>
      </c>
    </row>
    <row r="122" spans="1:12" ht="87" thickBot="1" x14ac:dyDescent="0.35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12" ht="87" thickBot="1" x14ac:dyDescent="0.35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12" ht="58.2" thickBot="1" x14ac:dyDescent="0.35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12" ht="29.4" thickBot="1" x14ac:dyDescent="0.35">
      <c r="A125" s="151" t="s">
        <v>316</v>
      </c>
      <c r="B125" s="179" t="s">
        <v>423</v>
      </c>
      <c r="C125" s="152">
        <v>50.16</v>
      </c>
      <c r="D125" s="152">
        <v>0.33</v>
      </c>
      <c r="E125" s="152">
        <v>0.16</v>
      </c>
      <c r="F125" s="152">
        <v>0.96</v>
      </c>
      <c r="G125" s="152">
        <f t="shared" si="4"/>
        <v>15.890688000000001</v>
      </c>
      <c r="H125" s="153">
        <f t="shared" si="5"/>
        <v>8.025599999999999</v>
      </c>
    </row>
    <row r="126" spans="1:12" ht="29.4" thickBot="1" x14ac:dyDescent="0.35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12" ht="58.2" thickBot="1" x14ac:dyDescent="0.35">
      <c r="A127" s="157" t="s">
        <v>64</v>
      </c>
      <c r="B127" s="178" t="s">
        <v>424</v>
      </c>
      <c r="C127" s="158">
        <v>45.8</v>
      </c>
      <c r="D127" s="158">
        <v>0.33</v>
      </c>
      <c r="E127" s="158">
        <v>0.16</v>
      </c>
      <c r="F127" s="158">
        <v>0.96</v>
      </c>
      <c r="G127" s="158">
        <f t="shared" si="4"/>
        <v>14.509439999999998</v>
      </c>
      <c r="H127" s="161">
        <f t="shared" si="5"/>
        <v>7.3279999999999994</v>
      </c>
    </row>
    <row r="128" spans="1:12" ht="15" thickBot="1" x14ac:dyDescent="0.35">
      <c r="E128" s="198" t="s">
        <v>333</v>
      </c>
      <c r="F128" s="198"/>
      <c r="G128" s="72">
        <f>SUM(G95:G127)</f>
        <v>2187.573695999999</v>
      </c>
      <c r="H128" s="72">
        <f>SUM(H95:H127)</f>
        <v>1104.8352000000002</v>
      </c>
    </row>
    <row r="129" spans="5:8" ht="15" thickBot="1" x14ac:dyDescent="0.35">
      <c r="E129" s="198" t="s">
        <v>161</v>
      </c>
      <c r="F129" s="198"/>
      <c r="G129" s="198">
        <f>G128+H128</f>
        <v>3292.408895999999</v>
      </c>
      <c r="H129" s="198"/>
    </row>
  </sheetData>
  <mergeCells count="22">
    <mergeCell ref="L8:N9"/>
    <mergeCell ref="O8:O9"/>
    <mergeCell ref="P8:P9"/>
    <mergeCell ref="Q8:Q9"/>
    <mergeCell ref="L3:Q3"/>
    <mergeCell ref="L4:N4"/>
    <mergeCell ref="L5:N5"/>
    <mergeCell ref="L6:N6"/>
    <mergeCell ref="L7:N7"/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Q77"/>
  <sheetViews>
    <sheetView topLeftCell="A37" workbookViewId="0">
      <selection activeCell="L169" sqref="L169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s="118" customFormat="1" ht="23.4" x14ac:dyDescent="0.3">
      <c r="A1" s="185" t="s">
        <v>532</v>
      </c>
      <c r="B1" s="185"/>
      <c r="C1" s="185"/>
      <c r="D1" s="185"/>
      <c r="E1" s="185"/>
      <c r="F1" s="185"/>
      <c r="G1" s="185"/>
      <c r="H1" s="185"/>
    </row>
    <row r="2" spans="1:17" ht="24" thickBot="1" x14ac:dyDescent="0.5">
      <c r="A2" s="184" t="s">
        <v>59</v>
      </c>
      <c r="B2" s="184"/>
      <c r="C2" s="184"/>
      <c r="D2" s="184"/>
      <c r="E2" s="184"/>
      <c r="F2" s="184"/>
      <c r="G2" s="184"/>
      <c r="H2" s="184"/>
    </row>
    <row r="3" spans="1:17" ht="15" thickBot="1" x14ac:dyDescent="0.35">
      <c r="A3" s="202" t="s">
        <v>425</v>
      </c>
      <c r="B3" s="202"/>
      <c r="C3" s="202"/>
      <c r="D3" s="202"/>
      <c r="E3" s="202"/>
      <c r="F3" s="202"/>
      <c r="G3" s="202"/>
      <c r="H3" s="202"/>
      <c r="L3" s="186" t="s">
        <v>539</v>
      </c>
      <c r="M3" s="186"/>
      <c r="N3" s="186"/>
      <c r="O3" s="186"/>
      <c r="P3" s="186"/>
      <c r="Q3" s="186"/>
    </row>
    <row r="4" spans="1:17" ht="15" thickBot="1" x14ac:dyDescent="0.35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87"/>
      <c r="M4" s="187"/>
      <c r="N4" s="187"/>
      <c r="O4" s="187" t="s">
        <v>430</v>
      </c>
      <c r="P4" s="187"/>
      <c r="Q4" s="187"/>
    </row>
    <row r="5" spans="1:17" ht="15" thickBot="1" x14ac:dyDescent="0.35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88" t="s">
        <v>160</v>
      </c>
      <c r="M5" s="188"/>
      <c r="N5" s="188"/>
      <c r="O5" s="188">
        <v>0</v>
      </c>
      <c r="P5" s="188"/>
      <c r="Q5" s="188"/>
    </row>
    <row r="6" spans="1:17" ht="15" thickBot="1" x14ac:dyDescent="0.35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88" t="s">
        <v>41</v>
      </c>
      <c r="M6" s="188"/>
      <c r="N6" s="188"/>
      <c r="O6" s="188">
        <f>I87</f>
        <v>0</v>
      </c>
      <c r="P6" s="188"/>
      <c r="Q6" s="188"/>
    </row>
    <row r="7" spans="1:17" ht="15" thickBot="1" x14ac:dyDescent="0.35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88" t="s">
        <v>59</v>
      </c>
      <c r="M7" s="188"/>
      <c r="N7" s="188"/>
      <c r="O7" s="188">
        <f>H49</f>
        <v>33330.762702411113</v>
      </c>
      <c r="P7" s="188"/>
      <c r="Q7" s="188"/>
    </row>
    <row r="8" spans="1:17" ht="15" thickBot="1" x14ac:dyDescent="0.35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89" t="s">
        <v>540</v>
      </c>
      <c r="M8" s="189"/>
      <c r="N8" s="189"/>
      <c r="O8" s="203">
        <f>O5+O6+O7</f>
        <v>33330.762702411113</v>
      </c>
      <c r="P8" s="204"/>
      <c r="Q8" s="205"/>
    </row>
    <row r="9" spans="1:17" ht="15" thickBot="1" x14ac:dyDescent="0.35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89"/>
      <c r="M9" s="189"/>
      <c r="N9" s="189"/>
      <c r="O9" s="206"/>
      <c r="P9" s="207"/>
      <c r="Q9" s="208"/>
    </row>
    <row r="10" spans="1:17" ht="15" thickBot="1" x14ac:dyDescent="0.35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ht="15" thickBot="1" x14ac:dyDescent="0.35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ht="15" thickBot="1" x14ac:dyDescent="0.35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ht="15" thickBot="1" x14ac:dyDescent="0.35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ht="15" thickBot="1" x14ac:dyDescent="0.35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ht="15" thickBot="1" x14ac:dyDescent="0.35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ht="15" thickBot="1" x14ac:dyDescent="0.35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ht="15" thickBot="1" x14ac:dyDescent="0.35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ht="15" thickBot="1" x14ac:dyDescent="0.35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ht="15" thickBot="1" x14ac:dyDescent="0.35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ht="15" thickBot="1" x14ac:dyDescent="0.35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ht="15" thickBot="1" x14ac:dyDescent="0.35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ht="15" thickBot="1" x14ac:dyDescent="0.35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ht="15" thickBot="1" x14ac:dyDescent="0.35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ht="15" thickBot="1" x14ac:dyDescent="0.35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ht="15" thickBot="1" x14ac:dyDescent="0.35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ht="15" thickBot="1" x14ac:dyDescent="0.35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ht="15" thickBot="1" x14ac:dyDescent="0.35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ht="15" thickBot="1" x14ac:dyDescent="0.35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ht="15" thickBot="1" x14ac:dyDescent="0.35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ht="15" thickBot="1" x14ac:dyDescent="0.35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ht="15" thickBot="1" x14ac:dyDescent="0.35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ht="15" thickBot="1" x14ac:dyDescent="0.35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ht="15" thickBot="1" x14ac:dyDescent="0.35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ht="15" thickBot="1" x14ac:dyDescent="0.35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ht="15" thickBot="1" x14ac:dyDescent="0.35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ht="15" thickBot="1" x14ac:dyDescent="0.35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ht="15" thickBot="1" x14ac:dyDescent="0.35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ht="15" thickBot="1" x14ac:dyDescent="0.35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ht="15" thickBot="1" x14ac:dyDescent="0.35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ht="15" thickBot="1" x14ac:dyDescent="0.35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ht="15" thickBot="1" x14ac:dyDescent="0.35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ht="15" thickBot="1" x14ac:dyDescent="0.35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ht="15" thickBot="1" x14ac:dyDescent="0.35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ht="15" thickBot="1" x14ac:dyDescent="0.35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ht="15" thickBot="1" x14ac:dyDescent="0.35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ht="15" thickBot="1" x14ac:dyDescent="0.35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8" customFormat="1" ht="15" thickBot="1" x14ac:dyDescent="0.35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8" customFormat="1" ht="15" thickBot="1" x14ac:dyDescent="0.35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ht="15" thickBot="1" x14ac:dyDescent="0.35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x14ac:dyDescent="0.3">
      <c r="A50" s="43"/>
      <c r="B50" s="43"/>
      <c r="C50" s="43"/>
      <c r="G50" s="73"/>
      <c r="M50" s="44"/>
      <c r="N50" s="44"/>
    </row>
    <row r="51" spans="1:17" x14ac:dyDescent="0.3">
      <c r="M51" s="44"/>
      <c r="N51" s="44"/>
    </row>
    <row r="52" spans="1:17" x14ac:dyDescent="0.3">
      <c r="M52" s="44"/>
      <c r="N52" s="44"/>
    </row>
    <row r="53" spans="1:17" x14ac:dyDescent="0.3">
      <c r="M53" s="44"/>
      <c r="N53" s="44"/>
    </row>
    <row r="54" spans="1:17" x14ac:dyDescent="0.3">
      <c r="M54" s="44"/>
      <c r="N54" s="44"/>
    </row>
    <row r="55" spans="1:17" x14ac:dyDescent="0.3">
      <c r="M55" s="44"/>
      <c r="N55" s="44"/>
    </row>
    <row r="56" spans="1:17" x14ac:dyDescent="0.3">
      <c r="M56" s="44"/>
      <c r="N56" s="44"/>
    </row>
    <row r="57" spans="1:17" x14ac:dyDescent="0.3">
      <c r="M57" s="44"/>
      <c r="N57" s="44"/>
    </row>
    <row r="58" spans="1:17" x14ac:dyDescent="0.3">
      <c r="M58" s="44"/>
      <c r="N58" s="44"/>
    </row>
    <row r="59" spans="1:17" x14ac:dyDescent="0.3">
      <c r="M59" s="44"/>
      <c r="N59" s="44"/>
    </row>
    <row r="60" spans="1:17" x14ac:dyDescent="0.3">
      <c r="M60" s="44"/>
      <c r="N60" s="44"/>
    </row>
    <row r="61" spans="1:17" x14ac:dyDescent="0.3">
      <c r="M61" s="44"/>
      <c r="N61" s="44"/>
    </row>
    <row r="62" spans="1:17" x14ac:dyDescent="0.3">
      <c r="M62" s="44"/>
      <c r="N62" s="44"/>
    </row>
    <row r="63" spans="1:17" x14ac:dyDescent="0.3">
      <c r="M63" s="44"/>
      <c r="N63" s="44"/>
    </row>
    <row r="64" spans="1:17" x14ac:dyDescent="0.3">
      <c r="M64" s="44"/>
      <c r="N64" s="44"/>
    </row>
    <row r="65" spans="13:14" x14ac:dyDescent="0.3">
      <c r="M65" s="44"/>
      <c r="N65" s="44"/>
    </row>
    <row r="66" spans="13:14" x14ac:dyDescent="0.3">
      <c r="M66" s="44"/>
      <c r="N66" s="44"/>
    </row>
    <row r="67" spans="13:14" x14ac:dyDescent="0.3">
      <c r="M67" s="44"/>
      <c r="N67" s="44"/>
    </row>
    <row r="68" spans="13:14" x14ac:dyDescent="0.3">
      <c r="M68" s="44"/>
      <c r="N68" s="44"/>
    </row>
    <row r="69" spans="13:14" x14ac:dyDescent="0.3">
      <c r="M69" s="44"/>
      <c r="N69" s="44"/>
    </row>
    <row r="70" spans="13:14" x14ac:dyDescent="0.3">
      <c r="M70" s="44"/>
      <c r="N70" s="44"/>
    </row>
    <row r="71" spans="13:14" x14ac:dyDescent="0.3">
      <c r="M71" s="44"/>
      <c r="N71" s="44"/>
    </row>
    <row r="72" spans="13:14" x14ac:dyDescent="0.3">
      <c r="M72" s="44"/>
      <c r="N72" s="44"/>
    </row>
    <row r="73" spans="13:14" x14ac:dyDescent="0.3">
      <c r="M73" s="44"/>
      <c r="N73" s="44"/>
    </row>
    <row r="74" spans="13:14" x14ac:dyDescent="0.3">
      <c r="M74" s="44"/>
      <c r="N74" s="44"/>
    </row>
    <row r="75" spans="13:14" x14ac:dyDescent="0.3">
      <c r="M75" s="44"/>
      <c r="N75" s="44"/>
    </row>
    <row r="76" spans="13:14" x14ac:dyDescent="0.3">
      <c r="M76" s="44"/>
      <c r="N76" s="44"/>
    </row>
    <row r="77" spans="13:14" x14ac:dyDescent="0.3">
      <c r="M77" s="44"/>
      <c r="N77" s="44"/>
    </row>
  </sheetData>
  <mergeCells count="14">
    <mergeCell ref="L8:N9"/>
    <mergeCell ref="O8:Q9"/>
    <mergeCell ref="L4:N4"/>
    <mergeCell ref="O4:Q4"/>
    <mergeCell ref="L5:N5"/>
    <mergeCell ref="O5:Q5"/>
    <mergeCell ref="L6:N6"/>
    <mergeCell ref="O6:Q6"/>
    <mergeCell ref="A1:H1"/>
    <mergeCell ref="A3:H3"/>
    <mergeCell ref="A2:H2"/>
    <mergeCell ref="L3:Q3"/>
    <mergeCell ref="L7:N7"/>
    <mergeCell ref="O7:Q7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P296"/>
  <sheetViews>
    <sheetView zoomScale="85" zoomScaleNormal="85" workbookViewId="0">
      <selection activeCell="L169" sqref="L169"/>
    </sheetView>
  </sheetViews>
  <sheetFormatPr defaultRowHeight="14.4" x14ac:dyDescent="0.3"/>
  <cols>
    <col min="1" max="1" width="33.5546875" style="77" customWidth="1"/>
    <col min="2" max="2" width="35.44140625" style="77" customWidth="1"/>
    <col min="3" max="10" width="8.88671875" customWidth="1"/>
  </cols>
  <sheetData>
    <row r="1" spans="1:16" ht="23.4" x14ac:dyDescent="0.3">
      <c r="A1" s="185" t="s">
        <v>536</v>
      </c>
      <c r="B1" s="185"/>
      <c r="C1" s="185"/>
      <c r="D1" s="185"/>
      <c r="E1" s="185"/>
      <c r="F1" s="185"/>
      <c r="G1" s="185"/>
      <c r="H1" s="131"/>
      <c r="I1" s="111"/>
    </row>
    <row r="2" spans="1:16" s="118" customFormat="1" ht="24" thickBot="1" x14ac:dyDescent="0.5">
      <c r="A2" s="183" t="s">
        <v>160</v>
      </c>
      <c r="B2" s="183"/>
      <c r="C2" s="183"/>
      <c r="D2" s="183"/>
      <c r="E2" s="183"/>
      <c r="F2" s="183"/>
      <c r="G2" s="183"/>
      <c r="H2" s="103"/>
    </row>
    <row r="3" spans="1:16" ht="15" thickBot="1" x14ac:dyDescent="0.35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186" t="s">
        <v>539</v>
      </c>
      <c r="L3" s="186"/>
      <c r="M3" s="186"/>
      <c r="N3" s="186"/>
      <c r="O3" s="186"/>
      <c r="P3" s="186"/>
    </row>
    <row r="4" spans="1:16" ht="15" thickBot="1" x14ac:dyDescent="0.35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H4">
        <f>Table14[[#This Row],[A]]+D5</f>
        <v>33.799999999999997</v>
      </c>
      <c r="K4" s="187"/>
      <c r="L4" s="187"/>
      <c r="M4" s="187"/>
      <c r="N4" s="187" t="s">
        <v>430</v>
      </c>
      <c r="O4" s="187"/>
      <c r="P4" s="187"/>
    </row>
    <row r="5" spans="1:16" ht="15" thickBot="1" x14ac:dyDescent="0.35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88" t="s">
        <v>160</v>
      </c>
      <c r="L5" s="188"/>
      <c r="M5" s="188"/>
      <c r="N5" s="188">
        <f>G90</f>
        <v>18554.539067999998</v>
      </c>
      <c r="O5" s="188"/>
      <c r="P5" s="188"/>
    </row>
    <row r="6" spans="1:16" ht="15" thickBot="1" x14ac:dyDescent="0.35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H6">
        <f>Table14[[#This Row],[A]]</f>
        <v>10.199999999999999</v>
      </c>
      <c r="K6" s="188" t="s">
        <v>41</v>
      </c>
      <c r="L6" s="188"/>
      <c r="M6" s="188"/>
      <c r="N6" s="188">
        <f>G198</f>
        <v>19890.591177600007</v>
      </c>
      <c r="O6" s="188"/>
      <c r="P6" s="188"/>
    </row>
    <row r="7" spans="1:16" ht="15" thickBot="1" x14ac:dyDescent="0.35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H7">
        <f>Table14[[#This Row],[A]]+D8</f>
        <v>23.6</v>
      </c>
      <c r="K7" s="188" t="s">
        <v>59</v>
      </c>
      <c r="L7" s="188"/>
      <c r="M7" s="188"/>
      <c r="N7" s="188">
        <f>G296</f>
        <v>17107.397424000003</v>
      </c>
      <c r="O7" s="188"/>
      <c r="P7" s="188"/>
    </row>
    <row r="8" spans="1:16" ht="15" thickBot="1" x14ac:dyDescent="0.35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89" t="s">
        <v>540</v>
      </c>
      <c r="L8" s="189"/>
      <c r="M8" s="189"/>
      <c r="N8" s="203">
        <f>N5+N6+N7</f>
        <v>55552.527669600007</v>
      </c>
      <c r="O8" s="204"/>
      <c r="P8" s="205"/>
    </row>
    <row r="9" spans="1:16" ht="15" thickBot="1" x14ac:dyDescent="0.35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H9">
        <f>Table14[[#This Row],[A]]+D10</f>
        <v>38.28</v>
      </c>
      <c r="K9" s="189"/>
      <c r="L9" s="189"/>
      <c r="M9" s="189"/>
      <c r="N9" s="206"/>
      <c r="O9" s="207"/>
      <c r="P9" s="208"/>
    </row>
    <row r="10" spans="1:16" ht="15" thickBot="1" x14ac:dyDescent="0.35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" thickBot="1" x14ac:dyDescent="0.35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  <c r="H11">
        <f>Table14[[#This Row],[A]]</f>
        <v>36.200000000000003</v>
      </c>
    </row>
    <row r="12" spans="1:16" ht="15" thickBot="1" x14ac:dyDescent="0.35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H12">
        <f>Table14[[#This Row],[A]]</f>
        <v>36.200000000000003</v>
      </c>
    </row>
    <row r="13" spans="1:16" ht="15" thickBot="1" x14ac:dyDescent="0.35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  <c r="H13" s="195">
        <f>Table14[[#This Row],[A]]+D14+D15+D16</f>
        <v>61.92</v>
      </c>
    </row>
    <row r="14" spans="1:16" ht="15" thickBot="1" x14ac:dyDescent="0.35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  <c r="H14" s="195"/>
    </row>
    <row r="15" spans="1:16" ht="15" thickBot="1" x14ac:dyDescent="0.35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  <c r="H15" s="195"/>
    </row>
    <row r="16" spans="1:16" ht="15" thickBot="1" x14ac:dyDescent="0.35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  <c r="H16" s="195"/>
    </row>
    <row r="17" spans="1:8" ht="15" thickBot="1" x14ac:dyDescent="0.35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  <c r="H17">
        <f>Table14[[#This Row],[A]]</f>
        <v>6.4000000000000012</v>
      </c>
    </row>
    <row r="18" spans="1:8" ht="15" thickBot="1" x14ac:dyDescent="0.35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  <c r="H18">
        <f>Table14[[#This Row],[A]]</f>
        <v>5.92</v>
      </c>
    </row>
    <row r="19" spans="1:8" ht="15" thickBot="1" x14ac:dyDescent="0.35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  <c r="H19" s="195">
        <f>Table14[[#This Row],[A]]+D20</f>
        <v>34.6</v>
      </c>
    </row>
    <row r="20" spans="1:8" ht="15" thickBot="1" x14ac:dyDescent="0.35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  <c r="H20" s="195"/>
    </row>
    <row r="21" spans="1:8" ht="15" thickBot="1" x14ac:dyDescent="0.35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  <c r="H21">
        <f>Table14[[#This Row],[A]]+D22</f>
        <v>21</v>
      </c>
    </row>
    <row r="22" spans="1:8" ht="15" thickBot="1" x14ac:dyDescent="0.35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8" ht="15" thickBot="1" x14ac:dyDescent="0.35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  <c r="H23">
        <f>Table14[[#This Row],[A]]+D24+D25</f>
        <v>39.6</v>
      </c>
    </row>
    <row r="24" spans="1:8" ht="15" thickBot="1" x14ac:dyDescent="0.35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8" ht="15" thickBot="1" x14ac:dyDescent="0.35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8" ht="15" thickBot="1" x14ac:dyDescent="0.35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  <c r="H26">
        <f>Table14[[#This Row],[A]]+D27</f>
        <v>63.6</v>
      </c>
    </row>
    <row r="27" spans="1:8" ht="15" thickBot="1" x14ac:dyDescent="0.35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8" ht="15" thickBot="1" x14ac:dyDescent="0.35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  <c r="H28">
        <f>Table14[[#This Row],[A]]+D29</f>
        <v>69.599999999999994</v>
      </c>
    </row>
    <row r="29" spans="1:8" ht="15" thickBot="1" x14ac:dyDescent="0.35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8" ht="15" thickBot="1" x14ac:dyDescent="0.35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  <c r="H30">
        <f>Table14[[#This Row],[A]]</f>
        <v>16.8</v>
      </c>
    </row>
    <row r="31" spans="1:8" ht="15" thickBot="1" x14ac:dyDescent="0.35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  <c r="H31">
        <f>Table14[[#This Row],[A]]</f>
        <v>45.320000000000007</v>
      </c>
    </row>
    <row r="32" spans="1:8" ht="15" thickBot="1" x14ac:dyDescent="0.35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  <c r="H32">
        <f>Table14[[#This Row],[A]]</f>
        <v>43.800000000000004</v>
      </c>
    </row>
    <row r="33" spans="1:8" ht="15" thickBot="1" x14ac:dyDescent="0.35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  <c r="H33">
        <f>Table14[[#This Row],[A]]+D34+D35</f>
        <v>41</v>
      </c>
    </row>
    <row r="34" spans="1:8" ht="15" thickBot="1" x14ac:dyDescent="0.35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8" ht="15" thickBot="1" x14ac:dyDescent="0.35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8" ht="15" thickBot="1" x14ac:dyDescent="0.35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  <c r="H36">
        <f>Table14[[#This Row],[A]]+D37+D38</f>
        <v>25.24</v>
      </c>
    </row>
    <row r="37" spans="1:8" ht="15" thickBot="1" x14ac:dyDescent="0.35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8" ht="15" thickBot="1" x14ac:dyDescent="0.35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8" ht="15" thickBot="1" x14ac:dyDescent="0.35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  <c r="H39">
        <f>Table14[[#This Row],[A]]+D40</f>
        <v>20.599999999999998</v>
      </c>
    </row>
    <row r="40" spans="1:8" ht="15" thickBot="1" x14ac:dyDescent="0.35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8" ht="15" thickBot="1" x14ac:dyDescent="0.35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  <c r="H41">
        <f>Table14[[#This Row],[A]]+D42</f>
        <v>12.8</v>
      </c>
    </row>
    <row r="42" spans="1:8" ht="15" thickBot="1" x14ac:dyDescent="0.35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8" ht="15" thickBot="1" x14ac:dyDescent="0.35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  <c r="H43">
        <f>Table14[[#This Row],[A]]</f>
        <v>9.3999999999999986</v>
      </c>
    </row>
    <row r="44" spans="1:8" ht="15" thickBot="1" x14ac:dyDescent="0.35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  <c r="H44">
        <f>Table14[[#This Row],[A]]+D45+D46</f>
        <v>55.44</v>
      </c>
    </row>
    <row r="45" spans="1:8" ht="15" thickBot="1" x14ac:dyDescent="0.35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8" ht="15" thickBot="1" x14ac:dyDescent="0.35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8" ht="15" thickBot="1" x14ac:dyDescent="0.35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  <c r="H47">
        <f>Table14[[#This Row],[A]]+D48+D49</f>
        <v>29.28</v>
      </c>
    </row>
    <row r="48" spans="1:8" ht="15" thickBot="1" x14ac:dyDescent="0.35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" thickBot="1" x14ac:dyDescent="0.35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" thickBot="1" x14ac:dyDescent="0.35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  <c r="H50">
        <f>Table14[[#This Row],[A]]</f>
        <v>10.719999999999999</v>
      </c>
    </row>
    <row r="51" spans="1:9" ht="15" thickBot="1" x14ac:dyDescent="0.35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  <c r="H51">
        <f>Table14[[#This Row],[A]]</f>
        <v>38</v>
      </c>
    </row>
    <row r="52" spans="1:9" ht="15" thickBot="1" x14ac:dyDescent="0.35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  <c r="H52">
        <f>Table14[[#This Row],[A]]</f>
        <v>28.400000000000002</v>
      </c>
    </row>
    <row r="53" spans="1:9" ht="15" thickBot="1" x14ac:dyDescent="0.35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  <c r="H53">
        <f>Table14[[#This Row],[A]]</f>
        <v>18.400000000000002</v>
      </c>
    </row>
    <row r="54" spans="1:9" ht="15" thickBot="1" x14ac:dyDescent="0.35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  <c r="H54">
        <f>Table14[[#This Row],[A]]</f>
        <v>28.400000000000002</v>
      </c>
    </row>
    <row r="55" spans="1:9" ht="15" thickBot="1" x14ac:dyDescent="0.35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  <c r="H55">
        <f>Table14[[#This Row],[A]]</f>
        <v>8.9600000000000009</v>
      </c>
    </row>
    <row r="56" spans="1:9" ht="15" thickBot="1" x14ac:dyDescent="0.35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8">
        <f>Table14[[#This Row],[A]]</f>
        <v>19.2</v>
      </c>
      <c r="I56" s="118"/>
    </row>
    <row r="57" spans="1:9" ht="15" thickBot="1" x14ac:dyDescent="0.35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  <c r="H57">
        <f>Table14[[#This Row],[A]]</f>
        <v>16.399999999999999</v>
      </c>
    </row>
    <row r="58" spans="1:9" ht="15" thickBot="1" x14ac:dyDescent="0.35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  <c r="H58">
        <f>Table14[[#This Row],[A]]</f>
        <v>18.64</v>
      </c>
    </row>
    <row r="59" spans="1:9" ht="15" thickBot="1" x14ac:dyDescent="0.35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  <c r="H59">
        <f>Table14[[#This Row],[A]]</f>
        <v>9.2000000000000011</v>
      </c>
    </row>
    <row r="60" spans="1:9" ht="15" thickBot="1" x14ac:dyDescent="0.35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  <c r="H60">
        <f>Table14[[#This Row],[A]]</f>
        <v>28.64</v>
      </c>
    </row>
    <row r="61" spans="1:9" ht="15" thickBot="1" x14ac:dyDescent="0.35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  <c r="H61">
        <f>Table14[[#This Row],[A]]</f>
        <v>28.64</v>
      </c>
    </row>
    <row r="62" spans="1:9" ht="15" thickBot="1" x14ac:dyDescent="0.35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  <c r="H62">
        <f>Table14[[#This Row],[A]]</f>
        <v>24</v>
      </c>
    </row>
    <row r="63" spans="1:9" ht="15" thickBot="1" x14ac:dyDescent="0.35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  <c r="H63">
        <f>Table14[[#This Row],[A]]</f>
        <v>11.85</v>
      </c>
    </row>
    <row r="64" spans="1:9" ht="15" thickBot="1" x14ac:dyDescent="0.35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  <c r="H64">
        <f>Table14[[#This Row],[A]]</f>
        <v>11.919999999999998</v>
      </c>
    </row>
    <row r="65" spans="1:8" ht="15" thickBot="1" x14ac:dyDescent="0.35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  <c r="H65">
        <f>Table14[[#This Row],[A]]</f>
        <v>67.2</v>
      </c>
    </row>
    <row r="66" spans="1:8" ht="15" thickBot="1" x14ac:dyDescent="0.35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  <c r="H66">
        <f>Table14[[#This Row],[A]]+D67</f>
        <v>28.8</v>
      </c>
    </row>
    <row r="67" spans="1:8" ht="15" thickBot="1" x14ac:dyDescent="0.35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8" ht="15" thickBot="1" x14ac:dyDescent="0.35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  <c r="H68">
        <f>Table14[[#This Row],[A]]+D69</f>
        <v>27</v>
      </c>
    </row>
    <row r="69" spans="1:8" ht="15" thickBot="1" x14ac:dyDescent="0.35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8" ht="15" thickBot="1" x14ac:dyDescent="0.35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  <c r="H70">
        <f>Table14[[#This Row],[A]]</f>
        <v>33</v>
      </c>
    </row>
    <row r="71" spans="1:8" ht="15" thickBot="1" x14ac:dyDescent="0.35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  <c r="H71">
        <f>Table14[[#This Row],[A]]</f>
        <v>33</v>
      </c>
    </row>
    <row r="72" spans="1:8" ht="15" thickBot="1" x14ac:dyDescent="0.35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  <c r="H72">
        <f>Table14[[#This Row],[A]]</f>
        <v>23.84</v>
      </c>
    </row>
    <row r="73" spans="1:8" ht="15" thickBot="1" x14ac:dyDescent="0.35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  <c r="H73">
        <f>Table14[[#This Row],[A]]</f>
        <v>25.2</v>
      </c>
    </row>
    <row r="74" spans="1:8" ht="15" thickBot="1" x14ac:dyDescent="0.35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  <c r="H74">
        <f>Table14[[#This Row],[A]]+D75</f>
        <v>37.4</v>
      </c>
    </row>
    <row r="75" spans="1:8" ht="15" thickBot="1" x14ac:dyDescent="0.35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8" ht="15" thickBot="1" x14ac:dyDescent="0.35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  <c r="H76">
        <f>Table14[[#This Row],[A]]+D77</f>
        <v>55.8</v>
      </c>
    </row>
    <row r="77" spans="1:8" ht="15" thickBot="1" x14ac:dyDescent="0.35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8" ht="15" thickBot="1" x14ac:dyDescent="0.35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  <c r="H78" s="195">
        <f>Table14[[#This Row],[Ti]]+E79</f>
        <v>48</v>
      </c>
    </row>
    <row r="79" spans="1:8" ht="15" thickBot="1" x14ac:dyDescent="0.35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  <c r="H79" s="195"/>
    </row>
    <row r="80" spans="1:8" ht="15" thickBot="1" x14ac:dyDescent="0.35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  <c r="H80" s="195">
        <f>Table14[[#This Row],[A]]+D81+D82+D83+D84</f>
        <v>141.44000000000003</v>
      </c>
    </row>
    <row r="81" spans="1:9" ht="15" thickBot="1" x14ac:dyDescent="0.35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  <c r="H81" s="195"/>
    </row>
    <row r="82" spans="1:9" ht="15" thickBot="1" x14ac:dyDescent="0.35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  <c r="H82" s="195"/>
    </row>
    <row r="83" spans="1:9" ht="15" thickBot="1" x14ac:dyDescent="0.35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  <c r="H83" s="195"/>
    </row>
    <row r="84" spans="1:9" ht="15" thickBot="1" x14ac:dyDescent="0.35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  <c r="H84" s="195"/>
    </row>
    <row r="85" spans="1:9" ht="15" thickBot="1" x14ac:dyDescent="0.35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  <c r="H85" s="209">
        <f>Table14[[#This Row],[A]]+D86+D87</f>
        <v>24.76</v>
      </c>
    </row>
    <row r="86" spans="1:9" ht="15" thickBot="1" x14ac:dyDescent="0.35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  <c r="H86" s="209"/>
    </row>
    <row r="87" spans="1:9" ht="15" thickBot="1" x14ac:dyDescent="0.35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  <c r="H87" s="209"/>
    </row>
    <row r="88" spans="1:9" ht="15" thickBot="1" x14ac:dyDescent="0.35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  <c r="H88">
        <f>Table14[[#This Row],[A]]</f>
        <v>5.4</v>
      </c>
    </row>
    <row r="89" spans="1:9" ht="15" thickBot="1" x14ac:dyDescent="0.35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  <c r="H89">
        <f>Table14[[#This Row],[A]]</f>
        <v>4.92</v>
      </c>
    </row>
    <row r="90" spans="1:9" ht="15" thickBot="1" x14ac:dyDescent="0.35">
      <c r="F90" s="41" t="s">
        <v>333</v>
      </c>
      <c r="G90" s="41">
        <f>SUM(Table14[Q])</f>
        <v>18554.539067999998</v>
      </c>
    </row>
    <row r="93" spans="1:9" ht="24" thickBot="1" x14ac:dyDescent="0.5">
      <c r="A93" s="183" t="s">
        <v>41</v>
      </c>
      <c r="B93" s="183"/>
      <c r="C93" s="183"/>
      <c r="D93" s="183"/>
      <c r="E93" s="183"/>
      <c r="F93" s="183"/>
      <c r="G93" s="183"/>
      <c r="H93" s="103"/>
      <c r="I93" s="103"/>
    </row>
    <row r="94" spans="1:9" ht="15" thickBot="1" x14ac:dyDescent="0.35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" thickBot="1" x14ac:dyDescent="0.35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" thickBot="1" x14ac:dyDescent="0.35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" thickBot="1" x14ac:dyDescent="0.35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" thickBot="1" x14ac:dyDescent="0.35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" thickBot="1" x14ac:dyDescent="0.35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" thickBot="1" x14ac:dyDescent="0.35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" thickBot="1" x14ac:dyDescent="0.35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" thickBot="1" x14ac:dyDescent="0.35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" thickBot="1" x14ac:dyDescent="0.35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" thickBot="1" x14ac:dyDescent="0.35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" thickBot="1" x14ac:dyDescent="0.35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" thickBot="1" x14ac:dyDescent="0.35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" thickBot="1" x14ac:dyDescent="0.35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" thickBot="1" x14ac:dyDescent="0.35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" thickBot="1" x14ac:dyDescent="0.35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" thickBot="1" x14ac:dyDescent="0.35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" thickBot="1" x14ac:dyDescent="0.35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" thickBot="1" x14ac:dyDescent="0.35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" thickBot="1" x14ac:dyDescent="0.35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" thickBot="1" x14ac:dyDescent="0.35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" thickBot="1" x14ac:dyDescent="0.35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" thickBot="1" x14ac:dyDescent="0.35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" thickBot="1" x14ac:dyDescent="0.35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" thickBot="1" x14ac:dyDescent="0.35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" thickBot="1" x14ac:dyDescent="0.35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" thickBot="1" x14ac:dyDescent="0.35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" thickBot="1" x14ac:dyDescent="0.35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" thickBot="1" x14ac:dyDescent="0.35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" thickBot="1" x14ac:dyDescent="0.35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" thickBot="1" x14ac:dyDescent="0.35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" thickBot="1" x14ac:dyDescent="0.35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" thickBot="1" x14ac:dyDescent="0.35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" thickBot="1" x14ac:dyDescent="0.35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" thickBot="1" x14ac:dyDescent="0.35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" thickBot="1" x14ac:dyDescent="0.35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" thickBot="1" x14ac:dyDescent="0.35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" thickBot="1" x14ac:dyDescent="0.35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" thickBot="1" x14ac:dyDescent="0.35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" thickBot="1" x14ac:dyDescent="0.35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" thickBot="1" x14ac:dyDescent="0.35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" thickBot="1" x14ac:dyDescent="0.35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" thickBot="1" x14ac:dyDescent="0.35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" thickBot="1" x14ac:dyDescent="0.35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" thickBot="1" x14ac:dyDescent="0.35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" thickBot="1" x14ac:dyDescent="0.35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" thickBot="1" x14ac:dyDescent="0.35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" thickBot="1" x14ac:dyDescent="0.35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" thickBot="1" x14ac:dyDescent="0.35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" thickBot="1" x14ac:dyDescent="0.35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" thickBot="1" x14ac:dyDescent="0.35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" thickBot="1" x14ac:dyDescent="0.35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" thickBot="1" x14ac:dyDescent="0.35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" thickBot="1" x14ac:dyDescent="0.35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" thickBot="1" x14ac:dyDescent="0.35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" thickBot="1" x14ac:dyDescent="0.35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" thickBot="1" x14ac:dyDescent="0.35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" thickBot="1" x14ac:dyDescent="0.35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" thickBot="1" x14ac:dyDescent="0.35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" thickBot="1" x14ac:dyDescent="0.35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" thickBot="1" x14ac:dyDescent="0.35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" thickBot="1" x14ac:dyDescent="0.35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" thickBot="1" x14ac:dyDescent="0.35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" thickBot="1" x14ac:dyDescent="0.35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" thickBot="1" x14ac:dyDescent="0.35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" thickBot="1" x14ac:dyDescent="0.35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" thickBot="1" x14ac:dyDescent="0.35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" thickBot="1" x14ac:dyDescent="0.35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" thickBot="1" x14ac:dyDescent="0.35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" thickBot="1" x14ac:dyDescent="0.35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" thickBot="1" x14ac:dyDescent="0.35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" thickBot="1" x14ac:dyDescent="0.35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" thickBot="1" x14ac:dyDescent="0.35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" thickBot="1" x14ac:dyDescent="0.35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" thickBot="1" x14ac:dyDescent="0.35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" thickBot="1" x14ac:dyDescent="0.35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" thickBot="1" x14ac:dyDescent="0.35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" thickBot="1" x14ac:dyDescent="0.35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" thickBot="1" x14ac:dyDescent="0.35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" thickBot="1" x14ac:dyDescent="0.35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" thickBot="1" x14ac:dyDescent="0.35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" thickBot="1" x14ac:dyDescent="0.35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" thickBot="1" x14ac:dyDescent="0.35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" thickBot="1" x14ac:dyDescent="0.35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" thickBot="1" x14ac:dyDescent="0.35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" thickBot="1" x14ac:dyDescent="0.35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" thickBot="1" x14ac:dyDescent="0.35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" thickBot="1" x14ac:dyDescent="0.35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" thickBot="1" x14ac:dyDescent="0.35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" thickBot="1" x14ac:dyDescent="0.35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" thickBot="1" x14ac:dyDescent="0.35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" thickBot="1" x14ac:dyDescent="0.35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" thickBot="1" x14ac:dyDescent="0.35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" thickBot="1" x14ac:dyDescent="0.35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" thickBot="1" x14ac:dyDescent="0.35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" thickBot="1" x14ac:dyDescent="0.35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" thickBot="1" x14ac:dyDescent="0.35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" thickBot="1" x14ac:dyDescent="0.35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" thickBot="1" x14ac:dyDescent="0.35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" thickBot="1" x14ac:dyDescent="0.35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" thickBot="1" x14ac:dyDescent="0.35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" thickBot="1" x14ac:dyDescent="0.35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" thickBot="1" x14ac:dyDescent="0.35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" thickBot="1" x14ac:dyDescent="0.35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" thickBot="1" x14ac:dyDescent="0.35">
      <c r="F198" s="41" t="s">
        <v>333</v>
      </c>
      <c r="G198" s="41">
        <f>SUM(G95:G197)</f>
        <v>19890.591177600007</v>
      </c>
    </row>
    <row r="200" spans="1:9" s="118" customFormat="1" ht="23.4" x14ac:dyDescent="0.45">
      <c r="A200" s="184" t="s">
        <v>59</v>
      </c>
      <c r="B200" s="184"/>
      <c r="C200" s="184"/>
      <c r="D200" s="184"/>
      <c r="E200" s="184"/>
      <c r="F200" s="184"/>
      <c r="G200" s="184"/>
      <c r="H200" s="106"/>
      <c r="I200" s="106"/>
    </row>
    <row r="201" spans="1:9" ht="15" thickBot="1" x14ac:dyDescent="0.35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" thickBot="1" x14ac:dyDescent="0.35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" thickBot="1" x14ac:dyDescent="0.35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" thickBot="1" x14ac:dyDescent="0.35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" thickBot="1" x14ac:dyDescent="0.35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" thickBot="1" x14ac:dyDescent="0.35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" thickBot="1" x14ac:dyDescent="0.35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" thickBot="1" x14ac:dyDescent="0.35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" thickBot="1" x14ac:dyDescent="0.35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" thickBot="1" x14ac:dyDescent="0.35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" thickBot="1" x14ac:dyDescent="0.35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" thickBot="1" x14ac:dyDescent="0.35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" thickBot="1" x14ac:dyDescent="0.35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" thickBot="1" x14ac:dyDescent="0.35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" thickBot="1" x14ac:dyDescent="0.35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" thickBot="1" x14ac:dyDescent="0.35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" thickBot="1" x14ac:dyDescent="0.35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" thickBot="1" x14ac:dyDescent="0.35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" thickBot="1" x14ac:dyDescent="0.35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" thickBot="1" x14ac:dyDescent="0.35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" thickBot="1" x14ac:dyDescent="0.35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" thickBot="1" x14ac:dyDescent="0.35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" thickBot="1" x14ac:dyDescent="0.35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" thickBot="1" x14ac:dyDescent="0.35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" thickBot="1" x14ac:dyDescent="0.35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" thickBot="1" x14ac:dyDescent="0.35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" thickBot="1" x14ac:dyDescent="0.35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" thickBot="1" x14ac:dyDescent="0.35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" thickBot="1" x14ac:dyDescent="0.35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" thickBot="1" x14ac:dyDescent="0.35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" thickBot="1" x14ac:dyDescent="0.35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" thickBot="1" x14ac:dyDescent="0.35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" thickBot="1" x14ac:dyDescent="0.35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" thickBot="1" x14ac:dyDescent="0.35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" thickBot="1" x14ac:dyDescent="0.35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" thickBot="1" x14ac:dyDescent="0.35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" thickBot="1" x14ac:dyDescent="0.35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" thickBot="1" x14ac:dyDescent="0.35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" thickBot="1" x14ac:dyDescent="0.35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" thickBot="1" x14ac:dyDescent="0.35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" thickBot="1" x14ac:dyDescent="0.35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" thickBot="1" x14ac:dyDescent="0.35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" thickBot="1" x14ac:dyDescent="0.35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" thickBot="1" x14ac:dyDescent="0.35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" thickBot="1" x14ac:dyDescent="0.35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" thickBot="1" x14ac:dyDescent="0.35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" thickBot="1" x14ac:dyDescent="0.35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" thickBot="1" x14ac:dyDescent="0.35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" thickBot="1" x14ac:dyDescent="0.35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" thickBot="1" x14ac:dyDescent="0.35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" thickBot="1" x14ac:dyDescent="0.35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" thickBot="1" x14ac:dyDescent="0.35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" thickBot="1" x14ac:dyDescent="0.35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" thickBot="1" x14ac:dyDescent="0.35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" thickBot="1" x14ac:dyDescent="0.35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" thickBot="1" x14ac:dyDescent="0.35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" thickBot="1" x14ac:dyDescent="0.35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" thickBot="1" x14ac:dyDescent="0.35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" thickBot="1" x14ac:dyDescent="0.35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" thickBot="1" x14ac:dyDescent="0.35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" thickBot="1" x14ac:dyDescent="0.35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" thickBot="1" x14ac:dyDescent="0.35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" thickBot="1" x14ac:dyDescent="0.35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" thickBot="1" x14ac:dyDescent="0.35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" thickBot="1" x14ac:dyDescent="0.35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" thickBot="1" x14ac:dyDescent="0.35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" thickBot="1" x14ac:dyDescent="0.35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" thickBot="1" x14ac:dyDescent="0.35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" thickBot="1" x14ac:dyDescent="0.35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" thickBot="1" x14ac:dyDescent="0.35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" thickBot="1" x14ac:dyDescent="0.35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" thickBot="1" x14ac:dyDescent="0.35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" thickBot="1" x14ac:dyDescent="0.35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" thickBot="1" x14ac:dyDescent="0.35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" thickBot="1" x14ac:dyDescent="0.35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" thickBot="1" x14ac:dyDescent="0.35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" thickBot="1" x14ac:dyDescent="0.35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" thickBot="1" x14ac:dyDescent="0.35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" thickBot="1" x14ac:dyDescent="0.35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" thickBot="1" x14ac:dyDescent="0.35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" thickBot="1" x14ac:dyDescent="0.35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" thickBot="1" x14ac:dyDescent="0.35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" thickBot="1" x14ac:dyDescent="0.35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" thickBot="1" x14ac:dyDescent="0.35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" thickBot="1" x14ac:dyDescent="0.35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" thickBot="1" x14ac:dyDescent="0.35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" thickBot="1" x14ac:dyDescent="0.35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" thickBot="1" x14ac:dyDescent="0.35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" thickBot="1" x14ac:dyDescent="0.35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" thickBot="1" x14ac:dyDescent="0.35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" thickBot="1" x14ac:dyDescent="0.35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" thickBot="1" x14ac:dyDescent="0.35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" thickBot="1" x14ac:dyDescent="0.35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" thickBot="1" x14ac:dyDescent="0.35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" thickBot="1" x14ac:dyDescent="0.35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" thickBot="1" x14ac:dyDescent="0.35">
      <c r="F296" s="41" t="s">
        <v>333</v>
      </c>
      <c r="G296" s="41">
        <f>SUM(Table16[Q])</f>
        <v>17107.397424000003</v>
      </c>
    </row>
  </sheetData>
  <mergeCells count="20">
    <mergeCell ref="H85:H87"/>
    <mergeCell ref="H80:H84"/>
    <mergeCell ref="H78:H79"/>
    <mergeCell ref="A2:G2"/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  <mergeCell ref="H13:H16"/>
    <mergeCell ref="H19:H20"/>
  </mergeCells>
  <conditionalFormatting sqref="E4:F89">
    <cfRule type="cellIs" dxfId="29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S128"/>
  <sheetViews>
    <sheetView zoomScaleNormal="100" workbookViewId="0">
      <selection activeCell="L169" sqref="L169"/>
    </sheetView>
  </sheetViews>
  <sheetFormatPr defaultRowHeight="14.4" x14ac:dyDescent="0.3"/>
  <cols>
    <col min="1" max="1" width="36.88671875" style="77" customWidth="1"/>
    <col min="2" max="2" width="6.88671875" style="77" customWidth="1"/>
    <col min="3" max="3" width="7" style="77" customWidth="1"/>
    <col min="4" max="4" width="5.5546875" style="77" customWidth="1"/>
    <col min="5" max="5" width="6.88671875" style="77" customWidth="1"/>
    <col min="6" max="6" width="10.109375" style="77" customWidth="1"/>
    <col min="7" max="7" width="12.109375" style="77" customWidth="1"/>
    <col min="8" max="8" width="9.33203125" style="77" customWidth="1"/>
    <col min="9" max="9" width="10" style="77" customWidth="1"/>
    <col min="10" max="11" width="9.109375" style="77"/>
  </cols>
  <sheetData>
    <row r="1" spans="1:19" ht="24.75" customHeight="1" x14ac:dyDescent="0.3">
      <c r="A1" s="185" t="s">
        <v>504</v>
      </c>
      <c r="B1" s="185"/>
      <c r="C1" s="185"/>
      <c r="D1" s="185"/>
      <c r="E1" s="185"/>
      <c r="F1" s="185"/>
      <c r="G1" s="185"/>
      <c r="H1" s="185"/>
      <c r="I1" s="185"/>
      <c r="J1" s="104"/>
      <c r="K1" s="104"/>
    </row>
    <row r="2" spans="1:19" ht="24" thickBot="1" x14ac:dyDescent="0.5">
      <c r="A2" s="183" t="s">
        <v>160</v>
      </c>
      <c r="B2" s="183"/>
      <c r="C2" s="183"/>
      <c r="D2" s="183"/>
      <c r="E2" s="183"/>
      <c r="F2" s="183"/>
      <c r="G2" s="183"/>
      <c r="H2" s="183"/>
      <c r="I2" s="183"/>
      <c r="J2" s="103"/>
      <c r="K2" s="103"/>
    </row>
    <row r="3" spans="1:19" ht="15" thickBot="1" x14ac:dyDescent="0.35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J3" s="71" t="s">
        <v>53</v>
      </c>
      <c r="K3" s="172" t="s">
        <v>556</v>
      </c>
      <c r="N3" s="199" t="s">
        <v>539</v>
      </c>
      <c r="O3" s="199"/>
      <c r="P3" s="199"/>
      <c r="Q3" s="199"/>
      <c r="R3" s="199"/>
      <c r="S3" s="199"/>
    </row>
    <row r="4" spans="1:19" ht="15" thickBot="1" x14ac:dyDescent="0.35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 s="168">
        <v>16.3</v>
      </c>
      <c r="K4" s="168">
        <f>Table17[[#This Row],[L/s]]/Table17[[#This Row],[Area]]</f>
        <v>0.98159509202453987</v>
      </c>
      <c r="N4" s="200"/>
      <c r="O4" s="200"/>
      <c r="P4" s="200"/>
      <c r="Q4" s="133" t="s">
        <v>541</v>
      </c>
      <c r="R4" s="133" t="s">
        <v>542</v>
      </c>
      <c r="S4" s="133" t="s">
        <v>430</v>
      </c>
    </row>
    <row r="5" spans="1:19" ht="15" thickBot="1" x14ac:dyDescent="0.35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 s="95">
        <v>23.4</v>
      </c>
      <c r="K5" s="95">
        <f>Table17[[#This Row],[L/s]]/Table17[[#This Row],[Area]]</f>
        <v>1.9230769230769231</v>
      </c>
      <c r="N5" s="201" t="s">
        <v>160</v>
      </c>
      <c r="O5" s="201"/>
      <c r="P5" s="201"/>
      <c r="Q5" s="82">
        <f>H41</f>
        <v>9262.7920000000013</v>
      </c>
      <c r="R5" s="82">
        <f>I41</f>
        <v>18303.154668000006</v>
      </c>
      <c r="S5" s="82">
        <f>Q5+R5</f>
        <v>27565.946668000008</v>
      </c>
    </row>
    <row r="6" spans="1:19" ht="15" thickBot="1" x14ac:dyDescent="0.35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 s="95">
        <v>131.30000000000001</v>
      </c>
      <c r="K6" s="95">
        <f>Table17[[#This Row],[L/s]]/Table17[[#This Row],[Area]]</f>
        <v>0.30464584920030463</v>
      </c>
      <c r="N6" s="201" t="s">
        <v>41</v>
      </c>
      <c r="O6" s="201"/>
      <c r="P6" s="201"/>
      <c r="Q6" s="82">
        <f>H90</f>
        <v>20168.763999999999</v>
      </c>
      <c r="R6" s="82">
        <f>I90</f>
        <v>39472.195050000002</v>
      </c>
      <c r="S6" s="82">
        <f>Q6+R6</f>
        <v>59640.959050000005</v>
      </c>
    </row>
    <row r="7" spans="1:19" ht="15" thickBot="1" x14ac:dyDescent="0.35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 s="95">
        <v>31.3</v>
      </c>
      <c r="K7" s="95">
        <f>Table17[[#This Row],[L/s]]/Table17[[#This Row],[Area]]</f>
        <v>0.23961661341853036</v>
      </c>
      <c r="N7" s="201" t="s">
        <v>59</v>
      </c>
      <c r="O7" s="201"/>
      <c r="P7" s="201"/>
      <c r="Q7" s="82">
        <f>H127</f>
        <v>13106.016</v>
      </c>
      <c r="R7" s="82">
        <f>I127</f>
        <v>25681.30218000001</v>
      </c>
      <c r="S7" s="82">
        <f>Q7+R7</f>
        <v>38787.318180000009</v>
      </c>
    </row>
    <row r="8" spans="1:19" ht="15" thickBot="1" x14ac:dyDescent="0.35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 s="95">
        <v>20.7</v>
      </c>
      <c r="K8" s="95">
        <f>Table17[[#This Row],[L/s]]/Table17[[#This Row],[Area]]</f>
        <v>0.77294685990338163</v>
      </c>
      <c r="N8" s="189" t="s">
        <v>540</v>
      </c>
      <c r="O8" s="189"/>
      <c r="P8" s="189"/>
      <c r="Q8" s="193">
        <f>SUM(Q5:Q7)</f>
        <v>42537.572</v>
      </c>
      <c r="R8" s="193">
        <f>SUM(R5:R7)</f>
        <v>83456.651898000026</v>
      </c>
      <c r="S8" s="193">
        <f>S5+S6+S7</f>
        <v>125994.22389800003</v>
      </c>
    </row>
    <row r="9" spans="1:19" ht="15" thickBot="1" x14ac:dyDescent="0.35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 s="95">
        <v>36.6</v>
      </c>
      <c r="K9" s="95">
        <f>Table17[[#This Row],[L/s]]/Table17[[#This Row],[Area]]</f>
        <v>0.13661202185792348</v>
      </c>
      <c r="N9" s="189"/>
      <c r="O9" s="189"/>
      <c r="P9" s="189"/>
      <c r="Q9" s="194"/>
      <c r="R9" s="194"/>
      <c r="S9" s="194"/>
    </row>
    <row r="10" spans="1:19" ht="15" thickBot="1" x14ac:dyDescent="0.35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 s="95">
        <v>17.100000000000001</v>
      </c>
      <c r="K10" s="95">
        <f>Table17[[#This Row],[L/s]]/Table17[[#This Row],[Area]]</f>
        <v>0.93567251461988299</v>
      </c>
    </row>
    <row r="11" spans="1:19" ht="15" thickBot="1" x14ac:dyDescent="0.35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 s="95">
        <v>11.6</v>
      </c>
      <c r="K11" s="95">
        <f>Table17[[#This Row],[L/s]]/Table17[[#This Row],[Area]]</f>
        <v>0.21551724137931036</v>
      </c>
    </row>
    <row r="12" spans="1:19" ht="15" thickBot="1" x14ac:dyDescent="0.35">
      <c r="A12" s="169" t="s">
        <v>175</v>
      </c>
      <c r="B12" s="170">
        <v>14</v>
      </c>
      <c r="C12" s="170">
        <f>B12*References!AS12</f>
        <v>112</v>
      </c>
      <c r="D12" s="170">
        <v>34.5</v>
      </c>
      <c r="E12" s="170">
        <v>22.5</v>
      </c>
      <c r="F12" s="170">
        <v>1.8136751999999999E-2</v>
      </c>
      <c r="G12" s="170">
        <v>8.4806099999999995E-3</v>
      </c>
      <c r="H12" s="170">
        <f t="shared" si="0"/>
        <v>1655.808</v>
      </c>
      <c r="I12" s="171">
        <f t="shared" si="1"/>
        <v>3244.4637119999998</v>
      </c>
      <c r="J12" s="95"/>
      <c r="K12" s="95" t="e">
        <f>Table17[[#This Row],[L/s]]/Table17[[#This Row],[Area]]</f>
        <v>#DIV/0!</v>
      </c>
    </row>
    <row r="13" spans="1:19" ht="15" thickBot="1" x14ac:dyDescent="0.35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 s="95">
        <v>32.9</v>
      </c>
      <c r="K13" s="95">
        <f>Table17[[#This Row],[L/s]]/Table17[[#This Row],[Area]]</f>
        <v>1.21580547112462</v>
      </c>
    </row>
    <row r="14" spans="1:19" ht="15" thickBot="1" x14ac:dyDescent="0.35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 s="95">
        <v>14.4</v>
      </c>
      <c r="K14" s="95">
        <f>Table17[[#This Row],[L/s]]/Table17[[#This Row],[Area]]</f>
        <v>0.34722222222222221</v>
      </c>
    </row>
    <row r="15" spans="1:19" ht="15" thickBot="1" x14ac:dyDescent="0.35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 s="95">
        <v>14.4</v>
      </c>
      <c r="K15" s="95">
        <f>Table17[[#This Row],[L/s]]/Table17[[#This Row],[Area]]</f>
        <v>0.34722222222222221</v>
      </c>
    </row>
    <row r="16" spans="1:19" ht="15" thickBot="1" x14ac:dyDescent="0.35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 s="95">
        <v>14.4</v>
      </c>
      <c r="K16" s="95">
        <f>Table17[[#This Row],[L/s]]/Table17[[#This Row],[Area]]</f>
        <v>0.34722222222222221</v>
      </c>
    </row>
    <row r="17" spans="1:11" ht="15" thickBot="1" x14ac:dyDescent="0.35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 s="95">
        <v>14.4</v>
      </c>
      <c r="K17" s="95">
        <f>Table17[[#This Row],[L/s]]/Table17[[#This Row],[Area]]</f>
        <v>0.34722222222222221</v>
      </c>
    </row>
    <row r="18" spans="1:11" ht="15" thickBot="1" x14ac:dyDescent="0.35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 s="95">
        <v>5.5</v>
      </c>
      <c r="K18" s="95">
        <f>Table17[[#This Row],[L/s]]/Table17[[#This Row],[Area]]</f>
        <v>0.45454545454545453</v>
      </c>
    </row>
    <row r="19" spans="1:11" ht="15" thickBot="1" x14ac:dyDescent="0.35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 s="95">
        <v>5.5</v>
      </c>
      <c r="K19" s="95">
        <f>Table17[[#This Row],[L/s]]/Table17[[#This Row],[Area]]</f>
        <v>0.45454545454545453</v>
      </c>
    </row>
    <row r="20" spans="1:11" ht="15" thickBot="1" x14ac:dyDescent="0.35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 s="95">
        <v>5.6</v>
      </c>
      <c r="K20" s="95">
        <f>Table17[[#This Row],[L/s]]/Table17[[#This Row],[Area]]</f>
        <v>0.44642857142857145</v>
      </c>
    </row>
    <row r="21" spans="1:11" ht="15" thickBot="1" x14ac:dyDescent="0.35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 s="95">
        <v>9.1</v>
      </c>
      <c r="K21" s="95">
        <f>Table17[[#This Row],[L/s]]/Table17[[#This Row],[Area]]</f>
        <v>0.27472527472527475</v>
      </c>
    </row>
    <row r="22" spans="1:11" ht="15" thickBot="1" x14ac:dyDescent="0.35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 s="95">
        <v>5</v>
      </c>
      <c r="K22" s="95">
        <f>Table17[[#This Row],[L/s]]/Table17[[#This Row],[Area]]</f>
        <v>1.6</v>
      </c>
    </row>
    <row r="23" spans="1:11" ht="15" thickBot="1" x14ac:dyDescent="0.35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 s="95">
        <v>25.3</v>
      </c>
      <c r="K23" s="95">
        <f>Table17[[#This Row],[L/s]]/Table17[[#This Row],[Area]]</f>
        <v>0.9486166007905138</v>
      </c>
    </row>
    <row r="24" spans="1:11" ht="15" thickBot="1" x14ac:dyDescent="0.35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 s="95">
        <v>14.4</v>
      </c>
      <c r="K24" s="95">
        <f>Table17[[#This Row],[L/s]]/Table17[[#This Row],[Area]]</f>
        <v>0.34722222222222221</v>
      </c>
    </row>
    <row r="25" spans="1:11" ht="15" thickBot="1" x14ac:dyDescent="0.35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 s="95">
        <v>14.4</v>
      </c>
      <c r="K25" s="95">
        <f>Table17[[#This Row],[L/s]]/Table17[[#This Row],[Area]]</f>
        <v>0.34722222222222221</v>
      </c>
    </row>
    <row r="26" spans="1:11" ht="15" thickBot="1" x14ac:dyDescent="0.35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 s="95">
        <v>10</v>
      </c>
      <c r="K26" s="95">
        <f>Table17[[#This Row],[L/s]]/Table17[[#This Row],[Area]]</f>
        <v>0.25</v>
      </c>
    </row>
    <row r="27" spans="1:11" ht="15" thickBot="1" x14ac:dyDescent="0.35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 s="95">
        <v>14.4</v>
      </c>
      <c r="K27" s="95">
        <f>Table17[[#This Row],[L/s]]/Table17[[#This Row],[Area]]</f>
        <v>0.34722222222222221</v>
      </c>
    </row>
    <row r="28" spans="1:11" ht="15" thickBot="1" x14ac:dyDescent="0.35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 s="95">
        <v>14.4</v>
      </c>
      <c r="K28" s="95">
        <f>Table17[[#This Row],[L/s]]/Table17[[#This Row],[Area]]</f>
        <v>0.34722222222222221</v>
      </c>
    </row>
    <row r="29" spans="1:11" ht="15" thickBot="1" x14ac:dyDescent="0.35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 s="95">
        <v>13.6</v>
      </c>
      <c r="K29" s="95">
        <f>Table17[[#This Row],[L/s]]/Table17[[#This Row],[Area]]</f>
        <v>0.18382352941176472</v>
      </c>
    </row>
    <row r="30" spans="1:11" ht="15" thickBot="1" x14ac:dyDescent="0.35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 s="95">
        <v>35.299999999999997</v>
      </c>
      <c r="K30" s="95">
        <f>Table17[[#This Row],[L/s]]/Table17[[#This Row],[Area]]</f>
        <v>0.28328611898016998</v>
      </c>
    </row>
    <row r="31" spans="1:11" ht="15" thickBot="1" x14ac:dyDescent="0.35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 s="95">
        <v>13.6</v>
      </c>
      <c r="K31" s="95">
        <f>Table17[[#This Row],[L/s]]/Table17[[#This Row],[Area]]</f>
        <v>0.18382352941176472</v>
      </c>
    </row>
    <row r="32" spans="1:11" ht="15" thickBot="1" x14ac:dyDescent="0.35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 s="95">
        <v>10.4</v>
      </c>
      <c r="K32" s="95">
        <f>Table17[[#This Row],[L/s]]/Table17[[#This Row],[Area]]</f>
        <v>0.24038461538461536</v>
      </c>
    </row>
    <row r="33" spans="1:11" ht="15" thickBot="1" x14ac:dyDescent="0.35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 s="95">
        <v>11.6</v>
      </c>
      <c r="K33" s="95">
        <f>Table17[[#This Row],[L/s]]/Table17[[#This Row],[Area]]</f>
        <v>0.21551724137931036</v>
      </c>
    </row>
    <row r="34" spans="1:11" ht="15" thickBot="1" x14ac:dyDescent="0.35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 s="95">
        <v>19.100000000000001</v>
      </c>
      <c r="K34" s="95">
        <f>Table17[[#This Row],[L/s]]/Table17[[#This Row],[Area]]</f>
        <v>0.83769633507853392</v>
      </c>
    </row>
    <row r="35" spans="1:11" ht="15" thickBot="1" x14ac:dyDescent="0.35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 s="95">
        <v>5.7</v>
      </c>
      <c r="K35" s="95">
        <f>Table17[[#This Row],[L/s]]/Table17[[#This Row],[Area]]</f>
        <v>0.43859649122807015</v>
      </c>
    </row>
    <row r="36" spans="1:11" ht="15" thickBot="1" x14ac:dyDescent="0.35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 s="95">
        <v>9.1999999999999993</v>
      </c>
      <c r="K36" s="95">
        <f>Table17[[#This Row],[L/s]]/Table17[[#This Row],[Area]]</f>
        <v>0.27173913043478265</v>
      </c>
    </row>
    <row r="37" spans="1:11" ht="15" thickBot="1" x14ac:dyDescent="0.35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 s="95"/>
      <c r="K37" s="95" t="e">
        <f>Table17[[#This Row],[L/s]]/Table17[[#This Row],[Area]]</f>
        <v>#DIV/0!</v>
      </c>
    </row>
    <row r="38" spans="1:11" ht="15" thickBot="1" x14ac:dyDescent="0.35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 s="95">
        <v>123.1</v>
      </c>
      <c r="K38" s="95">
        <f>Table17[[#This Row],[L/s]]/Table17[[#This Row],[Area]]</f>
        <v>0.32493907392363935</v>
      </c>
    </row>
    <row r="39" spans="1:11" ht="15" thickBot="1" x14ac:dyDescent="0.35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 s="95">
        <v>27</v>
      </c>
      <c r="K39" s="95">
        <f>Table17[[#This Row],[L/s]]/Table17[[#This Row],[Area]]</f>
        <v>0.27777777777777779</v>
      </c>
    </row>
    <row r="40" spans="1:11" ht="15" thickBot="1" x14ac:dyDescent="0.35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 s="98">
        <v>181.7</v>
      </c>
      <c r="K40" s="98">
        <f>Table17[[#This Row],[L/s]]/Table17[[#This Row],[Area]]</f>
        <v>0.88057237204182726</v>
      </c>
    </row>
    <row r="41" spans="1:11" s="118" customFormat="1" ht="15" thickBot="1" x14ac:dyDescent="0.35">
      <c r="A41" s="119"/>
      <c r="B41" s="120"/>
      <c r="C41" s="119"/>
      <c r="D41" s="119"/>
      <c r="E41" s="119"/>
      <c r="F41" s="119"/>
      <c r="G41" s="128" t="s">
        <v>122</v>
      </c>
      <c r="H41" s="41">
        <f>SUM(Table17[Qs (W)])</f>
        <v>9262.7920000000013</v>
      </c>
      <c r="I41" s="128">
        <f>SUM(Table17[Qw (W)])</f>
        <v>18303.154668000006</v>
      </c>
      <c r="J41" s="89"/>
      <c r="K41" s="89"/>
    </row>
    <row r="42" spans="1:11" ht="15" thickBot="1" x14ac:dyDescent="0.35">
      <c r="G42" s="210" t="s">
        <v>161</v>
      </c>
      <c r="H42" s="210"/>
      <c r="I42" s="128">
        <f>H41+I41</f>
        <v>27565.946668000008</v>
      </c>
    </row>
    <row r="43" spans="1:11" s="118" customFormat="1" x14ac:dyDescent="0.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</row>
    <row r="44" spans="1:11" ht="24" thickBot="1" x14ac:dyDescent="0.5">
      <c r="A44" s="183" t="s">
        <v>41</v>
      </c>
      <c r="B44" s="183"/>
      <c r="C44" s="183"/>
      <c r="D44" s="183"/>
      <c r="E44" s="183"/>
      <c r="F44" s="183"/>
      <c r="G44" s="183"/>
      <c r="H44" s="183"/>
      <c r="I44" s="183"/>
      <c r="J44" s="103"/>
      <c r="K44" s="103"/>
    </row>
    <row r="45" spans="1:11" ht="15" thickBot="1" x14ac:dyDescent="0.35">
      <c r="A45" s="100" t="s">
        <v>19</v>
      </c>
      <c r="B45" s="101" t="s">
        <v>496</v>
      </c>
      <c r="C45" s="101" t="s">
        <v>20</v>
      </c>
      <c r="D45" s="101" t="s">
        <v>12</v>
      </c>
      <c r="E45" s="101" t="s">
        <v>7</v>
      </c>
      <c r="F45" s="101" t="s">
        <v>21</v>
      </c>
      <c r="G45" s="101" t="s">
        <v>22</v>
      </c>
      <c r="H45" s="101" t="s">
        <v>497</v>
      </c>
      <c r="I45" s="102" t="s">
        <v>498</v>
      </c>
      <c r="J45" s="167" t="s">
        <v>556</v>
      </c>
    </row>
    <row r="46" spans="1:11" ht="15" thickBot="1" x14ac:dyDescent="0.35">
      <c r="A46" s="94" t="s">
        <v>123</v>
      </c>
      <c r="B46" s="82">
        <v>5</v>
      </c>
      <c r="C46" s="95">
        <f>B46*References!AT4</f>
        <v>65</v>
      </c>
      <c r="D46" s="95">
        <v>34.5</v>
      </c>
      <c r="E46" s="95">
        <v>22.5</v>
      </c>
      <c r="F46" s="95">
        <v>1.813675E-2</v>
      </c>
      <c r="G46" s="95">
        <f>_xlfn.IFS(E46=22.5,0.00848061,E46=22,0.00821976,E46=24,0.00929323)</f>
        <v>8.4806099999999995E-3</v>
      </c>
      <c r="H46" s="95">
        <f t="shared" ref="H46:H89" si="2">ABS(1.232*C46*(D46-E46))</f>
        <v>960.96</v>
      </c>
      <c r="I46" s="96">
        <f t="shared" ref="I46:I89" si="3">ABS(3000*C46*(F46-G46))</f>
        <v>1882.9473</v>
      </c>
      <c r="J46" s="168">
        <f>Table18[[#This Row],[L/s]]/Table18[[#This Row],[Occ.]]</f>
        <v>13</v>
      </c>
    </row>
    <row r="47" spans="1:11" ht="15" thickBot="1" x14ac:dyDescent="0.35">
      <c r="A47" s="94" t="s">
        <v>169</v>
      </c>
      <c r="B47" s="82">
        <v>5</v>
      </c>
      <c r="C47" s="95">
        <f>B47*References!AT5</f>
        <v>65</v>
      </c>
      <c r="D47" s="95">
        <v>34.5</v>
      </c>
      <c r="E47" s="95">
        <v>22.5</v>
      </c>
      <c r="F47" s="95">
        <v>1.813675E-2</v>
      </c>
      <c r="G47" s="95">
        <f t="shared" ref="G47:G89" si="4">_xlfn.IFS(E47=22.5,0.00848061,E47=22,0.00821976,E47=24,0.00929323)</f>
        <v>8.4806099999999995E-3</v>
      </c>
      <c r="H47" s="95">
        <f t="shared" si="2"/>
        <v>960.96</v>
      </c>
      <c r="I47" s="96">
        <f t="shared" si="3"/>
        <v>1882.9473</v>
      </c>
      <c r="J47" s="95">
        <f>Table18[[#This Row],[L/s]]/Table18[[#This Row],[Occ.]]</f>
        <v>13</v>
      </c>
    </row>
    <row r="48" spans="1:11" ht="15" thickBot="1" x14ac:dyDescent="0.35">
      <c r="A48" s="94" t="s">
        <v>124</v>
      </c>
      <c r="B48" s="82">
        <v>5</v>
      </c>
      <c r="C48" s="95">
        <f>B48*References!AT6</f>
        <v>65</v>
      </c>
      <c r="D48" s="95">
        <v>34.5</v>
      </c>
      <c r="E48" s="95">
        <v>22.5</v>
      </c>
      <c r="F48" s="95">
        <v>1.813675E-2</v>
      </c>
      <c r="G48" s="95">
        <f t="shared" si="4"/>
        <v>8.4806099999999995E-3</v>
      </c>
      <c r="H48" s="95">
        <f t="shared" si="2"/>
        <v>960.96</v>
      </c>
      <c r="I48" s="96">
        <f t="shared" si="3"/>
        <v>1882.9473</v>
      </c>
      <c r="J48" s="95">
        <f>Table18[[#This Row],[L/s]]/Table18[[#This Row],[Occ.]]</f>
        <v>13</v>
      </c>
    </row>
    <row r="49" spans="1:10" ht="15" thickBot="1" x14ac:dyDescent="0.35">
      <c r="A49" s="94" t="s">
        <v>125</v>
      </c>
      <c r="B49" s="82">
        <v>5</v>
      </c>
      <c r="C49" s="95">
        <f>B49*References!AT7</f>
        <v>65</v>
      </c>
      <c r="D49" s="95">
        <v>34.5</v>
      </c>
      <c r="E49" s="95">
        <v>22.5</v>
      </c>
      <c r="F49" s="95">
        <v>1.813675E-2</v>
      </c>
      <c r="G49" s="95">
        <f t="shared" si="4"/>
        <v>8.4806099999999995E-3</v>
      </c>
      <c r="H49" s="95">
        <f t="shared" si="2"/>
        <v>960.96</v>
      </c>
      <c r="I49" s="96">
        <f t="shared" si="3"/>
        <v>1882.9473</v>
      </c>
      <c r="J49" s="95">
        <f>Table18[[#This Row],[L/s]]/Table18[[#This Row],[Occ.]]</f>
        <v>13</v>
      </c>
    </row>
    <row r="50" spans="1:10" ht="15" thickBot="1" x14ac:dyDescent="0.35">
      <c r="A50" s="94" t="s">
        <v>170</v>
      </c>
      <c r="B50" s="82">
        <v>2</v>
      </c>
      <c r="C50" s="95">
        <f>B50*References!AT8</f>
        <v>26</v>
      </c>
      <c r="D50" s="95">
        <v>34.5</v>
      </c>
      <c r="E50" s="95">
        <v>22.5</v>
      </c>
      <c r="F50" s="95">
        <v>1.813675E-2</v>
      </c>
      <c r="G50" s="95">
        <f t="shared" si="4"/>
        <v>8.4806099999999995E-3</v>
      </c>
      <c r="H50" s="95">
        <f t="shared" si="2"/>
        <v>384.38399999999996</v>
      </c>
      <c r="I50" s="96">
        <f t="shared" si="3"/>
        <v>753.17892000000006</v>
      </c>
      <c r="J50" s="95">
        <f>Table18[[#This Row],[L/s]]/Table18[[#This Row],[Occ.]]</f>
        <v>13</v>
      </c>
    </row>
    <row r="51" spans="1:10" ht="15" thickBot="1" x14ac:dyDescent="0.35">
      <c r="A51" s="94" t="s">
        <v>171</v>
      </c>
      <c r="B51" s="82">
        <v>2</v>
      </c>
      <c r="C51" s="95">
        <f>B51*References!AT9</f>
        <v>26</v>
      </c>
      <c r="D51" s="95">
        <v>34.5</v>
      </c>
      <c r="E51" s="95">
        <v>22.5</v>
      </c>
      <c r="F51" s="95">
        <v>1.813675E-2</v>
      </c>
      <c r="G51" s="95">
        <f t="shared" si="4"/>
        <v>8.4806099999999995E-3</v>
      </c>
      <c r="H51" s="95">
        <f t="shared" si="2"/>
        <v>384.38399999999996</v>
      </c>
      <c r="I51" s="96">
        <f t="shared" si="3"/>
        <v>753.17892000000006</v>
      </c>
      <c r="J51" s="95">
        <f>Table18[[#This Row],[L/s]]/Table18[[#This Row],[Occ.]]</f>
        <v>13</v>
      </c>
    </row>
    <row r="52" spans="1:10" ht="15" thickBot="1" x14ac:dyDescent="0.35">
      <c r="A52" s="94" t="s">
        <v>172</v>
      </c>
      <c r="B52" s="82">
        <v>2</v>
      </c>
      <c r="C52" s="95">
        <f>B52*References!AT10</f>
        <v>26</v>
      </c>
      <c r="D52" s="95">
        <v>34.5</v>
      </c>
      <c r="E52" s="95">
        <v>22.5</v>
      </c>
      <c r="F52" s="95">
        <v>1.813675E-2</v>
      </c>
      <c r="G52" s="95">
        <f t="shared" si="4"/>
        <v>8.4806099999999995E-3</v>
      </c>
      <c r="H52" s="95">
        <f t="shared" si="2"/>
        <v>384.38399999999996</v>
      </c>
      <c r="I52" s="96">
        <f t="shared" si="3"/>
        <v>753.17892000000006</v>
      </c>
      <c r="J52" s="95">
        <f>Table18[[#This Row],[L/s]]/Table18[[#This Row],[Occ.]]</f>
        <v>13</v>
      </c>
    </row>
    <row r="53" spans="1:10" ht="15" thickBot="1" x14ac:dyDescent="0.35">
      <c r="A53" s="94" t="s">
        <v>173</v>
      </c>
      <c r="B53" s="82">
        <v>7</v>
      </c>
      <c r="C53" s="95">
        <f>B53*References!AT11</f>
        <v>17.5</v>
      </c>
      <c r="D53" s="95">
        <v>34.5</v>
      </c>
      <c r="E53" s="95">
        <v>22.5</v>
      </c>
      <c r="F53" s="95">
        <v>1.813675E-2</v>
      </c>
      <c r="G53" s="95">
        <f t="shared" si="4"/>
        <v>8.4806099999999995E-3</v>
      </c>
      <c r="H53" s="95">
        <f t="shared" si="2"/>
        <v>258.71999999999997</v>
      </c>
      <c r="I53" s="96">
        <f t="shared" si="3"/>
        <v>506.94735000000003</v>
      </c>
      <c r="J53" s="95">
        <f>Table18[[#This Row],[L/s]]/Table18[[#This Row],[Occ.]]</f>
        <v>2.5</v>
      </c>
    </row>
    <row r="54" spans="1:10" ht="15" thickBot="1" x14ac:dyDescent="0.35">
      <c r="A54" s="94" t="s">
        <v>174</v>
      </c>
      <c r="B54" s="82">
        <v>2</v>
      </c>
      <c r="C54" s="95">
        <f>B54*References!AT12</f>
        <v>16</v>
      </c>
      <c r="D54" s="95">
        <v>34.5</v>
      </c>
      <c r="E54" s="95">
        <v>22.5</v>
      </c>
      <c r="F54" s="95">
        <v>1.813675E-2</v>
      </c>
      <c r="G54" s="95">
        <f t="shared" si="4"/>
        <v>8.4806099999999995E-3</v>
      </c>
      <c r="H54" s="95">
        <f t="shared" si="2"/>
        <v>236.54399999999998</v>
      </c>
      <c r="I54" s="96">
        <f t="shared" si="3"/>
        <v>463.49472000000003</v>
      </c>
      <c r="J54" s="95">
        <f>Table18[[#This Row],[L/s]]/Table18[[#This Row],[Occ.]]</f>
        <v>8</v>
      </c>
    </row>
    <row r="55" spans="1:10" ht="15" thickBot="1" x14ac:dyDescent="0.35">
      <c r="A55" s="169" t="s">
        <v>175</v>
      </c>
      <c r="B55" s="170">
        <v>5</v>
      </c>
      <c r="C55" s="170">
        <f>B55*References!AT13</f>
        <v>40</v>
      </c>
      <c r="D55" s="170">
        <v>34.5</v>
      </c>
      <c r="E55" s="170">
        <v>22.5</v>
      </c>
      <c r="F55" s="170">
        <v>1.813675E-2</v>
      </c>
      <c r="G55" s="170">
        <f t="shared" si="4"/>
        <v>8.4806099999999995E-3</v>
      </c>
      <c r="H55" s="170">
        <f t="shared" si="2"/>
        <v>591.36</v>
      </c>
      <c r="I55" s="171">
        <f t="shared" si="3"/>
        <v>1158.7368000000001</v>
      </c>
      <c r="J55" s="170">
        <f>Table18[[#This Row],[L/s]]/Table18[[#This Row],[Occ.]]</f>
        <v>8</v>
      </c>
    </row>
    <row r="56" spans="1:10" ht="15" thickBot="1" x14ac:dyDescent="0.35">
      <c r="A56" s="94" t="s">
        <v>176</v>
      </c>
      <c r="B56" s="82">
        <v>1</v>
      </c>
      <c r="C56" s="95">
        <f>B56*References!AT14</f>
        <v>2.5</v>
      </c>
      <c r="D56" s="95">
        <v>34.5</v>
      </c>
      <c r="E56" s="95">
        <v>24</v>
      </c>
      <c r="F56" s="95">
        <v>1.813675E-2</v>
      </c>
      <c r="G56" s="95">
        <f t="shared" si="4"/>
        <v>9.2932299999999995E-3</v>
      </c>
      <c r="H56" s="95">
        <f t="shared" si="2"/>
        <v>32.340000000000003</v>
      </c>
      <c r="I56" s="96">
        <f t="shared" si="3"/>
        <v>66.326400000000007</v>
      </c>
      <c r="J56" s="95">
        <f>Table18[[#This Row],[L/s]]/Table18[[#This Row],[Occ.]]</f>
        <v>2.5</v>
      </c>
    </row>
    <row r="57" spans="1:10" ht="15" thickBot="1" x14ac:dyDescent="0.35">
      <c r="A57" s="94" t="s">
        <v>177</v>
      </c>
      <c r="B57" s="82">
        <v>1</v>
      </c>
      <c r="C57" s="95">
        <f>B57*References!AT15</f>
        <v>2.5</v>
      </c>
      <c r="D57" s="95">
        <v>34.5</v>
      </c>
      <c r="E57" s="95">
        <v>24</v>
      </c>
      <c r="F57" s="95">
        <v>1.813675E-2</v>
      </c>
      <c r="G57" s="95">
        <f t="shared" si="4"/>
        <v>9.2932299999999995E-3</v>
      </c>
      <c r="H57" s="95">
        <f t="shared" si="2"/>
        <v>32.340000000000003</v>
      </c>
      <c r="I57" s="96">
        <f t="shared" si="3"/>
        <v>66.326400000000007</v>
      </c>
      <c r="J57" s="95">
        <f>Table18[[#This Row],[L/s]]/Table18[[#This Row],[Occ.]]</f>
        <v>2.5</v>
      </c>
    </row>
    <row r="58" spans="1:10" ht="15" thickBot="1" x14ac:dyDescent="0.35">
      <c r="A58" s="94" t="s">
        <v>178</v>
      </c>
      <c r="B58" s="82">
        <v>2</v>
      </c>
      <c r="C58" s="95">
        <f>B58*References!AT16</f>
        <v>26</v>
      </c>
      <c r="D58" s="95">
        <v>34.5</v>
      </c>
      <c r="E58" s="95">
        <v>22.5</v>
      </c>
      <c r="F58" s="95">
        <v>1.813675E-2</v>
      </c>
      <c r="G58" s="95">
        <f t="shared" si="4"/>
        <v>8.4806099999999995E-3</v>
      </c>
      <c r="H58" s="95">
        <f t="shared" si="2"/>
        <v>384.38399999999996</v>
      </c>
      <c r="I58" s="96">
        <f t="shared" si="3"/>
        <v>753.17892000000006</v>
      </c>
      <c r="J58" s="95">
        <f>Table18[[#This Row],[L/s]]/Table18[[#This Row],[Occ.]]</f>
        <v>13</v>
      </c>
    </row>
    <row r="59" spans="1:10" ht="15" thickBot="1" x14ac:dyDescent="0.35">
      <c r="A59" s="94" t="s">
        <v>179</v>
      </c>
      <c r="B59" s="82">
        <v>2</v>
      </c>
      <c r="C59" s="95">
        <f>B59*References!AT17</f>
        <v>26</v>
      </c>
      <c r="D59" s="95">
        <v>34.5</v>
      </c>
      <c r="E59" s="95">
        <v>22.5</v>
      </c>
      <c r="F59" s="95">
        <v>1.813675E-2</v>
      </c>
      <c r="G59" s="95">
        <f t="shared" si="4"/>
        <v>8.4806099999999995E-3</v>
      </c>
      <c r="H59" s="95">
        <f t="shared" si="2"/>
        <v>384.38399999999996</v>
      </c>
      <c r="I59" s="96">
        <f t="shared" si="3"/>
        <v>753.17892000000006</v>
      </c>
      <c r="J59" s="95">
        <f>Table18[[#This Row],[L/s]]/Table18[[#This Row],[Occ.]]</f>
        <v>13</v>
      </c>
    </row>
    <row r="60" spans="1:10" ht="15" thickBot="1" x14ac:dyDescent="0.35">
      <c r="A60" s="94" t="s">
        <v>180</v>
      </c>
      <c r="B60" s="82">
        <v>2</v>
      </c>
      <c r="C60" s="95">
        <f>B60*References!AT18</f>
        <v>26</v>
      </c>
      <c r="D60" s="95">
        <v>34.5</v>
      </c>
      <c r="E60" s="95">
        <v>22.5</v>
      </c>
      <c r="F60" s="95">
        <v>1.813675E-2</v>
      </c>
      <c r="G60" s="95">
        <f t="shared" si="4"/>
        <v>8.4806099999999995E-3</v>
      </c>
      <c r="H60" s="95">
        <f t="shared" si="2"/>
        <v>384.38399999999996</v>
      </c>
      <c r="I60" s="96">
        <f t="shared" si="3"/>
        <v>753.17892000000006</v>
      </c>
      <c r="J60" s="95">
        <f>Table18[[#This Row],[L/s]]/Table18[[#This Row],[Occ.]]</f>
        <v>13</v>
      </c>
    </row>
    <row r="61" spans="1:10" ht="15" thickBot="1" x14ac:dyDescent="0.35">
      <c r="A61" s="94" t="s">
        <v>181</v>
      </c>
      <c r="B61" s="82">
        <v>2</v>
      </c>
      <c r="C61" s="95">
        <f>B61*References!AT19</f>
        <v>26</v>
      </c>
      <c r="D61" s="95">
        <v>34.5</v>
      </c>
      <c r="E61" s="95">
        <v>22.5</v>
      </c>
      <c r="F61" s="95">
        <v>1.813675E-2</v>
      </c>
      <c r="G61" s="95">
        <f t="shared" si="4"/>
        <v>8.4806099999999995E-3</v>
      </c>
      <c r="H61" s="95">
        <f t="shared" si="2"/>
        <v>384.38399999999996</v>
      </c>
      <c r="I61" s="96">
        <f t="shared" si="3"/>
        <v>753.17892000000006</v>
      </c>
      <c r="J61" s="95">
        <f>Table18[[#This Row],[L/s]]/Table18[[#This Row],[Occ.]]</f>
        <v>13</v>
      </c>
    </row>
    <row r="62" spans="1:10" ht="15" thickBot="1" x14ac:dyDescent="0.35">
      <c r="A62" s="94" t="s">
        <v>182</v>
      </c>
      <c r="B62" s="82">
        <v>2</v>
      </c>
      <c r="C62" s="95">
        <f>B62*References!AT20</f>
        <v>26</v>
      </c>
      <c r="D62" s="95">
        <v>34.5</v>
      </c>
      <c r="E62" s="95">
        <v>22.5</v>
      </c>
      <c r="F62" s="95">
        <v>1.813675E-2</v>
      </c>
      <c r="G62" s="95">
        <f t="shared" si="4"/>
        <v>8.4806099999999995E-3</v>
      </c>
      <c r="H62" s="95">
        <f t="shared" si="2"/>
        <v>384.38399999999996</v>
      </c>
      <c r="I62" s="96">
        <f t="shared" si="3"/>
        <v>753.17892000000006</v>
      </c>
      <c r="J62" s="95">
        <f>Table18[[#This Row],[L/s]]/Table18[[#This Row],[Occ.]]</f>
        <v>13</v>
      </c>
    </row>
    <row r="63" spans="1:10" ht="15" thickBot="1" x14ac:dyDescent="0.35">
      <c r="A63" s="94" t="s">
        <v>142</v>
      </c>
      <c r="B63" s="82">
        <v>3</v>
      </c>
      <c r="C63" s="95">
        <f>B63*References!AT21</f>
        <v>7.5</v>
      </c>
      <c r="D63" s="95">
        <v>34.5</v>
      </c>
      <c r="E63" s="95">
        <v>22.5</v>
      </c>
      <c r="F63" s="95">
        <v>1.813675E-2</v>
      </c>
      <c r="G63" s="95">
        <f t="shared" si="4"/>
        <v>8.4806099999999995E-3</v>
      </c>
      <c r="H63" s="95">
        <f t="shared" si="2"/>
        <v>110.88</v>
      </c>
      <c r="I63" s="96">
        <f t="shared" si="3"/>
        <v>217.26315000000002</v>
      </c>
      <c r="J63" s="95">
        <f>Table18[[#This Row],[L/s]]/Table18[[#This Row],[Occ.]]</f>
        <v>2.5</v>
      </c>
    </row>
    <row r="64" spans="1:10" ht="15" thickBot="1" x14ac:dyDescent="0.35">
      <c r="A64" s="94" t="s">
        <v>183</v>
      </c>
      <c r="B64" s="82">
        <v>3</v>
      </c>
      <c r="C64" s="95">
        <f>B64*References!AT22</f>
        <v>39</v>
      </c>
      <c r="D64" s="95">
        <v>34.5</v>
      </c>
      <c r="E64" s="95">
        <v>22.5</v>
      </c>
      <c r="F64" s="95">
        <v>1.813675E-2</v>
      </c>
      <c r="G64" s="95">
        <f t="shared" si="4"/>
        <v>8.4806099999999995E-3</v>
      </c>
      <c r="H64" s="95">
        <f t="shared" si="2"/>
        <v>576.57600000000002</v>
      </c>
      <c r="I64" s="96">
        <f t="shared" si="3"/>
        <v>1129.76838</v>
      </c>
      <c r="J64" s="95">
        <f>Table18[[#This Row],[L/s]]/Table18[[#This Row],[Occ.]]</f>
        <v>13</v>
      </c>
    </row>
    <row r="65" spans="1:10" ht="15" thickBot="1" x14ac:dyDescent="0.35">
      <c r="A65" s="94" t="s">
        <v>185</v>
      </c>
      <c r="B65" s="82">
        <v>3</v>
      </c>
      <c r="C65" s="95">
        <f>B65*References!AT23</f>
        <v>39</v>
      </c>
      <c r="D65" s="95">
        <v>34.5</v>
      </c>
      <c r="E65" s="95">
        <v>22.5</v>
      </c>
      <c r="F65" s="95">
        <v>1.813675E-2</v>
      </c>
      <c r="G65" s="95">
        <f t="shared" si="4"/>
        <v>8.4806099999999995E-3</v>
      </c>
      <c r="H65" s="95">
        <f t="shared" si="2"/>
        <v>576.57600000000002</v>
      </c>
      <c r="I65" s="96">
        <f t="shared" si="3"/>
        <v>1129.76838</v>
      </c>
      <c r="J65" s="95">
        <f>Table18[[#This Row],[L/s]]/Table18[[#This Row],[Occ.]]</f>
        <v>13</v>
      </c>
    </row>
    <row r="66" spans="1:10" ht="15" thickBot="1" x14ac:dyDescent="0.35">
      <c r="A66" s="94" t="s">
        <v>186</v>
      </c>
      <c r="B66" s="82">
        <v>2</v>
      </c>
      <c r="C66" s="95">
        <f>B66*References!AT24</f>
        <v>26</v>
      </c>
      <c r="D66" s="95">
        <v>34.5</v>
      </c>
      <c r="E66" s="95">
        <v>22.5</v>
      </c>
      <c r="F66" s="95">
        <v>1.813675E-2</v>
      </c>
      <c r="G66" s="95">
        <f t="shared" si="4"/>
        <v>8.4806099999999995E-3</v>
      </c>
      <c r="H66" s="95">
        <f t="shared" si="2"/>
        <v>384.38399999999996</v>
      </c>
      <c r="I66" s="96">
        <f t="shared" si="3"/>
        <v>753.17892000000006</v>
      </c>
      <c r="J66" s="95">
        <f>Table18[[#This Row],[L/s]]/Table18[[#This Row],[Occ.]]</f>
        <v>13</v>
      </c>
    </row>
    <row r="67" spans="1:10" ht="15" thickBot="1" x14ac:dyDescent="0.35">
      <c r="A67" s="94" t="s">
        <v>141</v>
      </c>
      <c r="B67" s="82">
        <v>8</v>
      </c>
      <c r="C67" s="95">
        <f>B67*References!AT25</f>
        <v>104</v>
      </c>
      <c r="D67" s="95">
        <v>34.5</v>
      </c>
      <c r="E67" s="95">
        <v>22.5</v>
      </c>
      <c r="F67" s="95">
        <v>1.813675E-2</v>
      </c>
      <c r="G67" s="95">
        <f t="shared" si="4"/>
        <v>8.4806099999999995E-3</v>
      </c>
      <c r="H67" s="95">
        <f t="shared" si="2"/>
        <v>1537.5359999999998</v>
      </c>
      <c r="I67" s="96">
        <f t="shared" si="3"/>
        <v>3012.7156800000002</v>
      </c>
      <c r="J67" s="95">
        <f>Table18[[#This Row],[L/s]]/Table18[[#This Row],[Occ.]]</f>
        <v>13</v>
      </c>
    </row>
    <row r="68" spans="1:10" ht="15" thickBot="1" x14ac:dyDescent="0.35">
      <c r="A68" s="94" t="s">
        <v>187</v>
      </c>
      <c r="B68" s="82">
        <v>3</v>
      </c>
      <c r="C68" s="95">
        <f>B68*References!AT26</f>
        <v>39</v>
      </c>
      <c r="D68" s="95">
        <v>34.5</v>
      </c>
      <c r="E68" s="95">
        <v>22.5</v>
      </c>
      <c r="F68" s="95">
        <v>1.813675E-2</v>
      </c>
      <c r="G68" s="95">
        <f t="shared" si="4"/>
        <v>8.4806099999999995E-3</v>
      </c>
      <c r="H68" s="95">
        <f t="shared" si="2"/>
        <v>576.57600000000002</v>
      </c>
      <c r="I68" s="96">
        <f t="shared" si="3"/>
        <v>1129.76838</v>
      </c>
      <c r="J68" s="95">
        <f>Table18[[#This Row],[L/s]]/Table18[[#This Row],[Occ.]]</f>
        <v>13</v>
      </c>
    </row>
    <row r="69" spans="1:10" ht="15" thickBot="1" x14ac:dyDescent="0.35">
      <c r="A69" s="94" t="s">
        <v>188</v>
      </c>
      <c r="B69" s="82">
        <v>3</v>
      </c>
      <c r="C69" s="95">
        <f>B69*References!AT27</f>
        <v>39</v>
      </c>
      <c r="D69" s="95">
        <v>34.5</v>
      </c>
      <c r="E69" s="95">
        <v>22.5</v>
      </c>
      <c r="F69" s="95">
        <v>1.813675E-2</v>
      </c>
      <c r="G69" s="95">
        <f t="shared" si="4"/>
        <v>8.4806099999999995E-3</v>
      </c>
      <c r="H69" s="95">
        <f t="shared" si="2"/>
        <v>576.57600000000002</v>
      </c>
      <c r="I69" s="96">
        <f t="shared" si="3"/>
        <v>1129.76838</v>
      </c>
      <c r="J69" s="95">
        <f>Table18[[#This Row],[L/s]]/Table18[[#This Row],[Occ.]]</f>
        <v>13</v>
      </c>
    </row>
    <row r="70" spans="1:10" ht="15" thickBot="1" x14ac:dyDescent="0.35">
      <c r="A70" s="94" t="s">
        <v>189</v>
      </c>
      <c r="B70" s="82">
        <v>2</v>
      </c>
      <c r="C70" s="95">
        <f>B70*References!AT28</f>
        <v>26</v>
      </c>
      <c r="D70" s="95">
        <v>34.5</v>
      </c>
      <c r="E70" s="95">
        <v>22.5</v>
      </c>
      <c r="F70" s="95">
        <v>1.813675E-2</v>
      </c>
      <c r="G70" s="95">
        <f t="shared" si="4"/>
        <v>8.4806099999999995E-3</v>
      </c>
      <c r="H70" s="95">
        <f t="shared" si="2"/>
        <v>384.38399999999996</v>
      </c>
      <c r="I70" s="96">
        <f t="shared" si="3"/>
        <v>753.17892000000006</v>
      </c>
      <c r="J70" s="95">
        <f>Table18[[#This Row],[L/s]]/Table18[[#This Row],[Occ.]]</f>
        <v>13</v>
      </c>
    </row>
    <row r="71" spans="1:10" ht="15" thickBot="1" x14ac:dyDescent="0.35">
      <c r="A71" s="94" t="s">
        <v>190</v>
      </c>
      <c r="B71" s="82">
        <v>2</v>
      </c>
      <c r="C71" s="95">
        <f>B71*References!AT29</f>
        <v>26</v>
      </c>
      <c r="D71" s="95">
        <v>34.5</v>
      </c>
      <c r="E71" s="95">
        <v>22.5</v>
      </c>
      <c r="F71" s="95">
        <v>1.813675E-2</v>
      </c>
      <c r="G71" s="95">
        <f t="shared" si="4"/>
        <v>8.4806099999999995E-3</v>
      </c>
      <c r="H71" s="95">
        <f t="shared" si="2"/>
        <v>384.38399999999996</v>
      </c>
      <c r="I71" s="96">
        <f t="shared" si="3"/>
        <v>753.17892000000006</v>
      </c>
      <c r="J71" s="95">
        <f>Table18[[#This Row],[L/s]]/Table18[[#This Row],[Occ.]]</f>
        <v>13</v>
      </c>
    </row>
    <row r="72" spans="1:10" ht="15" thickBot="1" x14ac:dyDescent="0.35">
      <c r="A72" s="94" t="s">
        <v>140</v>
      </c>
      <c r="B72" s="82">
        <v>5</v>
      </c>
      <c r="C72" s="95">
        <f>B72*References!AT30</f>
        <v>12.5</v>
      </c>
      <c r="D72" s="95">
        <v>34.5</v>
      </c>
      <c r="E72" s="95">
        <v>22.5</v>
      </c>
      <c r="F72" s="95">
        <v>1.813675E-2</v>
      </c>
      <c r="G72" s="95">
        <f t="shared" si="4"/>
        <v>8.4806099999999995E-3</v>
      </c>
      <c r="H72" s="95">
        <f t="shared" si="2"/>
        <v>184.8</v>
      </c>
      <c r="I72" s="96">
        <f t="shared" si="3"/>
        <v>362.10525000000001</v>
      </c>
      <c r="J72" s="95">
        <f>Table18[[#This Row],[L/s]]/Table18[[#This Row],[Occ.]]</f>
        <v>2.5</v>
      </c>
    </row>
    <row r="73" spans="1:10" ht="15" thickBot="1" x14ac:dyDescent="0.35">
      <c r="A73" s="94" t="s">
        <v>139</v>
      </c>
      <c r="B73" s="82">
        <v>8</v>
      </c>
      <c r="C73" s="95">
        <f>B73*References!AT31</f>
        <v>64</v>
      </c>
      <c r="D73" s="95">
        <v>34.5</v>
      </c>
      <c r="E73" s="95">
        <v>22</v>
      </c>
      <c r="F73" s="95">
        <v>1.813675E-2</v>
      </c>
      <c r="G73" s="95">
        <f t="shared" si="4"/>
        <v>8.2197599999999996E-3</v>
      </c>
      <c r="H73" s="95">
        <f t="shared" si="2"/>
        <v>985.6</v>
      </c>
      <c r="I73" s="96">
        <f t="shared" si="3"/>
        <v>1904.0620800000002</v>
      </c>
      <c r="J73" s="95">
        <f>Table18[[#This Row],[L/s]]/Table18[[#This Row],[Occ.]]</f>
        <v>8</v>
      </c>
    </row>
    <row r="74" spans="1:10" ht="15" thickBot="1" x14ac:dyDescent="0.35">
      <c r="A74" s="94" t="s">
        <v>191</v>
      </c>
      <c r="B74" s="82">
        <v>1</v>
      </c>
      <c r="C74" s="95">
        <f>B74*References!AT32</f>
        <v>2.5</v>
      </c>
      <c r="D74" s="95">
        <v>34.5</v>
      </c>
      <c r="E74" s="95">
        <v>24</v>
      </c>
      <c r="F74" s="95">
        <v>1.813675E-2</v>
      </c>
      <c r="G74" s="95">
        <f t="shared" si="4"/>
        <v>9.2932299999999995E-3</v>
      </c>
      <c r="H74" s="95">
        <f t="shared" si="2"/>
        <v>32.340000000000003</v>
      </c>
      <c r="I74" s="96">
        <f t="shared" si="3"/>
        <v>66.326400000000007</v>
      </c>
      <c r="J74" s="95">
        <f>Table18[[#This Row],[L/s]]/Table18[[#This Row],[Occ.]]</f>
        <v>2.5</v>
      </c>
    </row>
    <row r="75" spans="1:10" ht="15" thickBot="1" x14ac:dyDescent="0.35">
      <c r="A75" s="94" t="s">
        <v>192</v>
      </c>
      <c r="B75" s="82">
        <v>6</v>
      </c>
      <c r="C75" s="95">
        <f>B75*References!AT33</f>
        <v>48</v>
      </c>
      <c r="D75" s="95">
        <v>34.5</v>
      </c>
      <c r="E75" s="95">
        <v>22.5</v>
      </c>
      <c r="F75" s="95">
        <v>1.813675E-2</v>
      </c>
      <c r="G75" s="95">
        <f t="shared" si="4"/>
        <v>8.4806099999999995E-3</v>
      </c>
      <c r="H75" s="95">
        <f t="shared" si="2"/>
        <v>709.63199999999995</v>
      </c>
      <c r="I75" s="96">
        <f t="shared" si="3"/>
        <v>1390.48416</v>
      </c>
      <c r="J75" s="95">
        <f>Table18[[#This Row],[L/s]]/Table18[[#This Row],[Occ.]]</f>
        <v>8</v>
      </c>
    </row>
    <row r="76" spans="1:10" ht="15" thickBot="1" x14ac:dyDescent="0.35">
      <c r="A76" s="94" t="s">
        <v>193</v>
      </c>
      <c r="B76" s="82">
        <v>4</v>
      </c>
      <c r="C76" s="95">
        <f>B76*References!AT34</f>
        <v>10</v>
      </c>
      <c r="D76" s="95">
        <v>34.5</v>
      </c>
      <c r="E76" s="95">
        <v>22.5</v>
      </c>
      <c r="F76" s="95">
        <v>1.813675E-2</v>
      </c>
      <c r="G76" s="95">
        <f t="shared" si="4"/>
        <v>8.4806099999999995E-3</v>
      </c>
      <c r="H76" s="95">
        <f t="shared" si="2"/>
        <v>147.84</v>
      </c>
      <c r="I76" s="96">
        <f t="shared" si="3"/>
        <v>289.68420000000003</v>
      </c>
      <c r="J76" s="95">
        <f>Table18[[#This Row],[L/s]]/Table18[[#This Row],[Occ.]]</f>
        <v>2.5</v>
      </c>
    </row>
    <row r="77" spans="1:10" ht="15" thickBot="1" x14ac:dyDescent="0.35">
      <c r="A77" s="94" t="s">
        <v>194</v>
      </c>
      <c r="B77" s="82">
        <v>4</v>
      </c>
      <c r="C77" s="95">
        <f>B77*References!AT35</f>
        <v>10</v>
      </c>
      <c r="D77" s="95">
        <v>34.5</v>
      </c>
      <c r="E77" s="95">
        <v>22.5</v>
      </c>
      <c r="F77" s="95">
        <v>1.813675E-2</v>
      </c>
      <c r="G77" s="95">
        <f t="shared" si="4"/>
        <v>8.4806099999999995E-3</v>
      </c>
      <c r="H77" s="95">
        <f t="shared" si="2"/>
        <v>147.84</v>
      </c>
      <c r="I77" s="96">
        <f t="shared" si="3"/>
        <v>289.68420000000003</v>
      </c>
      <c r="J77" s="95">
        <f>Table18[[#This Row],[L/s]]/Table18[[#This Row],[Occ.]]</f>
        <v>2.5</v>
      </c>
    </row>
    <row r="78" spans="1:10" ht="15" thickBot="1" x14ac:dyDescent="0.35">
      <c r="A78" s="94" t="s">
        <v>195</v>
      </c>
      <c r="B78" s="82">
        <v>2</v>
      </c>
      <c r="C78" s="95">
        <f>B78*References!AT36</f>
        <v>5</v>
      </c>
      <c r="D78" s="95">
        <v>34.5</v>
      </c>
      <c r="E78" s="95">
        <v>22.5</v>
      </c>
      <c r="F78" s="95">
        <v>1.813675E-2</v>
      </c>
      <c r="G78" s="95">
        <f t="shared" si="4"/>
        <v>8.4806099999999995E-3</v>
      </c>
      <c r="H78" s="95">
        <f t="shared" si="2"/>
        <v>73.92</v>
      </c>
      <c r="I78" s="96">
        <f t="shared" si="3"/>
        <v>144.84210000000002</v>
      </c>
      <c r="J78" s="95">
        <f>Table18[[#This Row],[L/s]]/Table18[[#This Row],[Occ.]]</f>
        <v>2.5</v>
      </c>
    </row>
    <row r="79" spans="1:10" ht="15" thickBot="1" x14ac:dyDescent="0.35">
      <c r="A79" s="94" t="s">
        <v>196</v>
      </c>
      <c r="B79" s="82">
        <v>4</v>
      </c>
      <c r="C79" s="95">
        <f>B79*References!AT37</f>
        <v>60</v>
      </c>
      <c r="D79" s="95">
        <v>34.5</v>
      </c>
      <c r="E79" s="95">
        <v>22</v>
      </c>
      <c r="F79" s="95">
        <v>1.813675E-2</v>
      </c>
      <c r="G79" s="95">
        <f>_xlfn.IFS(E79=22.5,0.00848061,E79=22,0.00821976,E79=24,0.00929323)</f>
        <v>8.2197599999999996E-3</v>
      </c>
      <c r="H79" s="95">
        <f t="shared" si="2"/>
        <v>924</v>
      </c>
      <c r="I79" s="96">
        <f t="shared" si="3"/>
        <v>1785.0582000000002</v>
      </c>
      <c r="J79" s="95">
        <f>Table18[[#This Row],[L/s]]/Table18[[#This Row],[Occ.]]</f>
        <v>15</v>
      </c>
    </row>
    <row r="80" spans="1:10" ht="15" thickBot="1" x14ac:dyDescent="0.35">
      <c r="A80" s="94" t="s">
        <v>197</v>
      </c>
      <c r="B80" s="82">
        <v>3</v>
      </c>
      <c r="C80" s="95">
        <f>B80*References!AT38</f>
        <v>24</v>
      </c>
      <c r="D80" s="95">
        <v>34.5</v>
      </c>
      <c r="E80" s="95">
        <v>22.5</v>
      </c>
      <c r="F80" s="95">
        <v>1.813675E-2</v>
      </c>
      <c r="G80" s="95">
        <f t="shared" si="4"/>
        <v>8.4806099999999995E-3</v>
      </c>
      <c r="H80" s="95">
        <f t="shared" si="2"/>
        <v>354.81599999999997</v>
      </c>
      <c r="I80" s="96">
        <f t="shared" si="3"/>
        <v>695.24207999999999</v>
      </c>
      <c r="J80" s="95">
        <f>Table18[[#This Row],[L/s]]/Table18[[#This Row],[Occ.]]</f>
        <v>8</v>
      </c>
    </row>
    <row r="81" spans="1:11" ht="15" thickBot="1" x14ac:dyDescent="0.35">
      <c r="A81" s="94" t="s">
        <v>499</v>
      </c>
      <c r="B81" s="82">
        <v>5</v>
      </c>
      <c r="C81" s="95">
        <f>B81*References!AT39</f>
        <v>12.5</v>
      </c>
      <c r="D81" s="95">
        <v>34.5</v>
      </c>
      <c r="E81" s="95">
        <v>24</v>
      </c>
      <c r="F81" s="95">
        <v>1.813675E-2</v>
      </c>
      <c r="G81" s="95">
        <f t="shared" si="4"/>
        <v>9.2932299999999995E-3</v>
      </c>
      <c r="H81" s="95">
        <f t="shared" si="2"/>
        <v>161.70000000000002</v>
      </c>
      <c r="I81" s="96">
        <f t="shared" si="3"/>
        <v>331.63200000000001</v>
      </c>
      <c r="J81" s="95">
        <f>Table18[[#This Row],[L/s]]/Table18[[#This Row],[Occ.]]</f>
        <v>2.5</v>
      </c>
    </row>
    <row r="82" spans="1:11" ht="15" thickBot="1" x14ac:dyDescent="0.35">
      <c r="A82" s="94" t="s">
        <v>200</v>
      </c>
      <c r="B82" s="82">
        <v>8</v>
      </c>
      <c r="C82" s="95">
        <f>B82*References!AT40</f>
        <v>120</v>
      </c>
      <c r="D82" s="95">
        <v>34.5</v>
      </c>
      <c r="E82" s="95">
        <v>22</v>
      </c>
      <c r="F82" s="95">
        <v>1.813675E-2</v>
      </c>
      <c r="G82" s="95">
        <f t="shared" si="4"/>
        <v>8.2197599999999996E-3</v>
      </c>
      <c r="H82" s="95">
        <f t="shared" si="2"/>
        <v>1848</v>
      </c>
      <c r="I82" s="96">
        <f t="shared" si="3"/>
        <v>3570.1164000000003</v>
      </c>
      <c r="J82" s="95">
        <f>Table18[[#This Row],[L/s]]/Table18[[#This Row],[Occ.]]</f>
        <v>15</v>
      </c>
    </row>
    <row r="83" spans="1:11" ht="15" thickBot="1" x14ac:dyDescent="0.35">
      <c r="A83" s="94" t="s">
        <v>201</v>
      </c>
      <c r="B83" s="82">
        <v>1</v>
      </c>
      <c r="C83" s="95">
        <f>B83*References!AT41</f>
        <v>2.5</v>
      </c>
      <c r="D83" s="95">
        <v>34.5</v>
      </c>
      <c r="E83" s="95">
        <v>24</v>
      </c>
      <c r="F83" s="95">
        <v>1.813675E-2</v>
      </c>
      <c r="G83" s="95">
        <f t="shared" si="4"/>
        <v>9.2932299999999995E-3</v>
      </c>
      <c r="H83" s="95">
        <f t="shared" si="2"/>
        <v>32.340000000000003</v>
      </c>
      <c r="I83" s="96">
        <f t="shared" si="3"/>
        <v>66.326400000000007</v>
      </c>
      <c r="J83" s="95">
        <f>Table18[[#This Row],[L/s]]/Table18[[#This Row],[Occ.]]</f>
        <v>2.5</v>
      </c>
    </row>
    <row r="84" spans="1:11" ht="15" thickBot="1" x14ac:dyDescent="0.35">
      <c r="A84" s="94" t="s">
        <v>202</v>
      </c>
      <c r="B84" s="82">
        <v>1</v>
      </c>
      <c r="C84" s="95">
        <f>B84*References!AT42</f>
        <v>2.5</v>
      </c>
      <c r="D84" s="95">
        <v>34.5</v>
      </c>
      <c r="E84" s="95">
        <v>24</v>
      </c>
      <c r="F84" s="95">
        <v>1.813675E-2</v>
      </c>
      <c r="G84" s="95">
        <f t="shared" si="4"/>
        <v>9.2932299999999995E-3</v>
      </c>
      <c r="H84" s="95">
        <f t="shared" si="2"/>
        <v>32.340000000000003</v>
      </c>
      <c r="I84" s="96">
        <f t="shared" si="3"/>
        <v>66.326400000000007</v>
      </c>
      <c r="J84" s="95">
        <f>Table18[[#This Row],[L/s]]/Table18[[#This Row],[Occ.]]</f>
        <v>2.5</v>
      </c>
    </row>
    <row r="85" spans="1:11" ht="15" thickBot="1" x14ac:dyDescent="0.35">
      <c r="A85" s="94" t="s">
        <v>203</v>
      </c>
      <c r="B85" s="82">
        <v>3</v>
      </c>
      <c r="C85" s="95">
        <f>B85*References!AT43</f>
        <v>7.5</v>
      </c>
      <c r="D85" s="95">
        <v>34.5</v>
      </c>
      <c r="E85" s="95">
        <v>24</v>
      </c>
      <c r="F85" s="95">
        <v>1.813675E-2</v>
      </c>
      <c r="G85" s="95">
        <f t="shared" si="4"/>
        <v>9.2932299999999995E-3</v>
      </c>
      <c r="H85" s="95">
        <f t="shared" si="2"/>
        <v>97.02</v>
      </c>
      <c r="I85" s="96">
        <f t="shared" si="3"/>
        <v>198.97920000000002</v>
      </c>
      <c r="J85" s="95">
        <f>Table18[[#This Row],[L/s]]/Table18[[#This Row],[Occ.]]</f>
        <v>2.5</v>
      </c>
    </row>
    <row r="86" spans="1:11" ht="15" thickBot="1" x14ac:dyDescent="0.35">
      <c r="A86" s="94" t="s">
        <v>228</v>
      </c>
      <c r="B86" s="82">
        <v>2</v>
      </c>
      <c r="C86" s="95">
        <f>B86*References!AT44</f>
        <v>5</v>
      </c>
      <c r="D86" s="95">
        <v>34.5</v>
      </c>
      <c r="E86" s="95">
        <v>24</v>
      </c>
      <c r="F86" s="95">
        <v>1.813675E-2</v>
      </c>
      <c r="G86" s="95">
        <f t="shared" si="4"/>
        <v>9.2932299999999995E-3</v>
      </c>
      <c r="H86" s="95">
        <f t="shared" si="2"/>
        <v>64.680000000000007</v>
      </c>
      <c r="I86" s="96">
        <f t="shared" si="3"/>
        <v>132.65280000000001</v>
      </c>
      <c r="J86" s="95">
        <f>Table18[[#This Row],[L/s]]/Table18[[#This Row],[Occ.]]</f>
        <v>2.5</v>
      </c>
    </row>
    <row r="87" spans="1:11" ht="15" thickBot="1" x14ac:dyDescent="0.35">
      <c r="A87" s="94" t="s">
        <v>229</v>
      </c>
      <c r="B87" s="82">
        <v>4</v>
      </c>
      <c r="C87" s="95">
        <f>B87*References!AT45</f>
        <v>10</v>
      </c>
      <c r="D87" s="95">
        <v>34.5</v>
      </c>
      <c r="E87" s="95">
        <v>24</v>
      </c>
      <c r="F87" s="95">
        <v>1.813675E-2</v>
      </c>
      <c r="G87" s="95">
        <f t="shared" si="4"/>
        <v>9.2932299999999995E-3</v>
      </c>
      <c r="H87" s="95">
        <f t="shared" si="2"/>
        <v>129.36000000000001</v>
      </c>
      <c r="I87" s="96">
        <f t="shared" si="3"/>
        <v>265.30560000000003</v>
      </c>
      <c r="J87" s="95">
        <f>Table18[[#This Row],[L/s]]/Table18[[#This Row],[Occ.]]</f>
        <v>2.5</v>
      </c>
    </row>
    <row r="88" spans="1:11" ht="15" thickBot="1" x14ac:dyDescent="0.35">
      <c r="A88" s="94" t="s">
        <v>131</v>
      </c>
      <c r="B88" s="82">
        <v>3</v>
      </c>
      <c r="C88" s="95">
        <f>B88*References!AT46</f>
        <v>24</v>
      </c>
      <c r="D88" s="95">
        <v>34.5</v>
      </c>
      <c r="E88" s="95">
        <v>22.5</v>
      </c>
      <c r="F88" s="95">
        <v>1.813675E-2</v>
      </c>
      <c r="G88" s="95">
        <f t="shared" si="4"/>
        <v>8.4806099999999995E-3</v>
      </c>
      <c r="H88" s="95">
        <f t="shared" si="2"/>
        <v>354.81599999999997</v>
      </c>
      <c r="I88" s="96">
        <f t="shared" si="3"/>
        <v>695.24207999999999</v>
      </c>
      <c r="J88" s="95">
        <f>Table18[[#This Row],[L/s]]/Table18[[#This Row],[Occ.]]</f>
        <v>8</v>
      </c>
    </row>
    <row r="89" spans="1:11" ht="15" thickBot="1" x14ac:dyDescent="0.35">
      <c r="A89" s="97" t="s">
        <v>129</v>
      </c>
      <c r="B89" s="82">
        <v>6</v>
      </c>
      <c r="C89" s="98">
        <f>B89*References!AT47</f>
        <v>48</v>
      </c>
      <c r="D89" s="98">
        <v>34.5</v>
      </c>
      <c r="E89" s="98">
        <v>22.5</v>
      </c>
      <c r="F89" s="98">
        <v>1.813675E-2</v>
      </c>
      <c r="G89" s="98">
        <f t="shared" si="4"/>
        <v>8.4806099999999995E-3</v>
      </c>
      <c r="H89" s="98">
        <f t="shared" si="2"/>
        <v>709.63199999999995</v>
      </c>
      <c r="I89" s="99">
        <f t="shared" si="3"/>
        <v>1390.48416</v>
      </c>
      <c r="J89" s="98">
        <f>Table18[[#This Row],[L/s]]/Table18[[#This Row],[Occ.]]</f>
        <v>8</v>
      </c>
    </row>
    <row r="90" spans="1:11" ht="15" thickBot="1" x14ac:dyDescent="0.35">
      <c r="G90" s="128" t="s">
        <v>333</v>
      </c>
      <c r="H90" s="128">
        <f>SUM(Table18[Qs(W)])</f>
        <v>20168.763999999999</v>
      </c>
      <c r="I90" s="128">
        <f>SUM(Table18[Ql(W)])</f>
        <v>39472.195050000002</v>
      </c>
    </row>
    <row r="91" spans="1:11" ht="15" thickBot="1" x14ac:dyDescent="0.35">
      <c r="G91" s="210" t="s">
        <v>161</v>
      </c>
      <c r="H91" s="210"/>
      <c r="I91" s="128">
        <f>H90+I90</f>
        <v>59640.959050000005</v>
      </c>
    </row>
    <row r="92" spans="1:11" s="118" customFormat="1" x14ac:dyDescent="0.3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</row>
    <row r="93" spans="1:11" s="105" customFormat="1" ht="23.4" x14ac:dyDescent="0.45">
      <c r="A93" s="184" t="s">
        <v>59</v>
      </c>
      <c r="B93" s="184"/>
      <c r="C93" s="184"/>
      <c r="D93" s="184"/>
      <c r="E93" s="184"/>
      <c r="F93" s="184"/>
      <c r="G93" s="184"/>
      <c r="H93" s="184"/>
      <c r="I93" s="184"/>
      <c r="J93" s="106"/>
      <c r="K93" s="106"/>
    </row>
    <row r="94" spans="1:11" ht="15" thickBot="1" x14ac:dyDescent="0.35">
      <c r="A94" s="100" t="s">
        <v>0</v>
      </c>
      <c r="B94" s="101" t="s">
        <v>496</v>
      </c>
      <c r="C94" s="101" t="s">
        <v>20</v>
      </c>
      <c r="D94" s="101" t="s">
        <v>12</v>
      </c>
      <c r="E94" s="101" t="s">
        <v>7</v>
      </c>
      <c r="F94" s="101" t="s">
        <v>21</v>
      </c>
      <c r="G94" s="101" t="s">
        <v>22</v>
      </c>
      <c r="H94" s="101" t="s">
        <v>497</v>
      </c>
      <c r="I94" s="102" t="s">
        <v>498</v>
      </c>
      <c r="J94" s="167" t="s">
        <v>556</v>
      </c>
    </row>
    <row r="95" spans="1:11" ht="15" thickBot="1" x14ac:dyDescent="0.35">
      <c r="A95" s="94" t="s">
        <v>123</v>
      </c>
      <c r="B95" s="82">
        <v>5</v>
      </c>
      <c r="C95" s="95">
        <f>B95*References!AU4</f>
        <v>65</v>
      </c>
      <c r="D95" s="95">
        <v>34.5</v>
      </c>
      <c r="E95" s="95">
        <v>22.5</v>
      </c>
      <c r="F95" s="95">
        <v>1.813675E-2</v>
      </c>
      <c r="G95" s="95">
        <f>_xlfn.IFS(E95=22.5,0.00848031,E95=24,0.009293235,E95=22,0.00821976)</f>
        <v>8.4803099999999996E-3</v>
      </c>
      <c r="H95" s="95">
        <f t="shared" ref="H95:H124" si="5">ABS(1.232*C95*(D95-E95))</f>
        <v>960.96</v>
      </c>
      <c r="I95" s="96">
        <f t="shared" ref="I95:I124" si="6">ABS(3000*C95*(F95-G95))</f>
        <v>1883.0058000000001</v>
      </c>
      <c r="J95" s="168">
        <f>Table19[[#This Row],[L/s]]/Table19[[#This Row],[Occ.]]</f>
        <v>13</v>
      </c>
    </row>
    <row r="96" spans="1:11" ht="15" thickBot="1" x14ac:dyDescent="0.35">
      <c r="A96" s="94" t="s">
        <v>169</v>
      </c>
      <c r="B96" s="82">
        <v>5</v>
      </c>
      <c r="C96" s="95">
        <f>B96*References!AU5</f>
        <v>65</v>
      </c>
      <c r="D96" s="95">
        <v>34.5</v>
      </c>
      <c r="E96" s="95">
        <v>22.5</v>
      </c>
      <c r="F96" s="95">
        <v>1.813675E-2</v>
      </c>
      <c r="G96" s="95">
        <f t="shared" ref="G96:G98" si="7">_xlfn.IFS(E96=22.5,0.00848031,E96=24,0.009293235,E96=22,0.00821976)</f>
        <v>8.4803099999999996E-3</v>
      </c>
      <c r="H96" s="95">
        <f t="shared" si="5"/>
        <v>960.96</v>
      </c>
      <c r="I96" s="96">
        <f t="shared" si="6"/>
        <v>1883.0058000000001</v>
      </c>
      <c r="J96" s="95">
        <f>Table19[[#This Row],[L/s]]/Table19[[#This Row],[Occ.]]</f>
        <v>13</v>
      </c>
    </row>
    <row r="97" spans="1:10" ht="15" thickBot="1" x14ac:dyDescent="0.35">
      <c r="A97" s="94" t="s">
        <v>124</v>
      </c>
      <c r="B97" s="82">
        <v>5</v>
      </c>
      <c r="C97" s="95">
        <f>B97*References!AU6</f>
        <v>65</v>
      </c>
      <c r="D97" s="95">
        <v>34.5</v>
      </c>
      <c r="E97" s="95">
        <v>22.5</v>
      </c>
      <c r="F97" s="95">
        <v>1.813675E-2</v>
      </c>
      <c r="G97" s="95">
        <f t="shared" si="7"/>
        <v>8.4803099999999996E-3</v>
      </c>
      <c r="H97" s="95">
        <f t="shared" si="5"/>
        <v>960.96</v>
      </c>
      <c r="I97" s="96">
        <f t="shared" si="6"/>
        <v>1883.0058000000001</v>
      </c>
      <c r="J97" s="95">
        <f>Table19[[#This Row],[L/s]]/Table19[[#This Row],[Occ.]]</f>
        <v>13</v>
      </c>
    </row>
    <row r="98" spans="1:10" ht="15" thickBot="1" x14ac:dyDescent="0.35">
      <c r="A98" s="94" t="s">
        <v>125</v>
      </c>
      <c r="B98" s="82">
        <v>5</v>
      </c>
      <c r="C98" s="95">
        <f>B98*References!AU7</f>
        <v>65</v>
      </c>
      <c r="D98" s="95">
        <v>34.5</v>
      </c>
      <c r="E98" s="95">
        <v>22.5</v>
      </c>
      <c r="F98" s="95">
        <v>1.813675E-2</v>
      </c>
      <c r="G98" s="95">
        <f t="shared" si="7"/>
        <v>8.4803099999999996E-3</v>
      </c>
      <c r="H98" s="95">
        <f t="shared" si="5"/>
        <v>960.96</v>
      </c>
      <c r="I98" s="96">
        <f t="shared" si="6"/>
        <v>1883.0058000000001</v>
      </c>
      <c r="J98" s="95">
        <f>Table19[[#This Row],[L/s]]/Table19[[#This Row],[Occ.]]</f>
        <v>13</v>
      </c>
    </row>
    <row r="99" spans="1:10" ht="15" thickBot="1" x14ac:dyDescent="0.35">
      <c r="A99" s="94" t="s">
        <v>170</v>
      </c>
      <c r="B99" s="82">
        <v>2</v>
      </c>
      <c r="C99" s="95">
        <f>B99*References!AU8</f>
        <v>26</v>
      </c>
      <c r="D99" s="95">
        <v>34.5</v>
      </c>
      <c r="E99" s="95">
        <v>22.5</v>
      </c>
      <c r="F99" s="95">
        <v>1.813675E-2</v>
      </c>
      <c r="G99" s="95">
        <f>_xlfn.IFS(E99=22.5,0.00848031,E99=24,0.009293235,E99=22,0.00821976)</f>
        <v>8.4803099999999996E-3</v>
      </c>
      <c r="H99" s="95">
        <f t="shared" si="5"/>
        <v>384.38399999999996</v>
      </c>
      <c r="I99" s="96">
        <f t="shared" si="6"/>
        <v>753.20231999999999</v>
      </c>
      <c r="J99" s="95">
        <f>Table19[[#This Row],[L/s]]/Table19[[#This Row],[Occ.]]</f>
        <v>13</v>
      </c>
    </row>
    <row r="100" spans="1:10" ht="15" thickBot="1" x14ac:dyDescent="0.35">
      <c r="A100" s="94" t="s">
        <v>171</v>
      </c>
      <c r="B100" s="82">
        <v>1</v>
      </c>
      <c r="C100" s="95">
        <f>B100*References!AU9</f>
        <v>13</v>
      </c>
      <c r="D100" s="95">
        <v>34.5</v>
      </c>
      <c r="E100" s="95">
        <v>22.5</v>
      </c>
      <c r="F100" s="95">
        <v>1.813675E-2</v>
      </c>
      <c r="G100" s="95">
        <f t="shared" ref="G100:G124" si="8">_xlfn.IFS(E100=22.5,0.00848031,E100=24,0.009293235,E100=22,0.00821976)</f>
        <v>8.4803099999999996E-3</v>
      </c>
      <c r="H100" s="95">
        <f t="shared" si="5"/>
        <v>192.19199999999998</v>
      </c>
      <c r="I100" s="96">
        <f t="shared" si="6"/>
        <v>376.60115999999999</v>
      </c>
      <c r="J100" s="95">
        <f>Table19[[#This Row],[L/s]]/Table19[[#This Row],[Occ.]]</f>
        <v>13</v>
      </c>
    </row>
    <row r="101" spans="1:10" ht="15" thickBot="1" x14ac:dyDescent="0.35">
      <c r="A101" s="94" t="s">
        <v>172</v>
      </c>
      <c r="B101" s="82">
        <v>2</v>
      </c>
      <c r="C101" s="95">
        <f>B101*References!AU10</f>
        <v>26</v>
      </c>
      <c r="D101" s="95">
        <v>34.5</v>
      </c>
      <c r="E101" s="95">
        <v>22.5</v>
      </c>
      <c r="F101" s="95">
        <v>1.813675E-2</v>
      </c>
      <c r="G101" s="95">
        <f t="shared" si="8"/>
        <v>8.4803099999999996E-3</v>
      </c>
      <c r="H101" s="95">
        <f t="shared" si="5"/>
        <v>384.38399999999996</v>
      </c>
      <c r="I101" s="96">
        <f t="shared" si="6"/>
        <v>753.20231999999999</v>
      </c>
      <c r="J101" s="95">
        <f>Table19[[#This Row],[L/s]]/Table19[[#This Row],[Occ.]]</f>
        <v>13</v>
      </c>
    </row>
    <row r="102" spans="1:10" ht="15" thickBot="1" x14ac:dyDescent="0.35">
      <c r="A102" s="94" t="s">
        <v>173</v>
      </c>
      <c r="B102" s="82">
        <v>7</v>
      </c>
      <c r="C102" s="95">
        <f>B102*References!AU11</f>
        <v>17.5</v>
      </c>
      <c r="D102" s="95">
        <v>34.5</v>
      </c>
      <c r="E102" s="95">
        <v>22.5</v>
      </c>
      <c r="F102" s="95">
        <v>1.813675E-2</v>
      </c>
      <c r="G102" s="95">
        <f t="shared" si="8"/>
        <v>8.4803099999999996E-3</v>
      </c>
      <c r="H102" s="95">
        <f t="shared" si="5"/>
        <v>258.71999999999997</v>
      </c>
      <c r="I102" s="96">
        <f t="shared" si="6"/>
        <v>506.96310000000005</v>
      </c>
      <c r="J102" s="95">
        <f>Table19[[#This Row],[L/s]]/Table19[[#This Row],[Occ.]]</f>
        <v>2.5</v>
      </c>
    </row>
    <row r="103" spans="1:10" ht="15" thickBot="1" x14ac:dyDescent="0.35">
      <c r="A103" s="94" t="s">
        <v>174</v>
      </c>
      <c r="B103" s="82">
        <v>2</v>
      </c>
      <c r="C103" s="95">
        <f>B103*References!AU12</f>
        <v>16</v>
      </c>
      <c r="D103" s="95">
        <v>34.5</v>
      </c>
      <c r="E103" s="95">
        <v>22.5</v>
      </c>
      <c r="F103" s="95">
        <v>1.813675E-2</v>
      </c>
      <c r="G103" s="95">
        <f t="shared" si="8"/>
        <v>8.4803099999999996E-3</v>
      </c>
      <c r="H103" s="95">
        <f t="shared" si="5"/>
        <v>236.54399999999998</v>
      </c>
      <c r="I103" s="96">
        <f t="shared" si="6"/>
        <v>463.50912000000005</v>
      </c>
      <c r="J103" s="95">
        <f>Table19[[#This Row],[L/s]]/Table19[[#This Row],[Occ.]]</f>
        <v>8</v>
      </c>
    </row>
    <row r="104" spans="1:10" ht="15" thickBot="1" x14ac:dyDescent="0.35">
      <c r="A104" s="94" t="s">
        <v>178</v>
      </c>
      <c r="B104" s="82">
        <v>2</v>
      </c>
      <c r="C104" s="95">
        <f>B104*References!AU13</f>
        <v>26</v>
      </c>
      <c r="D104" s="95">
        <v>34.5</v>
      </c>
      <c r="E104" s="95">
        <v>22.5</v>
      </c>
      <c r="F104" s="95">
        <v>1.813675E-2</v>
      </c>
      <c r="G104" s="95">
        <f t="shared" si="8"/>
        <v>8.4803099999999996E-3</v>
      </c>
      <c r="H104" s="95">
        <f t="shared" si="5"/>
        <v>384.38399999999996</v>
      </c>
      <c r="I104" s="96">
        <f t="shared" si="6"/>
        <v>753.20231999999999</v>
      </c>
      <c r="J104" s="95">
        <f>Table19[[#This Row],[L/s]]/Table19[[#This Row],[Occ.]]</f>
        <v>13</v>
      </c>
    </row>
    <row r="105" spans="1:10" ht="15" thickBot="1" x14ac:dyDescent="0.35">
      <c r="A105" s="94" t="s">
        <v>179</v>
      </c>
      <c r="B105" s="82">
        <v>2</v>
      </c>
      <c r="C105" s="95">
        <f>B105*References!AU14</f>
        <v>26</v>
      </c>
      <c r="D105" s="95">
        <v>34.5</v>
      </c>
      <c r="E105" s="95">
        <v>22.5</v>
      </c>
      <c r="F105" s="95">
        <v>1.813675E-2</v>
      </c>
      <c r="G105" s="95">
        <f t="shared" si="8"/>
        <v>8.4803099999999996E-3</v>
      </c>
      <c r="H105" s="95">
        <f t="shared" si="5"/>
        <v>384.38399999999996</v>
      </c>
      <c r="I105" s="96">
        <f t="shared" si="6"/>
        <v>753.20231999999999</v>
      </c>
      <c r="J105" s="95">
        <f>Table19[[#This Row],[L/s]]/Table19[[#This Row],[Occ.]]</f>
        <v>13</v>
      </c>
    </row>
    <row r="106" spans="1:10" ht="15" thickBot="1" x14ac:dyDescent="0.35">
      <c r="A106" s="94" t="s">
        <v>180</v>
      </c>
      <c r="B106" s="82">
        <v>1</v>
      </c>
      <c r="C106" s="95">
        <f>B106*References!AU15</f>
        <v>13</v>
      </c>
      <c r="D106" s="95">
        <v>34.5</v>
      </c>
      <c r="E106" s="95">
        <v>22.5</v>
      </c>
      <c r="F106" s="95">
        <v>1.813675E-2</v>
      </c>
      <c r="G106" s="95">
        <f t="shared" si="8"/>
        <v>8.4803099999999996E-3</v>
      </c>
      <c r="H106" s="95">
        <f t="shared" si="5"/>
        <v>192.19199999999998</v>
      </c>
      <c r="I106" s="96">
        <f t="shared" si="6"/>
        <v>376.60115999999999</v>
      </c>
      <c r="J106" s="95">
        <f>Table19[[#This Row],[L/s]]/Table19[[#This Row],[Occ.]]</f>
        <v>13</v>
      </c>
    </row>
    <row r="107" spans="1:10" ht="15" thickBot="1" x14ac:dyDescent="0.35">
      <c r="A107" s="94" t="s">
        <v>182</v>
      </c>
      <c r="B107" s="82">
        <v>2</v>
      </c>
      <c r="C107" s="95">
        <f>B107*References!AU16</f>
        <v>26</v>
      </c>
      <c r="D107" s="95">
        <v>34.5</v>
      </c>
      <c r="E107" s="95">
        <v>22.5</v>
      </c>
      <c r="F107" s="95">
        <v>1.813675E-2</v>
      </c>
      <c r="G107" s="95">
        <f t="shared" si="8"/>
        <v>8.4803099999999996E-3</v>
      </c>
      <c r="H107" s="95">
        <f t="shared" si="5"/>
        <v>384.38399999999996</v>
      </c>
      <c r="I107" s="96">
        <f t="shared" si="6"/>
        <v>753.20231999999999</v>
      </c>
      <c r="J107" s="95">
        <f>Table19[[#This Row],[L/s]]/Table19[[#This Row],[Occ.]]</f>
        <v>13</v>
      </c>
    </row>
    <row r="108" spans="1:10" ht="15" thickBot="1" x14ac:dyDescent="0.35">
      <c r="A108" s="94" t="s">
        <v>186</v>
      </c>
      <c r="B108" s="82">
        <v>2</v>
      </c>
      <c r="C108" s="95">
        <f>B108*References!AU17</f>
        <v>26</v>
      </c>
      <c r="D108" s="95">
        <v>34.5</v>
      </c>
      <c r="E108" s="95">
        <v>22.5</v>
      </c>
      <c r="F108" s="95">
        <v>1.813675E-2</v>
      </c>
      <c r="G108" s="95">
        <f t="shared" si="8"/>
        <v>8.4803099999999996E-3</v>
      </c>
      <c r="H108" s="95">
        <f t="shared" si="5"/>
        <v>384.38399999999996</v>
      </c>
      <c r="I108" s="96">
        <f t="shared" si="6"/>
        <v>753.20231999999999</v>
      </c>
      <c r="J108" s="95">
        <f>Table19[[#This Row],[L/s]]/Table19[[#This Row],[Occ.]]</f>
        <v>13</v>
      </c>
    </row>
    <row r="109" spans="1:10" ht="15" thickBot="1" x14ac:dyDescent="0.35">
      <c r="A109" s="94" t="s">
        <v>183</v>
      </c>
      <c r="B109" s="82">
        <v>3</v>
      </c>
      <c r="C109" s="95">
        <f>B109*References!AU18</f>
        <v>39</v>
      </c>
      <c r="D109" s="95">
        <v>34.5</v>
      </c>
      <c r="E109" s="95">
        <v>22.5</v>
      </c>
      <c r="F109" s="95">
        <v>1.813675E-2</v>
      </c>
      <c r="G109" s="95">
        <f t="shared" si="8"/>
        <v>8.4803099999999996E-3</v>
      </c>
      <c r="H109" s="95">
        <f t="shared" si="5"/>
        <v>576.57600000000002</v>
      </c>
      <c r="I109" s="96">
        <f t="shared" si="6"/>
        <v>1129.80348</v>
      </c>
      <c r="J109" s="95">
        <f>Table19[[#This Row],[L/s]]/Table19[[#This Row],[Occ.]]</f>
        <v>13</v>
      </c>
    </row>
    <row r="110" spans="1:10" ht="15" thickBot="1" x14ac:dyDescent="0.35">
      <c r="A110" s="94" t="s">
        <v>185</v>
      </c>
      <c r="B110" s="82">
        <v>3</v>
      </c>
      <c r="C110" s="95">
        <f>B110*References!AU19</f>
        <v>39</v>
      </c>
      <c r="D110" s="95">
        <v>34.5</v>
      </c>
      <c r="E110" s="95">
        <v>22.5</v>
      </c>
      <c r="F110" s="95">
        <v>1.813675E-2</v>
      </c>
      <c r="G110" s="95">
        <f t="shared" si="8"/>
        <v>8.4803099999999996E-3</v>
      </c>
      <c r="H110" s="95">
        <f t="shared" si="5"/>
        <v>576.57600000000002</v>
      </c>
      <c r="I110" s="96">
        <f t="shared" si="6"/>
        <v>1129.80348</v>
      </c>
      <c r="J110" s="95">
        <f>Table19[[#This Row],[L/s]]/Table19[[#This Row],[Occ.]]</f>
        <v>13</v>
      </c>
    </row>
    <row r="111" spans="1:10" ht="15" thickBot="1" x14ac:dyDescent="0.35">
      <c r="A111" s="94" t="s">
        <v>189</v>
      </c>
      <c r="B111" s="82">
        <v>2</v>
      </c>
      <c r="C111" s="95">
        <f>B111*References!AU20</f>
        <v>26</v>
      </c>
      <c r="D111" s="95">
        <v>34.5</v>
      </c>
      <c r="E111" s="95">
        <v>22.5</v>
      </c>
      <c r="F111" s="95">
        <v>1.813675E-2</v>
      </c>
      <c r="G111" s="95">
        <f t="shared" si="8"/>
        <v>8.4803099999999996E-3</v>
      </c>
      <c r="H111" s="95">
        <f t="shared" si="5"/>
        <v>384.38399999999996</v>
      </c>
      <c r="I111" s="96">
        <f t="shared" si="6"/>
        <v>753.20231999999999</v>
      </c>
      <c r="J111" s="95">
        <f>Table19[[#This Row],[L/s]]/Table19[[#This Row],[Occ.]]</f>
        <v>13</v>
      </c>
    </row>
    <row r="112" spans="1:10" ht="15" thickBot="1" x14ac:dyDescent="0.35">
      <c r="A112" s="94" t="s">
        <v>190</v>
      </c>
      <c r="B112" s="82">
        <v>2</v>
      </c>
      <c r="C112" s="95">
        <f>B112*References!AU21</f>
        <v>26</v>
      </c>
      <c r="D112" s="95">
        <v>34.5</v>
      </c>
      <c r="E112" s="95">
        <v>22.5</v>
      </c>
      <c r="F112" s="95">
        <v>1.813675E-2</v>
      </c>
      <c r="G112" s="95">
        <f t="shared" si="8"/>
        <v>8.4803099999999996E-3</v>
      </c>
      <c r="H112" s="95">
        <f t="shared" si="5"/>
        <v>384.38399999999996</v>
      </c>
      <c r="I112" s="96">
        <f t="shared" si="6"/>
        <v>753.20231999999999</v>
      </c>
      <c r="J112" s="95">
        <f>Table19[[#This Row],[L/s]]/Table19[[#This Row],[Occ.]]</f>
        <v>13</v>
      </c>
    </row>
    <row r="113" spans="1:11" ht="15" thickBot="1" x14ac:dyDescent="0.35">
      <c r="A113" s="94" t="s">
        <v>304</v>
      </c>
      <c r="B113" s="82">
        <v>2</v>
      </c>
      <c r="C113" s="95">
        <f>B113*References!AU22</f>
        <v>26</v>
      </c>
      <c r="D113" s="95">
        <v>34.5</v>
      </c>
      <c r="E113" s="95">
        <v>22.5</v>
      </c>
      <c r="F113" s="95">
        <v>1.813675E-2</v>
      </c>
      <c r="G113" s="95">
        <f t="shared" si="8"/>
        <v>8.4803099999999996E-3</v>
      </c>
      <c r="H113" s="95">
        <f t="shared" si="5"/>
        <v>384.38399999999996</v>
      </c>
      <c r="I113" s="96">
        <f t="shared" si="6"/>
        <v>753.20231999999999</v>
      </c>
      <c r="J113" s="95">
        <f>Table19[[#This Row],[L/s]]/Table19[[#This Row],[Occ.]]</f>
        <v>13</v>
      </c>
    </row>
    <row r="114" spans="1:11" ht="15" thickBot="1" x14ac:dyDescent="0.35">
      <c r="A114" s="94" t="s">
        <v>305</v>
      </c>
      <c r="B114" s="82">
        <v>2</v>
      </c>
      <c r="C114" s="95">
        <f>B114*References!AU23</f>
        <v>26</v>
      </c>
      <c r="D114" s="95">
        <v>34.5</v>
      </c>
      <c r="E114" s="95">
        <v>22.5</v>
      </c>
      <c r="F114" s="95">
        <v>1.813675E-2</v>
      </c>
      <c r="G114" s="95">
        <f t="shared" si="8"/>
        <v>8.4803099999999996E-3</v>
      </c>
      <c r="H114" s="95">
        <f t="shared" si="5"/>
        <v>384.38399999999996</v>
      </c>
      <c r="I114" s="96">
        <f t="shared" si="6"/>
        <v>753.20231999999999</v>
      </c>
      <c r="J114" s="95">
        <f>Table19[[#This Row],[L/s]]/Table19[[#This Row],[Occ.]]</f>
        <v>13</v>
      </c>
    </row>
    <row r="115" spans="1:11" ht="15" thickBot="1" x14ac:dyDescent="0.35">
      <c r="A115" s="94" t="s">
        <v>306</v>
      </c>
      <c r="B115" s="82">
        <v>2</v>
      </c>
      <c r="C115" s="95">
        <f>B115*References!AU24</f>
        <v>26</v>
      </c>
      <c r="D115" s="95">
        <v>34.5</v>
      </c>
      <c r="E115" s="95">
        <v>22.5</v>
      </c>
      <c r="F115" s="95">
        <v>1.813675E-2</v>
      </c>
      <c r="G115" s="95">
        <f t="shared" si="8"/>
        <v>8.4803099999999996E-3</v>
      </c>
      <c r="H115" s="95">
        <f t="shared" si="5"/>
        <v>384.38399999999996</v>
      </c>
      <c r="I115" s="96">
        <f t="shared" si="6"/>
        <v>753.20231999999999</v>
      </c>
      <c r="J115" s="95">
        <f>Table19[[#This Row],[L/s]]/Table19[[#This Row],[Occ.]]</f>
        <v>13</v>
      </c>
    </row>
    <row r="116" spans="1:11" ht="15" thickBot="1" x14ac:dyDescent="0.35">
      <c r="A116" s="94" t="s">
        <v>307</v>
      </c>
      <c r="B116" s="82">
        <v>2</v>
      </c>
      <c r="C116" s="95">
        <f>B116*References!AU25</f>
        <v>26</v>
      </c>
      <c r="D116" s="95">
        <v>34.5</v>
      </c>
      <c r="E116" s="95">
        <v>22.5</v>
      </c>
      <c r="F116" s="95">
        <v>1.813675E-2</v>
      </c>
      <c r="G116" s="95">
        <f t="shared" si="8"/>
        <v>8.4803099999999996E-3</v>
      </c>
      <c r="H116" s="95">
        <f t="shared" si="5"/>
        <v>384.38399999999996</v>
      </c>
      <c r="I116" s="96">
        <f t="shared" si="6"/>
        <v>753.20231999999999</v>
      </c>
      <c r="J116" s="95">
        <f>Table19[[#This Row],[L/s]]/Table19[[#This Row],[Occ.]]</f>
        <v>13</v>
      </c>
    </row>
    <row r="117" spans="1:11" ht="15" thickBot="1" x14ac:dyDescent="0.35">
      <c r="A117" s="94" t="s">
        <v>309</v>
      </c>
      <c r="B117" s="82">
        <v>2</v>
      </c>
      <c r="C117" s="95">
        <f>B117*References!AU26</f>
        <v>26</v>
      </c>
      <c r="D117" s="95">
        <v>34.5</v>
      </c>
      <c r="E117" s="95">
        <v>22.5</v>
      </c>
      <c r="F117" s="95">
        <v>1.813675E-2</v>
      </c>
      <c r="G117" s="95">
        <f t="shared" si="8"/>
        <v>8.4803099999999996E-3</v>
      </c>
      <c r="H117" s="95">
        <f t="shared" si="5"/>
        <v>384.38399999999996</v>
      </c>
      <c r="I117" s="96">
        <f t="shared" si="6"/>
        <v>753.20231999999999</v>
      </c>
      <c r="J117" s="95">
        <f>Table19[[#This Row],[L/s]]/Table19[[#This Row],[Occ.]]</f>
        <v>13</v>
      </c>
    </row>
    <row r="118" spans="1:11" ht="15" thickBot="1" x14ac:dyDescent="0.35">
      <c r="A118" s="94" t="s">
        <v>310</v>
      </c>
      <c r="B118" s="82">
        <v>2</v>
      </c>
      <c r="C118" s="95">
        <f>B118*References!AU27</f>
        <v>26</v>
      </c>
      <c r="D118" s="95">
        <v>34.5</v>
      </c>
      <c r="E118" s="95">
        <v>22.5</v>
      </c>
      <c r="F118" s="95">
        <v>1.813675E-2</v>
      </c>
      <c r="G118" s="95">
        <f t="shared" si="8"/>
        <v>8.4803099999999996E-3</v>
      </c>
      <c r="H118" s="95">
        <f t="shared" si="5"/>
        <v>384.38399999999996</v>
      </c>
      <c r="I118" s="96">
        <f t="shared" si="6"/>
        <v>753.20231999999999</v>
      </c>
      <c r="J118" s="95">
        <f>Table19[[#This Row],[L/s]]/Table19[[#This Row],[Occ.]]</f>
        <v>13</v>
      </c>
    </row>
    <row r="119" spans="1:11" ht="15" thickBot="1" x14ac:dyDescent="0.35">
      <c r="A119" s="94" t="s">
        <v>311</v>
      </c>
      <c r="B119" s="82">
        <v>2</v>
      </c>
      <c r="C119" s="95">
        <f>B119*References!AU28</f>
        <v>5</v>
      </c>
      <c r="D119" s="95">
        <v>34.5</v>
      </c>
      <c r="E119" s="95">
        <v>22.5</v>
      </c>
      <c r="F119" s="95">
        <v>1.813675E-2</v>
      </c>
      <c r="G119" s="95">
        <f t="shared" si="8"/>
        <v>8.4803099999999996E-3</v>
      </c>
      <c r="H119" s="95">
        <f t="shared" si="5"/>
        <v>73.92</v>
      </c>
      <c r="I119" s="96">
        <f t="shared" si="6"/>
        <v>144.8466</v>
      </c>
      <c r="J119" s="95">
        <f>Table19[[#This Row],[L/s]]/Table19[[#This Row],[Occ.]]</f>
        <v>2.5</v>
      </c>
    </row>
    <row r="120" spans="1:11" ht="15" thickBot="1" x14ac:dyDescent="0.35">
      <c r="A120" s="94" t="s">
        <v>314</v>
      </c>
      <c r="B120" s="82">
        <v>2</v>
      </c>
      <c r="C120" s="95">
        <f>B120*References!AU29</f>
        <v>5</v>
      </c>
      <c r="D120" s="95">
        <v>34.5</v>
      </c>
      <c r="E120" s="95">
        <v>22.5</v>
      </c>
      <c r="F120" s="95">
        <v>1.813675E-2</v>
      </c>
      <c r="G120" s="95">
        <f t="shared" si="8"/>
        <v>8.4803099999999996E-3</v>
      </c>
      <c r="H120" s="95">
        <f t="shared" si="5"/>
        <v>73.92</v>
      </c>
      <c r="I120" s="96">
        <f t="shared" si="6"/>
        <v>144.8466</v>
      </c>
      <c r="J120" s="95">
        <f>Table19[[#This Row],[L/s]]/Table19[[#This Row],[Occ.]]</f>
        <v>2.5</v>
      </c>
    </row>
    <row r="121" spans="1:11" ht="15" thickBot="1" x14ac:dyDescent="0.35">
      <c r="A121" s="94" t="s">
        <v>72</v>
      </c>
      <c r="B121" s="82">
        <v>2</v>
      </c>
      <c r="C121" s="95">
        <f>B121*References!AU30</f>
        <v>5</v>
      </c>
      <c r="D121" s="95">
        <v>34.5</v>
      </c>
      <c r="E121" s="95">
        <v>22.5</v>
      </c>
      <c r="F121" s="95">
        <v>1.813675E-2</v>
      </c>
      <c r="G121" s="95">
        <f t="shared" si="8"/>
        <v>8.4803099999999996E-3</v>
      </c>
      <c r="H121" s="95">
        <f t="shared" si="5"/>
        <v>73.92</v>
      </c>
      <c r="I121" s="96">
        <f t="shared" si="6"/>
        <v>144.8466</v>
      </c>
      <c r="J121" s="95">
        <f>Table19[[#This Row],[L/s]]/Table19[[#This Row],[Occ.]]</f>
        <v>2.5</v>
      </c>
    </row>
    <row r="122" spans="1:11" ht="15" thickBot="1" x14ac:dyDescent="0.35">
      <c r="A122" s="94" t="s">
        <v>75</v>
      </c>
      <c r="B122" s="82">
        <v>2</v>
      </c>
      <c r="C122" s="95">
        <f>B122*References!AU31</f>
        <v>5</v>
      </c>
      <c r="D122" s="95">
        <v>34.5</v>
      </c>
      <c r="E122" s="95">
        <v>22.5</v>
      </c>
      <c r="F122" s="95">
        <v>1.813675E-2</v>
      </c>
      <c r="G122" s="95">
        <f t="shared" si="8"/>
        <v>8.4803099999999996E-3</v>
      </c>
      <c r="H122" s="95">
        <f t="shared" si="5"/>
        <v>73.92</v>
      </c>
      <c r="I122" s="96">
        <f t="shared" si="6"/>
        <v>144.8466</v>
      </c>
      <c r="J122" s="95">
        <f>Table19[[#This Row],[L/s]]/Table19[[#This Row],[Occ.]]</f>
        <v>2.5</v>
      </c>
    </row>
    <row r="123" spans="1:11" ht="15" thickBot="1" x14ac:dyDescent="0.35">
      <c r="A123" s="94" t="s">
        <v>76</v>
      </c>
      <c r="B123" s="82">
        <v>2</v>
      </c>
      <c r="C123" s="95">
        <f>B123*References!AU32</f>
        <v>5</v>
      </c>
      <c r="D123" s="95">
        <v>34.5</v>
      </c>
      <c r="E123" s="95">
        <v>22.5</v>
      </c>
      <c r="F123" s="95">
        <v>1.813675E-2</v>
      </c>
      <c r="G123" s="95">
        <f t="shared" si="8"/>
        <v>8.4803099999999996E-3</v>
      </c>
      <c r="H123" s="95">
        <f t="shared" si="5"/>
        <v>73.92</v>
      </c>
      <c r="I123" s="96">
        <f t="shared" si="6"/>
        <v>144.8466</v>
      </c>
      <c r="J123" s="95">
        <f>Table19[[#This Row],[L/s]]/Table19[[#This Row],[Occ.]]</f>
        <v>2.5</v>
      </c>
    </row>
    <row r="124" spans="1:11" ht="15" thickBot="1" x14ac:dyDescent="0.35">
      <c r="A124" s="97" t="s">
        <v>317</v>
      </c>
      <c r="B124" s="82">
        <v>6</v>
      </c>
      <c r="C124" s="98">
        <f>B124*References!AU33</f>
        <v>48</v>
      </c>
      <c r="D124" s="98">
        <v>34.5</v>
      </c>
      <c r="E124" s="98">
        <v>22.5</v>
      </c>
      <c r="F124" s="98">
        <v>1.813675E-2</v>
      </c>
      <c r="G124" s="98">
        <f t="shared" si="8"/>
        <v>8.4803099999999996E-3</v>
      </c>
      <c r="H124" s="98">
        <f t="shared" si="5"/>
        <v>709.63199999999995</v>
      </c>
      <c r="I124" s="99">
        <f t="shared" si="6"/>
        <v>1390.52736</v>
      </c>
      <c r="J124" s="95">
        <f>Table19[[#This Row],[L/s]]/Table19[[#This Row],[Occ.]]</f>
        <v>8</v>
      </c>
    </row>
    <row r="125" spans="1:11" s="118" customFormat="1" ht="15" thickBot="1" x14ac:dyDescent="0.35">
      <c r="A125" s="97" t="s">
        <v>418</v>
      </c>
      <c r="B125" s="98">
        <v>2</v>
      </c>
      <c r="C125" s="98">
        <v>26</v>
      </c>
      <c r="D125" s="98">
        <v>34.5</v>
      </c>
      <c r="E125" s="98">
        <v>22.5</v>
      </c>
      <c r="F125" s="98">
        <v>1.813675E-2</v>
      </c>
      <c r="G125" s="98">
        <f>_xlfn.IFS(E125=22.5,0.00848031,E125=24,0.009293235,E125=22,0.00821976)</f>
        <v>8.4803099999999996E-3</v>
      </c>
      <c r="H125" s="163">
        <f>ABS(1.232*C125*(D125-E125))</f>
        <v>384.38399999999996</v>
      </c>
      <c r="I125" s="164">
        <f>ABS(3000*C125*(F125-G125))</f>
        <v>753.20231999999999</v>
      </c>
      <c r="J125" s="95">
        <f>Table19[[#This Row],[L/s]]/Table19[[#This Row],[Occ.]]</f>
        <v>13</v>
      </c>
      <c r="K125" s="124"/>
    </row>
    <row r="126" spans="1:11" s="118" customFormat="1" ht="15" thickBot="1" x14ac:dyDescent="0.35">
      <c r="A126" s="97" t="s">
        <v>419</v>
      </c>
      <c r="B126" s="98">
        <v>2</v>
      </c>
      <c r="C126" s="98">
        <v>26</v>
      </c>
      <c r="D126" s="98">
        <v>34.5</v>
      </c>
      <c r="E126" s="98">
        <v>22.5</v>
      </c>
      <c r="F126" s="98">
        <v>1.813675E-2</v>
      </c>
      <c r="G126" s="98">
        <f>_xlfn.IFS(E126=22.5,0.00848031,E126=24,0.009293235,E126=22,0.00821976)</f>
        <v>8.4803099999999996E-3</v>
      </c>
      <c r="H126" s="163">
        <f>ABS(1.232*C126*(D126-E126))</f>
        <v>384.38399999999996</v>
      </c>
      <c r="I126" s="164">
        <f>ABS(3000*C126*(F126-G126))</f>
        <v>753.20231999999999</v>
      </c>
      <c r="J126" s="98">
        <f>Table19[[#This Row],[L/s]]/Table19[[#This Row],[Occ.]]</f>
        <v>13</v>
      </c>
      <c r="K126" s="124"/>
    </row>
    <row r="127" spans="1:11" ht="15" thickBot="1" x14ac:dyDescent="0.35">
      <c r="G127" s="128" t="s">
        <v>333</v>
      </c>
      <c r="H127" s="128">
        <f>SUM(Table19[Qs(W)])</f>
        <v>13106.016</v>
      </c>
      <c r="I127" s="128">
        <f>SUM(Table19[Ql(W)])</f>
        <v>25681.30218000001</v>
      </c>
    </row>
    <row r="128" spans="1:11" ht="15" thickBot="1" x14ac:dyDescent="0.35">
      <c r="G128" s="210" t="s">
        <v>161</v>
      </c>
      <c r="H128" s="210"/>
      <c r="I128" s="128">
        <f>H127+I127</f>
        <v>38787.318180000009</v>
      </c>
    </row>
  </sheetData>
  <mergeCells count="16"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G128:H128"/>
    <mergeCell ref="A2:I2"/>
    <mergeCell ref="A1:I1"/>
    <mergeCell ref="A44:I44"/>
    <mergeCell ref="A93:I93"/>
    <mergeCell ref="G42:H42"/>
    <mergeCell ref="G91:H91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S128"/>
  <sheetViews>
    <sheetView topLeftCell="A58" zoomScale="85" zoomScaleNormal="85" workbookViewId="0">
      <selection activeCell="L169" sqref="L169"/>
    </sheetView>
  </sheetViews>
  <sheetFormatPr defaultColWidth="9.109375" defaultRowHeight="14.4" x14ac:dyDescent="0.3"/>
  <cols>
    <col min="1" max="1" width="39.6640625" style="89" customWidth="1"/>
    <col min="2" max="2" width="6.33203125" style="89" customWidth="1"/>
    <col min="3" max="3" width="14.33203125" style="89" hidden="1" customWidth="1"/>
    <col min="4" max="4" width="10.6640625" style="89" hidden="1" customWidth="1"/>
    <col min="5" max="6" width="9.109375" style="89" hidden="1" customWidth="1"/>
    <col min="7" max="7" width="9.33203125" style="89" hidden="1" customWidth="1"/>
    <col min="8" max="8" width="9.109375" style="89" hidden="1" customWidth="1"/>
    <col min="9" max="16384" width="9.109375" style="91"/>
  </cols>
  <sheetData>
    <row r="1" spans="1:19" ht="24.75" customHeight="1" x14ac:dyDescent="0.3">
      <c r="A1" s="185" t="s">
        <v>503</v>
      </c>
      <c r="B1" s="185"/>
      <c r="C1" s="185"/>
      <c r="D1" s="185"/>
      <c r="E1" s="185"/>
      <c r="F1" s="185"/>
      <c r="G1" s="185"/>
      <c r="H1" s="185"/>
      <c r="I1" s="111"/>
    </row>
    <row r="2" spans="1:19" ht="24" thickBot="1" x14ac:dyDescent="0.5">
      <c r="A2" s="183" t="s">
        <v>160</v>
      </c>
      <c r="B2" s="183"/>
      <c r="C2" s="183"/>
      <c r="D2" s="183"/>
      <c r="E2" s="183"/>
      <c r="F2" s="183"/>
      <c r="G2" s="183"/>
      <c r="H2" s="183"/>
      <c r="I2" s="103"/>
    </row>
    <row r="3" spans="1:19" ht="15" thickBot="1" x14ac:dyDescent="0.35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I3" s="101" t="s">
        <v>557</v>
      </c>
      <c r="J3" s="101" t="s">
        <v>558</v>
      </c>
      <c r="N3" s="199" t="s">
        <v>539</v>
      </c>
      <c r="O3" s="199"/>
      <c r="P3" s="199"/>
      <c r="Q3" s="199"/>
      <c r="R3" s="199"/>
      <c r="S3" s="199"/>
    </row>
    <row r="4" spans="1:19" ht="15" thickBot="1" x14ac:dyDescent="0.35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I4" s="168">
        <f>Table22[[#This Row],[Qs (W)]]/Table22[[#This Row],[Occ]]</f>
        <v>38.64</v>
      </c>
      <c r="J4" s="168">
        <f>Table22[[#This Row],[Ql (W)]]/Table22[[#This Row],[Occ]]</f>
        <v>12.88</v>
      </c>
      <c r="N4" s="200"/>
      <c r="O4" s="200"/>
      <c r="P4" s="200"/>
      <c r="Q4" s="133" t="s">
        <v>541</v>
      </c>
      <c r="R4" s="133" t="s">
        <v>542</v>
      </c>
      <c r="S4" s="133" t="s">
        <v>430</v>
      </c>
    </row>
    <row r="5" spans="1:19" ht="15" thickBot="1" x14ac:dyDescent="0.35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I5" s="95">
        <f>Table22[[#This Row],[Qs (W)]]/Table22[[#This Row],[Occ]]</f>
        <v>69</v>
      </c>
      <c r="J5" s="95">
        <f>Table22[[#This Row],[Ql (W)]]/Table22[[#This Row],[Occ]]</f>
        <v>23</v>
      </c>
      <c r="N5" s="201" t="s">
        <v>160</v>
      </c>
      <c r="O5" s="201"/>
      <c r="P5" s="201"/>
      <c r="Q5" s="82">
        <f>G41</f>
        <v>6432.18</v>
      </c>
      <c r="R5" s="82">
        <f>H41</f>
        <v>1888.7599999999993</v>
      </c>
      <c r="S5" s="82">
        <f>Q5+R5</f>
        <v>8320.9399999999987</v>
      </c>
    </row>
    <row r="6" spans="1:19" ht="15" thickBot="1" x14ac:dyDescent="0.35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I6" s="95">
        <f>Table22[[#This Row],[Qs (W)]]/Table22[[#This Row],[Occ]]</f>
        <v>55.2</v>
      </c>
      <c r="J6" s="95">
        <f>Table22[[#This Row],[Ql (W)]]/Table22[[#This Row],[Occ]]</f>
        <v>7.3600000000000012</v>
      </c>
      <c r="N6" s="201" t="s">
        <v>41</v>
      </c>
      <c r="O6" s="201"/>
      <c r="P6" s="201"/>
      <c r="Q6" s="82">
        <f>G90</f>
        <v>8765.2999999999993</v>
      </c>
      <c r="R6" s="82">
        <f>H90</f>
        <v>6432.5</v>
      </c>
      <c r="S6" s="82">
        <f>Q6+R6</f>
        <v>15197.8</v>
      </c>
    </row>
    <row r="7" spans="1:19" ht="15" thickBot="1" x14ac:dyDescent="0.35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I7" s="95">
        <f>Table22[[#This Row],[Qs (W)]]/Table22[[#This Row],[Occ]]</f>
        <v>69</v>
      </c>
      <c r="J7" s="95">
        <f>Table22[[#This Row],[Ql (W)]]/Table22[[#This Row],[Occ]]</f>
        <v>23</v>
      </c>
      <c r="N7" s="201" t="s">
        <v>59</v>
      </c>
      <c r="O7" s="201"/>
      <c r="P7" s="201"/>
      <c r="Q7" s="82">
        <f>G127</f>
        <v>4519.5</v>
      </c>
      <c r="R7" s="82">
        <f>H127</f>
        <v>2132.1000000000004</v>
      </c>
      <c r="S7" s="82">
        <f>Q7+R7</f>
        <v>6651.6</v>
      </c>
    </row>
    <row r="8" spans="1:19" ht="15" thickBot="1" x14ac:dyDescent="0.35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I8" s="95">
        <f>Table22[[#This Row],[Qs (W)]]/Table22[[#This Row],[Occ]]</f>
        <v>69</v>
      </c>
      <c r="J8" s="95">
        <f>Table22[[#This Row],[Ql (W)]]/Table22[[#This Row],[Occ]]</f>
        <v>34.5</v>
      </c>
      <c r="N8" s="189" t="s">
        <v>540</v>
      </c>
      <c r="O8" s="189"/>
      <c r="P8" s="189"/>
      <c r="Q8" s="193">
        <f>SUM(Q5:Q7)</f>
        <v>19716.98</v>
      </c>
      <c r="R8" s="193">
        <f>SUM(R5:R7)</f>
        <v>10453.359999999999</v>
      </c>
      <c r="S8" s="193">
        <f>S5+S6+S7</f>
        <v>30170.339999999997</v>
      </c>
    </row>
    <row r="9" spans="1:19" ht="15" thickBot="1" x14ac:dyDescent="0.35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I9" s="95">
        <f>Table22[[#This Row],[Qs (W)]]/Table22[[#This Row],[Occ]]</f>
        <v>75.900000000000006</v>
      </c>
      <c r="J9" s="95">
        <f>Table22[[#This Row],[Ql (W)]]/Table22[[#This Row],[Occ]]</f>
        <v>31.05</v>
      </c>
      <c r="N9" s="189"/>
      <c r="O9" s="189"/>
      <c r="P9" s="189"/>
      <c r="Q9" s="194"/>
      <c r="R9" s="194"/>
      <c r="S9" s="194"/>
    </row>
    <row r="10" spans="1:19" ht="15" thickBot="1" x14ac:dyDescent="0.35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  <c r="I10" s="95">
        <f>Table22[[#This Row],[Qs (W)]]/Table22[[#This Row],[Occ]]</f>
        <v>75.900000000000006</v>
      </c>
      <c r="J10" s="95">
        <f>Table22[[#This Row],[Ql (W)]]/Table22[[#This Row],[Occ]]</f>
        <v>31.05</v>
      </c>
    </row>
    <row r="11" spans="1:19" ht="15" thickBot="1" x14ac:dyDescent="0.35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  <c r="I11" s="95">
        <f>Table22[[#This Row],[Qs (W)]]/Table22[[#This Row],[Occ]]</f>
        <v>55.2</v>
      </c>
      <c r="J11" s="95">
        <f>Table22[[#This Row],[Ql (W)]]/Table22[[#This Row],[Occ]]</f>
        <v>36.800000000000004</v>
      </c>
    </row>
    <row r="12" spans="1:19" ht="15" thickBot="1" x14ac:dyDescent="0.35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  <c r="I12" s="95">
        <f>Table22[[#This Row],[Qs (W)]]/Table22[[#This Row],[Occ]]</f>
        <v>55.2</v>
      </c>
      <c r="J12" s="95">
        <f>Table22[[#This Row],[Ql (W)]]/Table22[[#This Row],[Occ]]</f>
        <v>2.628571428571429</v>
      </c>
    </row>
    <row r="13" spans="1:19" ht="15" thickBot="1" x14ac:dyDescent="0.35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  <c r="I13" s="95">
        <f>Table22[[#This Row],[Qs (W)]]/Table22[[#This Row],[Occ]]</f>
        <v>69</v>
      </c>
      <c r="J13" s="95">
        <f>Table22[[#This Row],[Ql (W)]]/Table22[[#This Row],[Occ]]</f>
        <v>17.25</v>
      </c>
    </row>
    <row r="14" spans="1:19" ht="15" thickBot="1" x14ac:dyDescent="0.35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  <c r="I14" s="95">
        <f>Table22[[#This Row],[Qs (W)]]/Table22[[#This Row],[Occ]]</f>
        <v>69</v>
      </c>
      <c r="J14" s="95">
        <f>Table22[[#This Row],[Ql (W)]]/Table22[[#This Row],[Occ]]</f>
        <v>34.5</v>
      </c>
    </row>
    <row r="15" spans="1:19" ht="15" thickBot="1" x14ac:dyDescent="0.35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  <c r="I15" s="95">
        <f>Table22[[#This Row],[Qs (W)]]/Table22[[#This Row],[Occ]]</f>
        <v>69</v>
      </c>
      <c r="J15" s="95">
        <f>Table22[[#This Row],[Ql (W)]]/Table22[[#This Row],[Occ]]</f>
        <v>34.5</v>
      </c>
    </row>
    <row r="16" spans="1:19" ht="15" thickBot="1" x14ac:dyDescent="0.35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  <c r="I16" s="95">
        <f>Table22[[#This Row],[Qs (W)]]/Table22[[#This Row],[Occ]]</f>
        <v>69</v>
      </c>
      <c r="J16" s="95">
        <f>Table22[[#This Row],[Ql (W)]]/Table22[[#This Row],[Occ]]</f>
        <v>34.5</v>
      </c>
    </row>
    <row r="17" spans="1:10" ht="15" thickBot="1" x14ac:dyDescent="0.35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  <c r="I17" s="95">
        <f>Table22[[#This Row],[Qs (W)]]/Table22[[#This Row],[Occ]]</f>
        <v>69</v>
      </c>
      <c r="J17" s="95">
        <f>Table22[[#This Row],[Ql (W)]]/Table22[[#This Row],[Occ]]</f>
        <v>34.5</v>
      </c>
    </row>
    <row r="18" spans="1:10" ht="15" thickBot="1" x14ac:dyDescent="0.35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  <c r="I18" s="95">
        <f>Table22[[#This Row],[Qs (W)]]/Table22[[#This Row],[Occ]]</f>
        <v>75.900000000000006</v>
      </c>
      <c r="J18" s="95">
        <f>Table22[[#This Row],[Ql (W)]]/Table22[[#This Row],[Occ]]</f>
        <v>62.1</v>
      </c>
    </row>
    <row r="19" spans="1:10" ht="15" thickBot="1" x14ac:dyDescent="0.35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  <c r="I19" s="95">
        <f>Table22[[#This Row],[Qs (W)]]/Table22[[#This Row],[Occ]]</f>
        <v>75.900000000000006</v>
      </c>
      <c r="J19" s="95">
        <f>Table22[[#This Row],[Ql (W)]]/Table22[[#This Row],[Occ]]</f>
        <v>62.1</v>
      </c>
    </row>
    <row r="20" spans="1:10" ht="15" thickBot="1" x14ac:dyDescent="0.35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  <c r="I20" s="95">
        <f>Table22[[#This Row],[Qs (W)]]/Table22[[#This Row],[Occ]]</f>
        <v>75.900000000000006</v>
      </c>
      <c r="J20" s="95">
        <f>Table22[[#This Row],[Ql (W)]]/Table22[[#This Row],[Occ]]</f>
        <v>62.1</v>
      </c>
    </row>
    <row r="21" spans="1:10" ht="15" thickBot="1" x14ac:dyDescent="0.35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  <c r="I21" s="95">
        <f>Table22[[#This Row],[Qs (W)]]/Table22[[#This Row],[Occ]]</f>
        <v>69</v>
      </c>
      <c r="J21" s="95">
        <f>Table22[[#This Row],[Ql (W)]]/Table22[[#This Row],[Occ]]</f>
        <v>69</v>
      </c>
    </row>
    <row r="22" spans="1:10" ht="15" thickBot="1" x14ac:dyDescent="0.35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  <c r="I22" s="95">
        <f>Table22[[#This Row],[Qs (W)]]/Table22[[#This Row],[Occ]]</f>
        <v>55.2</v>
      </c>
      <c r="J22" s="95">
        <f>Table22[[#This Row],[Ql (W)]]/Table22[[#This Row],[Occ]]</f>
        <v>36.800000000000004</v>
      </c>
    </row>
    <row r="23" spans="1:10" ht="15" thickBot="1" x14ac:dyDescent="0.35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  <c r="I23" s="95">
        <f>Table22[[#This Row],[Qs (W)]]/Table22[[#This Row],[Occ]]</f>
        <v>55.199999999999996</v>
      </c>
      <c r="J23" s="95">
        <f>Table22[[#This Row],[Ql (W)]]/Table22[[#This Row],[Occ]]</f>
        <v>12.266666666666667</v>
      </c>
    </row>
    <row r="24" spans="1:10" ht="15" thickBot="1" x14ac:dyDescent="0.35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  <c r="I24" s="95">
        <f>Table22[[#This Row],[Qs (W)]]/Table22[[#This Row],[Occ]]</f>
        <v>55.2</v>
      </c>
      <c r="J24" s="95">
        <f>Table22[[#This Row],[Ql (W)]]/Table22[[#This Row],[Occ]]</f>
        <v>18.400000000000002</v>
      </c>
    </row>
    <row r="25" spans="1:10" ht="15" thickBot="1" x14ac:dyDescent="0.35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  <c r="I25" s="95">
        <f>Table22[[#This Row],[Qs (W)]]/Table22[[#This Row],[Occ]]</f>
        <v>55.2</v>
      </c>
      <c r="J25" s="95">
        <f>Table22[[#This Row],[Ql (W)]]/Table22[[#This Row],[Occ]]</f>
        <v>18.400000000000002</v>
      </c>
    </row>
    <row r="26" spans="1:10" ht="15" thickBot="1" x14ac:dyDescent="0.35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  <c r="I26" s="95">
        <f>Table22[[#This Row],[Qs (W)]]/Table22[[#This Row],[Occ]]</f>
        <v>75.900000000000006</v>
      </c>
      <c r="J26" s="95">
        <f>Table22[[#This Row],[Ql (W)]]/Table22[[#This Row],[Occ]]</f>
        <v>62.1</v>
      </c>
    </row>
    <row r="27" spans="1:10" ht="15" thickBot="1" x14ac:dyDescent="0.35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  <c r="I27" s="95">
        <f>Table22[[#This Row],[Qs (W)]]/Table22[[#This Row],[Occ]]</f>
        <v>55.2</v>
      </c>
      <c r="J27" s="95">
        <f>Table22[[#This Row],[Ql (W)]]/Table22[[#This Row],[Occ]]</f>
        <v>18.400000000000002</v>
      </c>
    </row>
    <row r="28" spans="1:10" ht="15" thickBot="1" x14ac:dyDescent="0.35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  <c r="I28" s="95">
        <f>Table22[[#This Row],[Qs (W)]]/Table22[[#This Row],[Occ]]</f>
        <v>55.2</v>
      </c>
      <c r="J28" s="95">
        <f>Table22[[#This Row],[Ql (W)]]/Table22[[#This Row],[Occ]]</f>
        <v>18.400000000000002</v>
      </c>
    </row>
    <row r="29" spans="1:10" ht="15" thickBot="1" x14ac:dyDescent="0.35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  <c r="I29" s="95">
        <f>Table22[[#This Row],[Qs (W)]]/Table22[[#This Row],[Occ]]</f>
        <v>75.900000000000006</v>
      </c>
      <c r="J29" s="95">
        <f>Table22[[#This Row],[Ql (W)]]/Table22[[#This Row],[Occ]]</f>
        <v>62.1</v>
      </c>
    </row>
    <row r="30" spans="1:10" ht="15" thickBot="1" x14ac:dyDescent="0.35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  <c r="I30" s="95">
        <f>Table22[[#This Row],[Qs (W)]]/Table22[[#This Row],[Occ]]</f>
        <v>75.900000000000006</v>
      </c>
      <c r="J30" s="95">
        <f>Table22[[#This Row],[Ql (W)]]/Table22[[#This Row],[Occ]]</f>
        <v>15.525</v>
      </c>
    </row>
    <row r="31" spans="1:10" ht="15" thickBot="1" x14ac:dyDescent="0.35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  <c r="I31" s="95">
        <f>Table22[[#This Row],[Qs (W)]]/Table22[[#This Row],[Occ]]</f>
        <v>55.2</v>
      </c>
      <c r="J31" s="95">
        <f>Table22[[#This Row],[Ql (W)]]/Table22[[#This Row],[Occ]]</f>
        <v>36.800000000000004</v>
      </c>
    </row>
    <row r="32" spans="1:10" ht="15" thickBot="1" x14ac:dyDescent="0.35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  <c r="I32" s="95">
        <f>Table22[[#This Row],[Qs (W)]]/Table22[[#This Row],[Occ]]</f>
        <v>75.900000000000006</v>
      </c>
      <c r="J32" s="95">
        <f>Table22[[#This Row],[Ql (W)]]/Table22[[#This Row],[Occ]]</f>
        <v>62.1</v>
      </c>
    </row>
    <row r="33" spans="1:10" ht="15" thickBot="1" x14ac:dyDescent="0.35">
      <c r="A33" s="169" t="s">
        <v>453</v>
      </c>
      <c r="B33" s="170"/>
      <c r="C33" s="170"/>
      <c r="D33" s="170"/>
      <c r="E33" s="170"/>
      <c r="F33" s="170">
        <v>0.92</v>
      </c>
      <c r="G33" s="170">
        <f t="shared" si="0"/>
        <v>0</v>
      </c>
      <c r="H33" s="171">
        <f t="shared" si="1"/>
        <v>0</v>
      </c>
      <c r="I33" s="170" t="e">
        <f>Table22[[#This Row],[Qs (W)]]/Table22[[#This Row],[Occ]]</f>
        <v>#DIV/0!</v>
      </c>
      <c r="J33" s="170" t="e">
        <f>Table22[[#This Row],[Ql (W)]]/Table22[[#This Row],[Occ]]</f>
        <v>#DIV/0!</v>
      </c>
    </row>
    <row r="34" spans="1:10" ht="15" thickBot="1" x14ac:dyDescent="0.35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  <c r="I34" s="95">
        <f>Table22[[#This Row],[Qs (W)]]/Table22[[#This Row],[Occ]]</f>
        <v>55.2</v>
      </c>
      <c r="J34" s="95">
        <f>Table22[[#This Row],[Ql (W)]]/Table22[[#This Row],[Occ]]</f>
        <v>18.400000000000002</v>
      </c>
    </row>
    <row r="35" spans="1:10" ht="15" thickBot="1" x14ac:dyDescent="0.35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  <c r="I35" s="95">
        <f>Table22[[#This Row],[Qs (W)]]/Table22[[#This Row],[Occ]]</f>
        <v>69</v>
      </c>
      <c r="J35" s="95">
        <f>Table22[[#This Row],[Ql (W)]]/Table22[[#This Row],[Occ]]</f>
        <v>69</v>
      </c>
    </row>
    <row r="36" spans="1:10" ht="15" thickBot="1" x14ac:dyDescent="0.35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  <c r="I36" s="95">
        <f>Table22[[#This Row],[Qs (W)]]/Table22[[#This Row],[Occ]]</f>
        <v>75.900000000000006</v>
      </c>
      <c r="J36" s="95">
        <f>Table22[[#This Row],[Ql (W)]]/Table22[[#This Row],[Occ]]</f>
        <v>62.1</v>
      </c>
    </row>
    <row r="37" spans="1:10" ht="15" thickBot="1" x14ac:dyDescent="0.35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  <c r="I37" s="95">
        <f>Table22[[#This Row],[Qs (W)]]/Table22[[#This Row],[Occ]]</f>
        <v>55.2</v>
      </c>
      <c r="J37" s="95">
        <f>Table22[[#This Row],[Ql (W)]]/Table22[[#This Row],[Occ]]</f>
        <v>9.2000000000000011</v>
      </c>
    </row>
    <row r="38" spans="1:10" ht="15" thickBot="1" x14ac:dyDescent="0.35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  <c r="I38" s="95">
        <f>Table22[[#This Row],[Qs (W)]]/Table22[[#This Row],[Occ]]</f>
        <v>55.2</v>
      </c>
      <c r="J38" s="95">
        <f>Table22[[#This Row],[Ql (W)]]/Table22[[#This Row],[Occ]]</f>
        <v>7.3600000000000012</v>
      </c>
    </row>
    <row r="39" spans="1:10" ht="15" thickBot="1" x14ac:dyDescent="0.35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  <c r="I39" s="95">
        <f>Table22[[#This Row],[Qs (W)]]/Table22[[#This Row],[Occ]]</f>
        <v>55.199999999999996</v>
      </c>
      <c r="J39" s="95">
        <f>Table22[[#This Row],[Ql (W)]]/Table22[[#This Row],[Occ]]</f>
        <v>12.266666666666667</v>
      </c>
    </row>
    <row r="40" spans="1:10" ht="15" thickBot="1" x14ac:dyDescent="0.35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  <c r="I40" s="98">
        <f>Table22[[#This Row],[Qs (W)]]/Table22[[#This Row],[Occ]]</f>
        <v>55.2</v>
      </c>
      <c r="J40" s="98">
        <f>Table22[[#This Row],[Ql (W)]]/Table22[[#This Row],[Occ]]</f>
        <v>1.8400000000000003</v>
      </c>
    </row>
    <row r="41" spans="1:10" ht="15" thickBot="1" x14ac:dyDescent="0.35">
      <c r="F41" s="128" t="s">
        <v>333</v>
      </c>
      <c r="G41" s="128">
        <f>SUM(Table22[Qs (W)])</f>
        <v>6432.18</v>
      </c>
      <c r="H41" s="128">
        <f>SUM(Table22[Ql (W)])</f>
        <v>1888.7599999999993</v>
      </c>
    </row>
    <row r="42" spans="1:10" ht="15" thickBot="1" x14ac:dyDescent="0.35">
      <c r="F42" s="210" t="s">
        <v>161</v>
      </c>
      <c r="G42" s="210"/>
      <c r="H42" s="128">
        <f>G41+H41</f>
        <v>8320.9399999999987</v>
      </c>
    </row>
    <row r="44" spans="1:10" ht="24" customHeight="1" thickBot="1" x14ac:dyDescent="0.5">
      <c r="A44" s="183" t="s">
        <v>41</v>
      </c>
      <c r="B44" s="183"/>
      <c r="C44" s="183"/>
      <c r="D44" s="183"/>
      <c r="E44" s="183"/>
      <c r="F44" s="183"/>
      <c r="G44" s="183"/>
      <c r="H44" s="183"/>
      <c r="I44" s="103"/>
    </row>
    <row r="45" spans="1:10" ht="15.75" customHeight="1" thickBot="1" x14ac:dyDescent="0.35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  <c r="I45" s="101" t="s">
        <v>557</v>
      </c>
      <c r="J45" s="101" t="s">
        <v>558</v>
      </c>
    </row>
    <row r="46" spans="1:10" ht="15.75" customHeight="1" thickBot="1" x14ac:dyDescent="0.35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  <c r="I46" s="166">
        <f>Table21[[#This Row],[Qs (W)]]/Table21[[#This Row],[Occ]]</f>
        <v>48.3</v>
      </c>
      <c r="J46" s="166">
        <f>Table21[[#This Row],[Ql (W)]]/Table21[[#This Row],[Occ]]</f>
        <v>17.5</v>
      </c>
    </row>
    <row r="47" spans="1:10" ht="15.75" customHeight="1" thickBot="1" x14ac:dyDescent="0.35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  <c r="I47" s="107">
        <f>Table21[[#This Row],[Qs (W)]]/Table21[[#This Row],[Occ]]</f>
        <v>48.3</v>
      </c>
      <c r="J47" s="107">
        <f>Table21[[#This Row],[Ql (W)]]/Table21[[#This Row],[Occ]]</f>
        <v>17.5</v>
      </c>
    </row>
    <row r="48" spans="1:10" ht="15.75" customHeight="1" thickBot="1" x14ac:dyDescent="0.35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  <c r="I48" s="107">
        <f>Table21[[#This Row],[Qs (W)]]/Table21[[#This Row],[Occ]]</f>
        <v>48.3</v>
      </c>
      <c r="J48" s="107">
        <f>Table21[[#This Row],[Ql (W)]]/Table21[[#This Row],[Occ]]</f>
        <v>17.5</v>
      </c>
    </row>
    <row r="49" spans="1:10" ht="15.75" customHeight="1" thickBot="1" x14ac:dyDescent="0.35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  <c r="I49" s="107">
        <f>Table21[[#This Row],[Qs (W)]]/Table21[[#This Row],[Occ]]</f>
        <v>48.3</v>
      </c>
      <c r="J49" s="107">
        <f>Table21[[#This Row],[Ql (W)]]/Table21[[#This Row],[Occ]]</f>
        <v>17.5</v>
      </c>
    </row>
    <row r="50" spans="1:10" ht="15.75" customHeight="1" thickBot="1" x14ac:dyDescent="0.35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  <c r="I50" s="107">
        <f>Table21[[#This Row],[Qs (W)]]/Table21[[#This Row],[Occ]]</f>
        <v>48.300000000000004</v>
      </c>
      <c r="J50" s="107">
        <f>Table21[[#This Row],[Ql (W)]]/Table21[[#This Row],[Occ]]</f>
        <v>17.5</v>
      </c>
    </row>
    <row r="51" spans="1:10" ht="15.75" customHeight="1" thickBot="1" x14ac:dyDescent="0.35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  <c r="I51" s="107">
        <f>Table21[[#This Row],[Qs (W)]]/Table21[[#This Row],[Occ]]</f>
        <v>48.300000000000004</v>
      </c>
      <c r="J51" s="107">
        <f>Table21[[#This Row],[Ql (W)]]/Table21[[#This Row],[Occ]]</f>
        <v>17.5</v>
      </c>
    </row>
    <row r="52" spans="1:10" ht="15" thickBot="1" x14ac:dyDescent="0.35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  <c r="I52" s="107">
        <f>Table21[[#This Row],[Qs (W)]]/Table21[[#This Row],[Occ]]</f>
        <v>48.300000000000004</v>
      </c>
      <c r="J52" s="107">
        <f>Table21[[#This Row],[Ql (W)]]/Table21[[#This Row],[Occ]]</f>
        <v>17.5</v>
      </c>
    </row>
    <row r="53" spans="1:10" ht="15" thickBot="1" x14ac:dyDescent="0.35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  <c r="I53" s="107">
        <f>Table21[[#This Row],[Qs (W)]]/Table21[[#This Row],[Occ]]</f>
        <v>55.2</v>
      </c>
      <c r="J53" s="107">
        <f>Table21[[#This Row],[Ql (W)]]/Table21[[#This Row],[Occ]]</f>
        <v>40</v>
      </c>
    </row>
    <row r="54" spans="1:10" ht="15" thickBot="1" x14ac:dyDescent="0.35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  <c r="I54" s="107">
        <f>Table21[[#This Row],[Qs (W)]]/Table21[[#This Row],[Occ]]</f>
        <v>48.300000000000004</v>
      </c>
      <c r="J54" s="107">
        <f>Table21[[#This Row],[Ql (W)]]/Table21[[#This Row],[Occ]]</f>
        <v>17.5</v>
      </c>
    </row>
    <row r="55" spans="1:10" ht="15" thickBot="1" x14ac:dyDescent="0.35">
      <c r="A55" s="169" t="s">
        <v>175</v>
      </c>
      <c r="B55" s="170">
        <v>5</v>
      </c>
      <c r="C55" s="152">
        <v>100</v>
      </c>
      <c r="D55" s="152">
        <v>0.6</v>
      </c>
      <c r="E55" s="152">
        <v>0.4</v>
      </c>
      <c r="F55" s="152">
        <v>0.92</v>
      </c>
      <c r="G55" s="152">
        <f t="shared" si="2"/>
        <v>276</v>
      </c>
      <c r="H55" s="153">
        <f t="shared" si="3"/>
        <v>200</v>
      </c>
      <c r="I55" s="152">
        <f>Table21[[#This Row],[Qs (W)]]/Table21[[#This Row],[Occ]]</f>
        <v>55.2</v>
      </c>
      <c r="J55" s="152">
        <f>Table21[[#This Row],[Ql (W)]]/Table21[[#This Row],[Occ]]</f>
        <v>40</v>
      </c>
    </row>
    <row r="56" spans="1:10" ht="15" thickBot="1" x14ac:dyDescent="0.35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  <c r="I56" s="107">
        <f>Table21[[#This Row],[Qs (W)]]/Table21[[#This Row],[Occ]]</f>
        <v>69</v>
      </c>
      <c r="J56" s="107">
        <f>Table21[[#This Row],[Ql (W)]]/Table21[[#This Row],[Occ]]</f>
        <v>75</v>
      </c>
    </row>
    <row r="57" spans="1:10" ht="15" thickBot="1" x14ac:dyDescent="0.35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  <c r="I57" s="107">
        <f>Table21[[#This Row],[Qs (W)]]/Table21[[#This Row],[Occ]]</f>
        <v>69</v>
      </c>
      <c r="J57" s="107">
        <f>Table21[[#This Row],[Ql (W)]]/Table21[[#This Row],[Occ]]</f>
        <v>75</v>
      </c>
    </row>
    <row r="58" spans="1:10" ht="15" thickBot="1" x14ac:dyDescent="0.35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  <c r="I58" s="107">
        <f>Table21[[#This Row],[Qs (W)]]/Table21[[#This Row],[Occ]]</f>
        <v>48.300000000000004</v>
      </c>
      <c r="J58" s="107">
        <f>Table21[[#This Row],[Ql (W)]]/Table21[[#This Row],[Occ]]</f>
        <v>17.5</v>
      </c>
    </row>
    <row r="59" spans="1:10" ht="15" thickBot="1" x14ac:dyDescent="0.35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  <c r="I59" s="107">
        <f>Table21[[#This Row],[Qs (W)]]/Table21[[#This Row],[Occ]]</f>
        <v>48.300000000000004</v>
      </c>
      <c r="J59" s="107">
        <f>Table21[[#This Row],[Ql (W)]]/Table21[[#This Row],[Occ]]</f>
        <v>17.5</v>
      </c>
    </row>
    <row r="60" spans="1:10" ht="15" thickBot="1" x14ac:dyDescent="0.35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  <c r="I60" s="107">
        <f>Table21[[#This Row],[Qs (W)]]/Table21[[#This Row],[Occ]]</f>
        <v>48.300000000000004</v>
      </c>
      <c r="J60" s="107">
        <f>Table21[[#This Row],[Ql (W)]]/Table21[[#This Row],[Occ]]</f>
        <v>17.5</v>
      </c>
    </row>
    <row r="61" spans="1:10" ht="15" thickBot="1" x14ac:dyDescent="0.35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  <c r="I61" s="107">
        <f>Table21[[#This Row],[Qs (W)]]/Table21[[#This Row],[Occ]]</f>
        <v>55.2</v>
      </c>
      <c r="J61" s="107">
        <f>Table21[[#This Row],[Ql (W)]]/Table21[[#This Row],[Occ]]</f>
        <v>40</v>
      </c>
    </row>
    <row r="62" spans="1:10" ht="15" thickBot="1" x14ac:dyDescent="0.35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  <c r="I62" s="107">
        <f>Table21[[#This Row],[Qs (W)]]/Table21[[#This Row],[Occ]]</f>
        <v>48.300000000000004</v>
      </c>
      <c r="J62" s="107">
        <f>Table21[[#This Row],[Ql (W)]]/Table21[[#This Row],[Occ]]</f>
        <v>17.5</v>
      </c>
    </row>
    <row r="63" spans="1:10" ht="15" thickBot="1" x14ac:dyDescent="0.35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  <c r="I63" s="107">
        <f>Table21[[#This Row],[Qs (W)]]/Table21[[#This Row],[Occ]]</f>
        <v>55.199999999999996</v>
      </c>
      <c r="J63" s="107">
        <f>Table21[[#This Row],[Ql (W)]]/Table21[[#This Row],[Occ]]</f>
        <v>40</v>
      </c>
    </row>
    <row r="64" spans="1:10" ht="15" thickBot="1" x14ac:dyDescent="0.35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  <c r="I64" s="107">
        <f>Table21[[#This Row],[Qs (W)]]/Table21[[#This Row],[Occ]]</f>
        <v>48.300000000000004</v>
      </c>
      <c r="J64" s="107">
        <f>Table21[[#This Row],[Ql (W)]]/Table21[[#This Row],[Occ]]</f>
        <v>17.5</v>
      </c>
    </row>
    <row r="65" spans="1:10" ht="15" thickBot="1" x14ac:dyDescent="0.35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  <c r="I65" s="107">
        <f>Table21[[#This Row],[Qs (W)]]/Table21[[#This Row],[Occ]]</f>
        <v>48.300000000000004</v>
      </c>
      <c r="J65" s="107">
        <f>Table21[[#This Row],[Ql (W)]]/Table21[[#This Row],[Occ]]</f>
        <v>17.5</v>
      </c>
    </row>
    <row r="66" spans="1:10" ht="15" thickBot="1" x14ac:dyDescent="0.35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  <c r="I66" s="107">
        <f>Table21[[#This Row],[Qs (W)]]/Table21[[#This Row],[Occ]]</f>
        <v>48.300000000000004</v>
      </c>
      <c r="J66" s="107">
        <f>Table21[[#This Row],[Ql (W)]]/Table21[[#This Row],[Occ]]</f>
        <v>17.5</v>
      </c>
    </row>
    <row r="67" spans="1:10" ht="15" thickBot="1" x14ac:dyDescent="0.35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  <c r="I67" s="107">
        <f>Table21[[#This Row],[Qs (W)]]/Table21[[#This Row],[Occ]]</f>
        <v>80.5</v>
      </c>
      <c r="J67" s="107">
        <f>Table21[[#This Row],[Ql (W)]]/Table21[[#This Row],[Occ]]</f>
        <v>87.5</v>
      </c>
    </row>
    <row r="68" spans="1:10" ht="15" thickBot="1" x14ac:dyDescent="0.35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  <c r="I68" s="107">
        <f>Table21[[#This Row],[Qs (W)]]/Table21[[#This Row],[Occ]]</f>
        <v>48.300000000000004</v>
      </c>
      <c r="J68" s="107">
        <f>Table21[[#This Row],[Ql (W)]]/Table21[[#This Row],[Occ]]</f>
        <v>17.5</v>
      </c>
    </row>
    <row r="69" spans="1:10" ht="15" thickBot="1" x14ac:dyDescent="0.35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  <c r="I69" s="107">
        <f>Table21[[#This Row],[Qs (W)]]/Table21[[#This Row],[Occ]]</f>
        <v>48.300000000000004</v>
      </c>
      <c r="J69" s="107">
        <f>Table21[[#This Row],[Ql (W)]]/Table21[[#This Row],[Occ]]</f>
        <v>17.5</v>
      </c>
    </row>
    <row r="70" spans="1:10" ht="15" thickBot="1" x14ac:dyDescent="0.35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  <c r="I70" s="107">
        <f>Table21[[#This Row],[Qs (W)]]/Table21[[#This Row],[Occ]]</f>
        <v>48.300000000000004</v>
      </c>
      <c r="J70" s="107">
        <f>Table21[[#This Row],[Ql (W)]]/Table21[[#This Row],[Occ]]</f>
        <v>17.5</v>
      </c>
    </row>
    <row r="71" spans="1:10" ht="15" thickBot="1" x14ac:dyDescent="0.35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  <c r="I71" s="107">
        <f>Table21[[#This Row],[Qs (W)]]/Table21[[#This Row],[Occ]]</f>
        <v>48.300000000000004</v>
      </c>
      <c r="J71" s="107">
        <f>Table21[[#This Row],[Ql (W)]]/Table21[[#This Row],[Occ]]</f>
        <v>17.5</v>
      </c>
    </row>
    <row r="72" spans="1:10" ht="15" thickBot="1" x14ac:dyDescent="0.35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  <c r="I72" s="107">
        <f>Table21[[#This Row],[Qs (W)]]/Table21[[#This Row],[Occ]]</f>
        <v>75.900000000000006</v>
      </c>
      <c r="J72" s="107">
        <f>Table21[[#This Row],[Ql (W)]]/Table21[[#This Row],[Occ]]</f>
        <v>67.5</v>
      </c>
    </row>
    <row r="73" spans="1:10" ht="15" thickBot="1" x14ac:dyDescent="0.35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  <c r="I73" s="107">
        <f>Table21[[#This Row],[Qs (W)]]/Table21[[#This Row],[Occ]]</f>
        <v>69</v>
      </c>
      <c r="J73" s="107">
        <f>Table21[[#This Row],[Ql (W)]]/Table21[[#This Row],[Occ]]</f>
        <v>75</v>
      </c>
    </row>
    <row r="74" spans="1:10" ht="15" thickBot="1" x14ac:dyDescent="0.35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  <c r="I74" s="107">
        <f>Table21[[#This Row],[Qs (W)]]/Table21[[#This Row],[Occ]]</f>
        <v>69</v>
      </c>
      <c r="J74" s="107">
        <f>Table21[[#This Row],[Ql (W)]]/Table21[[#This Row],[Occ]]</f>
        <v>75</v>
      </c>
    </row>
    <row r="75" spans="1:10" ht="15" thickBot="1" x14ac:dyDescent="0.35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  <c r="I75" s="107">
        <f>Table21[[#This Row],[Qs (W)]]/Table21[[#This Row],[Occ]]</f>
        <v>69</v>
      </c>
      <c r="J75" s="107">
        <f>Table21[[#This Row],[Ql (W)]]/Table21[[#This Row],[Occ]]</f>
        <v>75</v>
      </c>
    </row>
    <row r="76" spans="1:10" ht="15" thickBot="1" x14ac:dyDescent="0.35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  <c r="I76" s="107">
        <f>Table21[[#This Row],[Qs (W)]]/Table21[[#This Row],[Occ]]</f>
        <v>48.300000000000004</v>
      </c>
      <c r="J76" s="107">
        <f>Table21[[#This Row],[Ql (W)]]/Table21[[#This Row],[Occ]]</f>
        <v>17.5</v>
      </c>
    </row>
    <row r="77" spans="1:10" ht="15" thickBot="1" x14ac:dyDescent="0.35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  <c r="I77" s="107">
        <f>Table21[[#This Row],[Qs (W)]]/Table21[[#This Row],[Occ]]</f>
        <v>48.300000000000004</v>
      </c>
      <c r="J77" s="107">
        <f>Table21[[#This Row],[Ql (W)]]/Table21[[#This Row],[Occ]]</f>
        <v>17.5</v>
      </c>
    </row>
    <row r="78" spans="1:10" ht="15" thickBot="1" x14ac:dyDescent="0.35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  <c r="I78" s="107">
        <f>Table21[[#This Row],[Qs (W)]]/Table21[[#This Row],[Occ]]</f>
        <v>55.2</v>
      </c>
      <c r="J78" s="107">
        <f>Table21[[#This Row],[Ql (W)]]/Table21[[#This Row],[Occ]]</f>
        <v>40</v>
      </c>
    </row>
    <row r="79" spans="1:10" ht="15" thickBot="1" x14ac:dyDescent="0.35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  <c r="I79" s="107">
        <f>Table21[[#This Row],[Qs (W)]]/Table21[[#This Row],[Occ]]</f>
        <v>69</v>
      </c>
      <c r="J79" s="107">
        <f>Table21[[#This Row],[Ql (W)]]/Table21[[#This Row],[Occ]]</f>
        <v>75</v>
      </c>
    </row>
    <row r="80" spans="1:10" ht="15" thickBot="1" x14ac:dyDescent="0.35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  <c r="I80" s="107">
        <f>Table21[[#This Row],[Qs (W)]]/Table21[[#This Row],[Occ]]</f>
        <v>55.199999999999996</v>
      </c>
      <c r="J80" s="107">
        <f>Table21[[#This Row],[Ql (W)]]/Table21[[#This Row],[Occ]]</f>
        <v>40</v>
      </c>
    </row>
    <row r="81" spans="1:10" ht="15" thickBot="1" x14ac:dyDescent="0.35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  <c r="I81" s="107">
        <f>Table21[[#This Row],[Qs (W)]]/Table21[[#This Row],[Occ]]</f>
        <v>55.2</v>
      </c>
      <c r="J81" s="107">
        <f>Table21[[#This Row],[Ql (W)]]/Table21[[#This Row],[Occ]]</f>
        <v>40</v>
      </c>
    </row>
    <row r="82" spans="1:10" ht="15" thickBot="1" x14ac:dyDescent="0.35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  <c r="I82" s="107">
        <f>Table21[[#This Row],[Qs (W)]]/Table21[[#This Row],[Occ]]</f>
        <v>69</v>
      </c>
      <c r="J82" s="107">
        <f>Table21[[#This Row],[Ql (W)]]/Table21[[#This Row],[Occ]]</f>
        <v>75</v>
      </c>
    </row>
    <row r="83" spans="1:10" ht="15" thickBot="1" x14ac:dyDescent="0.35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  <c r="I83" s="107">
        <f>Table21[[#This Row],[Qs (W)]]/Table21[[#This Row],[Occ]]</f>
        <v>69</v>
      </c>
      <c r="J83" s="107">
        <f>Table21[[#This Row],[Ql (W)]]/Table21[[#This Row],[Occ]]</f>
        <v>75</v>
      </c>
    </row>
    <row r="84" spans="1:10" ht="15" thickBot="1" x14ac:dyDescent="0.35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  <c r="I84" s="107">
        <f>Table21[[#This Row],[Qs (W)]]/Table21[[#This Row],[Occ]]</f>
        <v>69</v>
      </c>
      <c r="J84" s="107">
        <f>Table21[[#This Row],[Ql (W)]]/Table21[[#This Row],[Occ]]</f>
        <v>75</v>
      </c>
    </row>
    <row r="85" spans="1:10" ht="15" thickBot="1" x14ac:dyDescent="0.35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  <c r="I85" s="107">
        <f>Table21[[#This Row],[Qs (W)]]/Table21[[#This Row],[Occ]]</f>
        <v>69</v>
      </c>
      <c r="J85" s="107">
        <f>Table21[[#This Row],[Ql (W)]]/Table21[[#This Row],[Occ]]</f>
        <v>75</v>
      </c>
    </row>
    <row r="86" spans="1:10" ht="15" thickBot="1" x14ac:dyDescent="0.35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  <c r="I86" s="107">
        <f>Table21[[#This Row],[Qs (W)]]/Table21[[#This Row],[Occ]]</f>
        <v>55.2</v>
      </c>
      <c r="J86" s="107">
        <f>Table21[[#This Row],[Ql (W)]]/Table21[[#This Row],[Occ]]</f>
        <v>40</v>
      </c>
    </row>
    <row r="87" spans="1:10" ht="15" thickBot="1" x14ac:dyDescent="0.35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  <c r="I87" s="107">
        <f>Table21[[#This Row],[Qs (W)]]/Table21[[#This Row],[Occ]]</f>
        <v>75.900000000000006</v>
      </c>
      <c r="J87" s="107">
        <f>Table21[[#This Row],[Ql (W)]]/Table21[[#This Row],[Occ]]</f>
        <v>67.5</v>
      </c>
    </row>
    <row r="88" spans="1:10" ht="15" thickBot="1" x14ac:dyDescent="0.35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  <c r="I88" s="107">
        <f>Table21[[#This Row],[Qs (W)]]/Table21[[#This Row],[Occ]]</f>
        <v>69</v>
      </c>
      <c r="J88" s="107">
        <f>Table21[[#This Row],[Ql (W)]]/Table21[[#This Row],[Occ]]</f>
        <v>75</v>
      </c>
    </row>
    <row r="89" spans="1:10" ht="15" thickBot="1" x14ac:dyDescent="0.35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  <c r="I89" s="109">
        <f>Table21[[#This Row],[Qs (W)]]/Table21[[#This Row],[Occ]]</f>
        <v>48.300000000000004</v>
      </c>
      <c r="J89" s="109">
        <f>Table21[[#This Row],[Ql (W)]]/Table21[[#This Row],[Occ]]</f>
        <v>17.5</v>
      </c>
    </row>
    <row r="90" spans="1:10" ht="15" thickBot="1" x14ac:dyDescent="0.35">
      <c r="F90" s="128" t="s">
        <v>333</v>
      </c>
      <c r="G90" s="128">
        <f>SUM(Table21[Qs (W)])</f>
        <v>8765.2999999999993</v>
      </c>
      <c r="H90" s="128">
        <f>SUM(Table21[Ql (W)])</f>
        <v>6432.5</v>
      </c>
    </row>
    <row r="91" spans="1:10" ht="15" thickBot="1" x14ac:dyDescent="0.35">
      <c r="F91" s="210" t="s">
        <v>161</v>
      </c>
      <c r="G91" s="210"/>
      <c r="H91" s="128">
        <f>G90+H90</f>
        <v>15197.8</v>
      </c>
    </row>
    <row r="93" spans="1:10" ht="23.4" x14ac:dyDescent="0.45">
      <c r="A93" s="184" t="s">
        <v>59</v>
      </c>
      <c r="B93" s="184"/>
      <c r="C93" s="184"/>
      <c r="D93" s="184"/>
      <c r="E93" s="184"/>
      <c r="F93" s="184"/>
      <c r="G93" s="184"/>
      <c r="H93" s="184"/>
      <c r="I93" s="106"/>
    </row>
    <row r="94" spans="1:10" ht="15" thickBot="1" x14ac:dyDescent="0.35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  <c r="I94" s="101" t="s">
        <v>557</v>
      </c>
      <c r="J94" s="101" t="s">
        <v>558</v>
      </c>
    </row>
    <row r="95" spans="1:10" ht="15" thickBot="1" x14ac:dyDescent="0.35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  <c r="I95" s="166">
        <f>Table20[[#This Row],[Qs (W)]]/Table20[[#This Row],[Occ]]</f>
        <v>48.3</v>
      </c>
      <c r="J95" s="166">
        <f>Table20[[#This Row],[Ql (W)]]/Table20[[#This Row],[Occ]]</f>
        <v>16.100000000000001</v>
      </c>
    </row>
    <row r="96" spans="1:10" ht="15" thickBot="1" x14ac:dyDescent="0.35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  <c r="I96" s="107">
        <f>Table20[[#This Row],[Qs (W)]]/Table20[[#This Row],[Occ]]</f>
        <v>48.3</v>
      </c>
      <c r="J96" s="107">
        <f>Table20[[#This Row],[Ql (W)]]/Table20[[#This Row],[Occ]]</f>
        <v>16.100000000000001</v>
      </c>
    </row>
    <row r="97" spans="1:10" ht="15" thickBot="1" x14ac:dyDescent="0.35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  <c r="I97" s="107">
        <f>Table20[[#This Row],[Qs (W)]]/Table20[[#This Row],[Occ]]</f>
        <v>48.3</v>
      </c>
      <c r="J97" s="107">
        <f>Table20[[#This Row],[Ql (W)]]/Table20[[#This Row],[Occ]]</f>
        <v>16.100000000000001</v>
      </c>
    </row>
    <row r="98" spans="1:10" ht="15" thickBot="1" x14ac:dyDescent="0.35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  <c r="I98" s="107">
        <f>Table20[[#This Row],[Qs (W)]]/Table20[[#This Row],[Occ]]</f>
        <v>48.3</v>
      </c>
      <c r="J98" s="107">
        <f>Table20[[#This Row],[Ql (W)]]/Table20[[#This Row],[Occ]]</f>
        <v>16.100000000000001</v>
      </c>
    </row>
    <row r="99" spans="1:10" ht="15" thickBot="1" x14ac:dyDescent="0.35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  <c r="I99" s="107">
        <f>Table20[[#This Row],[Qs (W)]]/Table20[[#This Row],[Occ]]</f>
        <v>48.300000000000004</v>
      </c>
      <c r="J99" s="107">
        <f>Table20[[#This Row],[Ql (W)]]/Table20[[#This Row],[Occ]]</f>
        <v>16.100000000000001</v>
      </c>
    </row>
    <row r="100" spans="1:10" ht="15" thickBot="1" x14ac:dyDescent="0.35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  <c r="I100" s="107">
        <f>Table20[[#This Row],[Qs (W)]]/Table20[[#This Row],[Occ]]</f>
        <v>48.300000000000004</v>
      </c>
      <c r="J100" s="107">
        <f>Table20[[#This Row],[Ql (W)]]/Table20[[#This Row],[Occ]]</f>
        <v>16.100000000000001</v>
      </c>
    </row>
    <row r="101" spans="1:10" ht="15" thickBot="1" x14ac:dyDescent="0.35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  <c r="I101" s="107">
        <f>Table20[[#This Row],[Qs (W)]]/Table20[[#This Row],[Occ]]</f>
        <v>48.300000000000004</v>
      </c>
      <c r="J101" s="107">
        <f>Table20[[#This Row],[Ql (W)]]/Table20[[#This Row],[Occ]]</f>
        <v>16.100000000000001</v>
      </c>
    </row>
    <row r="102" spans="1:10" ht="15" thickBot="1" x14ac:dyDescent="0.35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  <c r="I102" s="107">
        <f>Table20[[#This Row],[Qs (W)]]/Table20[[#This Row],[Occ]]</f>
        <v>75.900000000000006</v>
      </c>
      <c r="J102" s="107">
        <f>Table20[[#This Row],[Ql (W)]]/Table20[[#This Row],[Occ]]</f>
        <v>62.100000000000009</v>
      </c>
    </row>
    <row r="103" spans="1:10" ht="15" thickBot="1" x14ac:dyDescent="0.35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  <c r="I103" s="107">
        <f>Table20[[#This Row],[Qs (W)]]/Table20[[#This Row],[Occ]]</f>
        <v>55.2</v>
      </c>
      <c r="J103" s="107">
        <f>Table20[[#This Row],[Ql (W)]]/Table20[[#This Row],[Occ]]</f>
        <v>36.800000000000004</v>
      </c>
    </row>
    <row r="104" spans="1:10" ht="15" thickBot="1" x14ac:dyDescent="0.35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  <c r="I104" s="107">
        <f>Table20[[#This Row],[Qs (W)]]/Table20[[#This Row],[Occ]]</f>
        <v>48.300000000000004</v>
      </c>
      <c r="J104" s="107">
        <f>Table20[[#This Row],[Ql (W)]]/Table20[[#This Row],[Occ]]</f>
        <v>16.100000000000001</v>
      </c>
    </row>
    <row r="105" spans="1:10" ht="15" thickBot="1" x14ac:dyDescent="0.35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  <c r="I105" s="107">
        <f>Table20[[#This Row],[Qs (W)]]/Table20[[#This Row],[Occ]]</f>
        <v>48.300000000000004</v>
      </c>
      <c r="J105" s="107">
        <f>Table20[[#This Row],[Ql (W)]]/Table20[[#This Row],[Occ]]</f>
        <v>16.100000000000001</v>
      </c>
    </row>
    <row r="106" spans="1:10" ht="15" thickBot="1" x14ac:dyDescent="0.35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  <c r="I106" s="107">
        <f>Table20[[#This Row],[Qs (W)]]/Table20[[#This Row],[Occ]]</f>
        <v>48.300000000000004</v>
      </c>
      <c r="J106" s="107">
        <f>Table20[[#This Row],[Ql (W)]]/Table20[[#This Row],[Occ]]</f>
        <v>16.100000000000001</v>
      </c>
    </row>
    <row r="107" spans="1:10" ht="15" thickBot="1" x14ac:dyDescent="0.35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  <c r="I107" s="107">
        <f>Table20[[#This Row],[Qs (W)]]/Table20[[#This Row],[Occ]]</f>
        <v>48.300000000000004</v>
      </c>
      <c r="J107" s="107">
        <f>Table20[[#This Row],[Ql (W)]]/Table20[[#This Row],[Occ]]</f>
        <v>16.100000000000001</v>
      </c>
    </row>
    <row r="108" spans="1:10" ht="15" thickBot="1" x14ac:dyDescent="0.35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  <c r="I108" s="107">
        <f>Table20[[#This Row],[Qs (W)]]/Table20[[#This Row],[Occ]]</f>
        <v>48.300000000000004</v>
      </c>
      <c r="J108" s="107">
        <f>Table20[[#This Row],[Ql (W)]]/Table20[[#This Row],[Occ]]</f>
        <v>16.100000000000001</v>
      </c>
    </row>
    <row r="109" spans="1:10" ht="15" thickBot="1" x14ac:dyDescent="0.35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  <c r="I109" s="107">
        <f>Table20[[#This Row],[Qs (W)]]/Table20[[#This Row],[Occ]]</f>
        <v>48.300000000000004</v>
      </c>
      <c r="J109" s="107">
        <f>Table20[[#This Row],[Ql (W)]]/Table20[[#This Row],[Occ]]</f>
        <v>16.100000000000001</v>
      </c>
    </row>
    <row r="110" spans="1:10" ht="15" thickBot="1" x14ac:dyDescent="0.35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  <c r="I110" s="107">
        <f>Table20[[#This Row],[Qs (W)]]/Table20[[#This Row],[Occ]]</f>
        <v>48.300000000000004</v>
      </c>
      <c r="J110" s="107">
        <f>Table20[[#This Row],[Ql (W)]]/Table20[[#This Row],[Occ]]</f>
        <v>16.100000000000001</v>
      </c>
    </row>
    <row r="111" spans="1:10" ht="15" thickBot="1" x14ac:dyDescent="0.35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  <c r="I111" s="107">
        <f>Table20[[#This Row],[Qs (W)]]/Table20[[#This Row],[Occ]]</f>
        <v>48.300000000000004</v>
      </c>
      <c r="J111" s="107">
        <f>Table20[[#This Row],[Ql (W)]]/Table20[[#This Row],[Occ]]</f>
        <v>16.100000000000001</v>
      </c>
    </row>
    <row r="112" spans="1:10" ht="15" thickBot="1" x14ac:dyDescent="0.35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  <c r="I112" s="107">
        <f>Table20[[#This Row],[Qs (W)]]/Table20[[#This Row],[Occ]]</f>
        <v>48.300000000000004</v>
      </c>
      <c r="J112" s="107">
        <f>Table20[[#This Row],[Ql (W)]]/Table20[[#This Row],[Occ]]</f>
        <v>16.100000000000001</v>
      </c>
    </row>
    <row r="113" spans="1:10" ht="15" thickBot="1" x14ac:dyDescent="0.35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  <c r="I113" s="107">
        <f>Table20[[#This Row],[Qs (W)]]/Table20[[#This Row],[Occ]]</f>
        <v>48.300000000000004</v>
      </c>
      <c r="J113" s="107">
        <f>Table20[[#This Row],[Ql (W)]]/Table20[[#This Row],[Occ]]</f>
        <v>16.100000000000001</v>
      </c>
    </row>
    <row r="114" spans="1:10" ht="15" thickBot="1" x14ac:dyDescent="0.35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  <c r="I114" s="107">
        <f>Table20[[#This Row],[Qs (W)]]/Table20[[#This Row],[Occ]]</f>
        <v>48.300000000000004</v>
      </c>
      <c r="J114" s="107">
        <f>Table20[[#This Row],[Ql (W)]]/Table20[[#This Row],[Occ]]</f>
        <v>16.100000000000001</v>
      </c>
    </row>
    <row r="115" spans="1:10" ht="15" thickBot="1" x14ac:dyDescent="0.35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  <c r="I115" s="107">
        <f>Table20[[#This Row],[Qs (W)]]/Table20[[#This Row],[Occ]]</f>
        <v>48.300000000000004</v>
      </c>
      <c r="J115" s="107">
        <f>Table20[[#This Row],[Ql (W)]]/Table20[[#This Row],[Occ]]</f>
        <v>16.100000000000001</v>
      </c>
    </row>
    <row r="116" spans="1:10" ht="15" thickBot="1" x14ac:dyDescent="0.35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  <c r="I116" s="107">
        <f>Table20[[#This Row],[Qs (W)]]/Table20[[#This Row],[Occ]]</f>
        <v>48.300000000000004</v>
      </c>
      <c r="J116" s="107">
        <f>Table20[[#This Row],[Ql (W)]]/Table20[[#This Row],[Occ]]</f>
        <v>16.100000000000001</v>
      </c>
    </row>
    <row r="117" spans="1:10" ht="15" thickBot="1" x14ac:dyDescent="0.35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  <c r="I117" s="107">
        <f>Table20[[#This Row],[Qs (W)]]/Table20[[#This Row],[Occ]]</f>
        <v>48.300000000000004</v>
      </c>
      <c r="J117" s="107">
        <f>Table20[[#This Row],[Ql (W)]]/Table20[[#This Row],[Occ]]</f>
        <v>16.100000000000001</v>
      </c>
    </row>
    <row r="118" spans="1:10" ht="15" thickBot="1" x14ac:dyDescent="0.35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  <c r="I118" s="107">
        <f>Table20[[#This Row],[Qs (W)]]/Table20[[#This Row],[Occ]]</f>
        <v>48.300000000000004</v>
      </c>
      <c r="J118" s="107">
        <f>Table20[[#This Row],[Ql (W)]]/Table20[[#This Row],[Occ]]</f>
        <v>16.100000000000001</v>
      </c>
    </row>
    <row r="119" spans="1:10" ht="15" thickBot="1" x14ac:dyDescent="0.35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  <c r="I119" s="107">
        <f>Table20[[#This Row],[Qs (W)]]/Table20[[#This Row],[Occ]]</f>
        <v>48.300000000000004</v>
      </c>
      <c r="J119" s="107">
        <f>Table20[[#This Row],[Ql (W)]]/Table20[[#This Row],[Occ]]</f>
        <v>16.100000000000001</v>
      </c>
    </row>
    <row r="120" spans="1:10" ht="15" thickBot="1" x14ac:dyDescent="0.35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  <c r="I120" s="107">
        <f>Table20[[#This Row],[Qs (W)]]/Table20[[#This Row],[Occ]]</f>
        <v>48.300000000000004</v>
      </c>
      <c r="J120" s="107">
        <f>Table20[[#This Row],[Ql (W)]]/Table20[[#This Row],[Occ]]</f>
        <v>16.100000000000001</v>
      </c>
    </row>
    <row r="121" spans="1:10" ht="15" thickBot="1" x14ac:dyDescent="0.35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  <c r="I121" s="107">
        <f>Table20[[#This Row],[Qs (W)]]/Table20[[#This Row],[Occ]]</f>
        <v>75.900000000000006</v>
      </c>
      <c r="J121" s="107">
        <f>Table20[[#This Row],[Ql (W)]]/Table20[[#This Row],[Occ]]</f>
        <v>62.1</v>
      </c>
    </row>
    <row r="122" spans="1:10" ht="15" thickBot="1" x14ac:dyDescent="0.35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  <c r="I122" s="107">
        <f>Table20[[#This Row],[Qs (W)]]/Table20[[#This Row],[Occ]]</f>
        <v>75.900000000000006</v>
      </c>
      <c r="J122" s="107">
        <f>Table20[[#This Row],[Ql (W)]]/Table20[[#This Row],[Occ]]</f>
        <v>62.1</v>
      </c>
    </row>
    <row r="123" spans="1:10" ht="15" thickBot="1" x14ac:dyDescent="0.35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  <c r="I123" s="107">
        <f>Table20[[#This Row],[Qs (W)]]/Table20[[#This Row],[Occ]]</f>
        <v>75.900000000000006</v>
      </c>
      <c r="J123" s="107">
        <f>Table20[[#This Row],[Ql (W)]]/Table20[[#This Row],[Occ]]</f>
        <v>62.1</v>
      </c>
    </row>
    <row r="124" spans="1:10" ht="15" thickBot="1" x14ac:dyDescent="0.35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  <c r="I124" s="107">
        <f>Table20[[#This Row],[Qs (W)]]/Table20[[#This Row],[Occ]]</f>
        <v>55.199999999999996</v>
      </c>
      <c r="J124" s="107">
        <f>Table20[[#This Row],[Ql (W)]]/Table20[[#This Row],[Occ]]</f>
        <v>36.800000000000004</v>
      </c>
    </row>
    <row r="125" spans="1:10" ht="15" thickBot="1" x14ac:dyDescent="0.35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  <c r="I125" s="107">
        <f>Table20[[#This Row],[Qs (W)]]/Table20[[#This Row],[Occ]]</f>
        <v>48.300000000000004</v>
      </c>
      <c r="J125" s="107">
        <f>Table20[[#This Row],[Ql (W)]]/Table20[[#This Row],[Occ]]</f>
        <v>16.100000000000001</v>
      </c>
    </row>
    <row r="126" spans="1:10" ht="15" thickBot="1" x14ac:dyDescent="0.35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  <c r="I126" s="109">
        <f>Table20[[#This Row],[Qs (W)]]/Table20[[#This Row],[Occ]]</f>
        <v>48.300000000000004</v>
      </c>
      <c r="J126" s="109">
        <f>Table20[[#This Row],[Ql (W)]]/Table20[[#This Row],[Occ]]</f>
        <v>16.100000000000001</v>
      </c>
    </row>
    <row r="127" spans="1:10" ht="15" thickBot="1" x14ac:dyDescent="0.35">
      <c r="F127" s="128" t="s">
        <v>333</v>
      </c>
      <c r="G127" s="128">
        <f>SUM(Table20[Qs (W)])</f>
        <v>4519.5</v>
      </c>
      <c r="H127" s="128">
        <f>SUM(Table20[Ql (W)])</f>
        <v>2132.1000000000004</v>
      </c>
    </row>
    <row r="128" spans="1:10" ht="15" thickBot="1" x14ac:dyDescent="0.35">
      <c r="F128" s="210" t="s">
        <v>534</v>
      </c>
      <c r="G128" s="210"/>
      <c r="H128" s="128">
        <f>G127+H127</f>
        <v>6651.6</v>
      </c>
    </row>
  </sheetData>
  <mergeCells count="16">
    <mergeCell ref="F128:G128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  <mergeCell ref="A1:H1"/>
    <mergeCell ref="A2:H2"/>
    <mergeCell ref="A44:H44"/>
    <mergeCell ref="F42:G42"/>
    <mergeCell ref="F91:G91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201"/>
  <sheetViews>
    <sheetView topLeftCell="A4" zoomScale="85" zoomScaleNormal="85" workbookViewId="0">
      <selection activeCell="L169" sqref="L169"/>
    </sheetView>
  </sheetViews>
  <sheetFormatPr defaultRowHeight="14.4" x14ac:dyDescent="0.3"/>
  <cols>
    <col min="1" max="1" width="38.5546875" customWidth="1"/>
    <col min="2" max="2" width="35.44140625" customWidth="1"/>
    <col min="8" max="8" width="9.109375" hidden="1" customWidth="1"/>
  </cols>
  <sheetData>
    <row r="1" spans="1:16" ht="23.4" x14ac:dyDescent="0.3">
      <c r="A1" s="185" t="s">
        <v>535</v>
      </c>
      <c r="B1" s="185"/>
      <c r="C1" s="185"/>
      <c r="D1" s="185"/>
      <c r="E1" s="185"/>
      <c r="F1" s="185"/>
      <c r="G1" s="185"/>
      <c r="H1" s="129"/>
      <c r="I1" s="111"/>
    </row>
    <row r="2" spans="1:16" ht="24" thickBot="1" x14ac:dyDescent="0.5">
      <c r="A2" s="211" t="s">
        <v>160</v>
      </c>
      <c r="B2" s="211"/>
      <c r="C2" s="211"/>
      <c r="D2" s="211"/>
      <c r="E2" s="211"/>
      <c r="F2" s="211"/>
      <c r="G2" s="211"/>
      <c r="H2" s="103"/>
      <c r="I2" s="103"/>
    </row>
    <row r="3" spans="1:16" ht="15" thickBot="1" x14ac:dyDescent="0.35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186" t="s">
        <v>539</v>
      </c>
      <c r="L3" s="186"/>
      <c r="M3" s="186"/>
      <c r="N3" s="186"/>
      <c r="O3" s="186"/>
      <c r="P3" s="186"/>
    </row>
    <row r="4" spans="1:16" ht="15" thickBot="1" x14ac:dyDescent="0.35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187"/>
      <c r="L4" s="187"/>
      <c r="M4" s="187"/>
      <c r="N4" s="187" t="s">
        <v>430</v>
      </c>
      <c r="O4" s="187"/>
      <c r="P4" s="187"/>
    </row>
    <row r="5" spans="1:16" ht="15" thickBot="1" x14ac:dyDescent="0.35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188" t="s">
        <v>160</v>
      </c>
      <c r="L5" s="188"/>
      <c r="M5" s="188"/>
      <c r="N5" s="188">
        <f>G63</f>
        <v>1147.9227799999999</v>
      </c>
      <c r="O5" s="188"/>
      <c r="P5" s="188"/>
    </row>
    <row r="6" spans="1:16" ht="15" thickBot="1" x14ac:dyDescent="0.35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188" t="s">
        <v>41</v>
      </c>
      <c r="L6" s="188"/>
      <c r="M6" s="188"/>
      <c r="N6" s="188">
        <f>G137</f>
        <v>1229.8197599999994</v>
      </c>
      <c r="O6" s="188"/>
      <c r="P6" s="188"/>
    </row>
    <row r="7" spans="1:16" ht="15" thickBot="1" x14ac:dyDescent="0.35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188" t="s">
        <v>59</v>
      </c>
      <c r="L7" s="188"/>
      <c r="M7" s="188"/>
      <c r="N7" s="188">
        <f>G201</f>
        <v>1068.55</v>
      </c>
      <c r="O7" s="188"/>
      <c r="P7" s="188"/>
    </row>
    <row r="8" spans="1:16" ht="15" thickBot="1" x14ac:dyDescent="0.35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189" t="s">
        <v>540</v>
      </c>
      <c r="L8" s="189"/>
      <c r="M8" s="189"/>
      <c r="N8" s="203">
        <f>N5+N6+N7</f>
        <v>3446.2925399999995</v>
      </c>
      <c r="O8" s="204"/>
      <c r="P8" s="205"/>
    </row>
    <row r="9" spans="1:16" ht="15" thickBot="1" x14ac:dyDescent="0.35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189"/>
      <c r="L9" s="189"/>
      <c r="M9" s="189"/>
      <c r="N9" s="206"/>
      <c r="O9" s="207"/>
      <c r="P9" s="208"/>
    </row>
    <row r="10" spans="1:16" ht="15" thickBot="1" x14ac:dyDescent="0.35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ht="15" thickBot="1" x14ac:dyDescent="0.35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ht="15" thickBot="1" x14ac:dyDescent="0.35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ht="15" thickBot="1" x14ac:dyDescent="0.35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ht="15" thickBot="1" x14ac:dyDescent="0.35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ht="15" thickBot="1" x14ac:dyDescent="0.35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ht="15" thickBot="1" x14ac:dyDescent="0.35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ht="15" thickBot="1" x14ac:dyDescent="0.35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ht="15" thickBot="1" x14ac:dyDescent="0.35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ht="15" thickBot="1" x14ac:dyDescent="0.35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ht="15" thickBot="1" x14ac:dyDescent="0.35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ht="15" thickBot="1" x14ac:dyDescent="0.35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ht="15" thickBot="1" x14ac:dyDescent="0.35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ht="15" thickBot="1" x14ac:dyDescent="0.35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ht="15" thickBot="1" x14ac:dyDescent="0.35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ht="15" thickBot="1" x14ac:dyDescent="0.35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ht="15" thickBot="1" x14ac:dyDescent="0.35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ht="15" thickBot="1" x14ac:dyDescent="0.35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ht="15" thickBot="1" x14ac:dyDescent="0.35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ht="15" thickBot="1" x14ac:dyDescent="0.35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ht="15" thickBot="1" x14ac:dyDescent="0.35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ht="15" thickBot="1" x14ac:dyDescent="0.35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ht="15" thickBot="1" x14ac:dyDescent="0.35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ht="15" thickBot="1" x14ac:dyDescent="0.35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ht="15" thickBot="1" x14ac:dyDescent="0.35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ht="15" thickBot="1" x14ac:dyDescent="0.35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ht="15" thickBot="1" x14ac:dyDescent="0.35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" thickBot="1" x14ac:dyDescent="0.35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" thickBot="1" x14ac:dyDescent="0.35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" thickBot="1" x14ac:dyDescent="0.35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" thickBot="1" x14ac:dyDescent="0.35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" thickBot="1" x14ac:dyDescent="0.35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" thickBot="1" x14ac:dyDescent="0.35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" thickBot="1" x14ac:dyDescent="0.35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" thickBot="1" x14ac:dyDescent="0.35">
      <c r="A44" s="81"/>
      <c r="B44" s="134" t="s">
        <v>450</v>
      </c>
      <c r="C44" s="134">
        <v>1.6048</v>
      </c>
      <c r="D44" s="134">
        <f>References!AW44*2</f>
        <v>1.6</v>
      </c>
      <c r="E44" s="134">
        <v>22.5</v>
      </c>
      <c r="F44" s="134">
        <v>24</v>
      </c>
      <c r="G44" s="135">
        <f t="shared" si="1"/>
        <v>3.8515200000000003</v>
      </c>
      <c r="H44" s="117"/>
    </row>
    <row r="45" spans="1:8" ht="15" thickBot="1" x14ac:dyDescent="0.35">
      <c r="A45" s="136" t="s">
        <v>367</v>
      </c>
      <c r="B45" s="134" t="s">
        <v>64</v>
      </c>
      <c r="C45" s="134">
        <v>2.3576000000000001</v>
      </c>
      <c r="D45" s="134">
        <f>References!AW45*2</f>
        <v>1.8</v>
      </c>
      <c r="E45" s="134">
        <v>22.5</v>
      </c>
      <c r="F45" s="134">
        <v>28</v>
      </c>
      <c r="G45" s="135">
        <f t="shared" si="1"/>
        <v>23.340240000000001</v>
      </c>
      <c r="H45" s="117"/>
    </row>
    <row r="46" spans="1:8" ht="15" thickBot="1" x14ac:dyDescent="0.35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" thickBot="1" x14ac:dyDescent="0.35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" thickBot="1" x14ac:dyDescent="0.35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" thickBot="1" x14ac:dyDescent="0.35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" thickBot="1" x14ac:dyDescent="0.35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" thickBot="1" x14ac:dyDescent="0.35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" thickBot="1" x14ac:dyDescent="0.35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" thickBot="1" x14ac:dyDescent="0.35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" thickBot="1" x14ac:dyDescent="0.35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" thickBot="1" x14ac:dyDescent="0.35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" thickBot="1" x14ac:dyDescent="0.35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" thickBot="1" x14ac:dyDescent="0.35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" thickBot="1" x14ac:dyDescent="0.35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" thickBot="1" x14ac:dyDescent="0.35">
      <c r="A59" s="137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" thickBot="1" x14ac:dyDescent="0.35">
      <c r="A60" s="136" t="s">
        <v>30</v>
      </c>
      <c r="B60" s="134" t="s">
        <v>64</v>
      </c>
      <c r="C60" s="134">
        <v>2.3576000000000001</v>
      </c>
      <c r="D60" s="134">
        <f>References!AW60*2</f>
        <v>4</v>
      </c>
      <c r="E60" s="134">
        <v>24</v>
      </c>
      <c r="F60" s="134">
        <v>28</v>
      </c>
      <c r="G60" s="135">
        <f t="shared" si="1"/>
        <v>37.721600000000002</v>
      </c>
      <c r="H60" s="117"/>
    </row>
    <row r="61" spans="1:8" ht="15" thickBot="1" x14ac:dyDescent="0.35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" thickBot="1" x14ac:dyDescent="0.35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" thickBot="1" x14ac:dyDescent="0.35">
      <c r="F63" s="41" t="s">
        <v>333</v>
      </c>
      <c r="G63" s="41">
        <f>SUM(Table26[Qs (W)])</f>
        <v>1147.9227799999999</v>
      </c>
    </row>
    <row r="65" spans="1:9" ht="24" thickBot="1" x14ac:dyDescent="0.5">
      <c r="A65" s="211" t="s">
        <v>41</v>
      </c>
      <c r="B65" s="211"/>
      <c r="C65" s="211"/>
      <c r="D65" s="211"/>
      <c r="E65" s="211"/>
      <c r="F65" s="211"/>
      <c r="G65" s="211"/>
      <c r="H65" s="130"/>
      <c r="I65" s="118"/>
    </row>
    <row r="66" spans="1:9" ht="15" thickBot="1" x14ac:dyDescent="0.35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" thickBot="1" x14ac:dyDescent="0.35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" thickBot="1" x14ac:dyDescent="0.35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" thickBot="1" x14ac:dyDescent="0.35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" thickBot="1" x14ac:dyDescent="0.35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" thickBot="1" x14ac:dyDescent="0.35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" thickBot="1" x14ac:dyDescent="0.35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" thickBot="1" x14ac:dyDescent="0.35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" thickBot="1" x14ac:dyDescent="0.35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" thickBot="1" x14ac:dyDescent="0.35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" thickBot="1" x14ac:dyDescent="0.35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" thickBot="1" x14ac:dyDescent="0.35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" thickBot="1" x14ac:dyDescent="0.35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" thickBot="1" x14ac:dyDescent="0.35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" thickBot="1" x14ac:dyDescent="0.35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" thickBot="1" x14ac:dyDescent="0.35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" thickBot="1" x14ac:dyDescent="0.35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" thickBot="1" x14ac:dyDescent="0.35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" thickBot="1" x14ac:dyDescent="0.35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" thickBot="1" x14ac:dyDescent="0.35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" thickBot="1" x14ac:dyDescent="0.35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" thickBot="1" x14ac:dyDescent="0.35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" thickBot="1" x14ac:dyDescent="0.35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" thickBot="1" x14ac:dyDescent="0.35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" thickBot="1" x14ac:dyDescent="0.35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" thickBot="1" x14ac:dyDescent="0.35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" thickBot="1" x14ac:dyDescent="0.35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" thickBot="1" x14ac:dyDescent="0.35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" thickBot="1" x14ac:dyDescent="0.35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" thickBot="1" x14ac:dyDescent="0.35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" thickBot="1" x14ac:dyDescent="0.35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" thickBot="1" x14ac:dyDescent="0.35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" thickBot="1" x14ac:dyDescent="0.35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" thickBot="1" x14ac:dyDescent="0.35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" thickBot="1" x14ac:dyDescent="0.35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" thickBot="1" x14ac:dyDescent="0.35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" thickBot="1" x14ac:dyDescent="0.35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" thickBot="1" x14ac:dyDescent="0.35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" thickBot="1" x14ac:dyDescent="0.35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" thickBot="1" x14ac:dyDescent="0.35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" thickBot="1" x14ac:dyDescent="0.35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" thickBot="1" x14ac:dyDescent="0.35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" thickBot="1" x14ac:dyDescent="0.35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" thickBot="1" x14ac:dyDescent="0.35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" thickBot="1" x14ac:dyDescent="0.35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" thickBot="1" x14ac:dyDescent="0.35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" thickBot="1" x14ac:dyDescent="0.35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" thickBot="1" x14ac:dyDescent="0.35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" thickBot="1" x14ac:dyDescent="0.35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" thickBot="1" x14ac:dyDescent="0.35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" thickBot="1" x14ac:dyDescent="0.35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" thickBot="1" x14ac:dyDescent="0.35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" thickBot="1" x14ac:dyDescent="0.35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" thickBot="1" x14ac:dyDescent="0.35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" thickBot="1" x14ac:dyDescent="0.35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" thickBot="1" x14ac:dyDescent="0.35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" thickBot="1" x14ac:dyDescent="0.35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" thickBot="1" x14ac:dyDescent="0.35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" thickBot="1" x14ac:dyDescent="0.35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" thickBot="1" x14ac:dyDescent="0.35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" thickBot="1" x14ac:dyDescent="0.35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" thickBot="1" x14ac:dyDescent="0.35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" thickBot="1" x14ac:dyDescent="0.35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" thickBot="1" x14ac:dyDescent="0.35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" thickBot="1" x14ac:dyDescent="0.35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" thickBot="1" x14ac:dyDescent="0.35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" thickBot="1" x14ac:dyDescent="0.35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" thickBot="1" x14ac:dyDescent="0.35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" thickBot="1" x14ac:dyDescent="0.35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" thickBot="1" x14ac:dyDescent="0.35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" thickBot="1" x14ac:dyDescent="0.35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" thickBot="1" x14ac:dyDescent="0.35">
      <c r="F137" s="121" t="s">
        <v>333</v>
      </c>
      <c r="G137" s="121">
        <f>SUM(Table27[Qs (W)])</f>
        <v>1229.8197599999994</v>
      </c>
    </row>
    <row r="138" spans="1:8" s="118" customFormat="1" x14ac:dyDescent="0.3"/>
    <row r="139" spans="1:8" s="118" customFormat="1" x14ac:dyDescent="0.3"/>
    <row r="140" spans="1:8" ht="15" thickBot="1" x14ac:dyDescent="0.35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" thickBot="1" x14ac:dyDescent="0.35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" thickBot="1" x14ac:dyDescent="0.35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" thickBot="1" x14ac:dyDescent="0.35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" thickBot="1" x14ac:dyDescent="0.35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" thickBot="1" x14ac:dyDescent="0.35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" thickBot="1" x14ac:dyDescent="0.35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" thickBot="1" x14ac:dyDescent="0.35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" thickBot="1" x14ac:dyDescent="0.35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" thickBot="1" x14ac:dyDescent="0.35">
      <c r="A149" s="138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" thickBot="1" x14ac:dyDescent="0.35">
      <c r="A150" s="139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" thickBot="1" x14ac:dyDescent="0.35">
      <c r="A151" s="138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" thickBot="1" x14ac:dyDescent="0.35">
      <c r="A152" s="139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" thickBot="1" x14ac:dyDescent="0.35">
      <c r="A153" s="138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" thickBot="1" x14ac:dyDescent="0.35">
      <c r="A154" s="139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" thickBot="1" x14ac:dyDescent="0.35">
      <c r="A155" s="138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" thickBot="1" x14ac:dyDescent="0.35">
      <c r="A156" s="139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" thickBot="1" x14ac:dyDescent="0.35">
      <c r="A157" s="137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" thickBot="1" x14ac:dyDescent="0.35">
      <c r="A158" s="137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" thickBot="1" x14ac:dyDescent="0.35">
      <c r="A159" s="137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" thickBot="1" x14ac:dyDescent="0.35">
      <c r="A160" s="137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" thickBot="1" x14ac:dyDescent="0.35">
      <c r="A161" s="138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" thickBot="1" x14ac:dyDescent="0.35">
      <c r="A162" s="139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" thickBot="1" x14ac:dyDescent="0.35">
      <c r="A163" s="138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" thickBot="1" x14ac:dyDescent="0.35">
      <c r="A164" s="139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" thickBot="1" x14ac:dyDescent="0.35">
      <c r="A165" s="138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" thickBot="1" x14ac:dyDescent="0.35">
      <c r="A166" s="139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" thickBot="1" x14ac:dyDescent="0.35">
      <c r="A167" s="138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" thickBot="1" x14ac:dyDescent="0.35">
      <c r="A168" s="139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" thickBot="1" x14ac:dyDescent="0.35">
      <c r="A169" s="138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" thickBot="1" x14ac:dyDescent="0.35">
      <c r="A170" s="139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" thickBot="1" x14ac:dyDescent="0.35">
      <c r="A171" s="138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" thickBot="1" x14ac:dyDescent="0.35">
      <c r="A172" s="139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" thickBot="1" x14ac:dyDescent="0.35">
      <c r="A173" s="138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" thickBot="1" x14ac:dyDescent="0.35">
      <c r="A174" s="139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" thickBot="1" x14ac:dyDescent="0.35">
      <c r="A175" s="138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" thickBot="1" x14ac:dyDescent="0.35">
      <c r="A176" s="139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" thickBot="1" x14ac:dyDescent="0.35">
      <c r="A177" s="138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" thickBot="1" x14ac:dyDescent="0.35">
      <c r="A178" s="139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" thickBot="1" x14ac:dyDescent="0.35">
      <c r="A179" s="138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" thickBot="1" x14ac:dyDescent="0.35">
      <c r="A180" s="139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" thickBot="1" x14ac:dyDescent="0.35">
      <c r="A181" s="138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" thickBot="1" x14ac:dyDescent="0.35">
      <c r="A182" s="139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" thickBot="1" x14ac:dyDescent="0.35">
      <c r="A183" s="138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" thickBot="1" x14ac:dyDescent="0.35">
      <c r="A184" s="139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" thickBot="1" x14ac:dyDescent="0.35">
      <c r="A185" s="138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" thickBot="1" x14ac:dyDescent="0.35">
      <c r="A186" s="139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" thickBot="1" x14ac:dyDescent="0.35">
      <c r="A187" s="138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" thickBot="1" x14ac:dyDescent="0.35">
      <c r="A188" s="139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" thickBot="1" x14ac:dyDescent="0.35">
      <c r="A189" s="138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" thickBot="1" x14ac:dyDescent="0.35">
      <c r="A190" s="139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" thickBot="1" x14ac:dyDescent="0.35">
      <c r="A191" s="138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" thickBot="1" x14ac:dyDescent="0.35">
      <c r="A192" s="139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" thickBot="1" x14ac:dyDescent="0.35">
      <c r="A193" s="138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" thickBot="1" x14ac:dyDescent="0.35">
      <c r="A194" s="139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" thickBot="1" x14ac:dyDescent="0.35">
      <c r="A195" s="137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" thickBot="1" x14ac:dyDescent="0.35">
      <c r="A196" s="137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" thickBot="1" x14ac:dyDescent="0.35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" thickBot="1" x14ac:dyDescent="0.35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" thickBot="1" x14ac:dyDescent="0.35">
      <c r="A199" s="137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" thickBot="1" x14ac:dyDescent="0.35">
      <c r="A200" s="138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" thickBot="1" x14ac:dyDescent="0.35">
      <c r="A201" s="112"/>
      <c r="B201" s="112"/>
      <c r="E201" s="112"/>
      <c r="F201" s="121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28" priority="7" operator="equal">
      <formula>$J$1</formula>
    </cfRule>
  </conditionalFormatting>
  <conditionalFormatting sqref="D135:G136 D67:H134 C67:C136">
    <cfRule type="cellIs" dxfId="27" priority="6" operator="equal">
      <formula>$I$65</formula>
    </cfRule>
  </conditionalFormatting>
  <conditionalFormatting sqref="D141:H200">
    <cfRule type="cellIs" dxfId="26" priority="5" operator="equal">
      <formula>$J$182</formula>
    </cfRule>
  </conditionalFormatting>
  <conditionalFormatting sqref="C141:C200">
    <cfRule type="cellIs" dxfId="25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Heat Load Calculation Summary</vt:lpstr>
      <vt:lpstr>Piping Calculation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2019-11-24T19:07:09Z</dcterms:modified>
</cp:coreProperties>
</file>