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AIRCON\"/>
    </mc:Choice>
  </mc:AlternateContent>
  <xr:revisionPtr revIDLastSave="0" documentId="13_ncr:1_{ADC77C29-869C-4FA7-9543-7E5F5B3AA853}" xr6:coauthVersionLast="45" xr6:coauthVersionMax="45" xr10:uidLastSave="{00000000-0000-0000-0000-000000000000}"/>
  <bookViews>
    <workbookView xWindow="-120" yWindow="-120" windowWidth="21840" windowHeight="13140" activeTab="2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SUMMARY" sheetId="12" r:id="rId11"/>
    <sheet name="References" sheetId="4" r:id="rId12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5" i="8" l="1"/>
  <c r="I45" i="8"/>
  <c r="H46" i="8"/>
  <c r="I44" i="8"/>
  <c r="H44" i="8"/>
  <c r="I43" i="8"/>
  <c r="H43" i="8"/>
  <c r="I42" i="8"/>
  <c r="H42" i="8"/>
  <c r="H41" i="8"/>
  <c r="I46" i="8" l="1"/>
  <c r="I41" i="8"/>
  <c r="B166" i="10"/>
  <c r="F166" i="10" s="1"/>
  <c r="B165" i="10"/>
  <c r="F165" i="10" s="1"/>
  <c r="G126" i="9"/>
  <c r="H126" i="9"/>
  <c r="G125" i="9"/>
  <c r="H125" i="9"/>
  <c r="G132" i="8"/>
  <c r="I132" i="8" s="1"/>
  <c r="H131" i="8"/>
  <c r="G131" i="8"/>
  <c r="G48" i="6"/>
  <c r="H48" i="6" s="1"/>
  <c r="B236" i="3"/>
  <c r="B235" i="3"/>
  <c r="G235" i="3"/>
  <c r="G236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G233" i="3"/>
  <c r="G234" i="3"/>
  <c r="M112" i="1"/>
  <c r="D113" i="1"/>
  <c r="D112" i="1"/>
  <c r="M84" i="1"/>
  <c r="M83" i="1"/>
  <c r="M81" i="1"/>
  <c r="M80" i="1"/>
  <c r="M79" i="1"/>
  <c r="M77" i="1"/>
  <c r="M71" i="1"/>
  <c r="M70" i="1"/>
  <c r="M69" i="1"/>
  <c r="M65" i="1"/>
  <c r="M63" i="1"/>
  <c r="M62" i="1"/>
  <c r="M60" i="1"/>
  <c r="M58" i="1"/>
  <c r="M53" i="1"/>
  <c r="H132" i="8" l="1"/>
  <c r="I131" i="8"/>
  <c r="F10" i="2"/>
  <c r="F4" i="2"/>
  <c r="F5" i="2"/>
  <c r="F6" i="2"/>
  <c r="F7" i="2"/>
  <c r="K7" i="2" s="1"/>
  <c r="F8" i="2"/>
  <c r="F9" i="2"/>
  <c r="K9" i="2" s="1"/>
  <c r="F11" i="2"/>
  <c r="F12" i="2"/>
  <c r="K12" i="2" s="1"/>
  <c r="F13" i="2"/>
  <c r="K13" i="2" s="1"/>
  <c r="F14" i="2"/>
  <c r="K14" i="2" s="1"/>
  <c r="F15" i="2"/>
  <c r="K15" i="2" s="1"/>
  <c r="F16" i="2"/>
  <c r="F17" i="2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K31" i="2" s="1"/>
  <c r="F32" i="2"/>
  <c r="F33" i="2"/>
  <c r="K6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5" i="2"/>
  <c r="K8" i="2"/>
  <c r="K10" i="2"/>
  <c r="K11" i="2"/>
  <c r="K16" i="2"/>
  <c r="K17" i="2"/>
  <c r="K20" i="2"/>
  <c r="K28" i="2"/>
  <c r="K29" i="2"/>
  <c r="K33" i="2"/>
  <c r="K27" i="2" l="1"/>
  <c r="K19" i="2"/>
  <c r="K32" i="2"/>
  <c r="K24" i="2"/>
  <c r="K26" i="2"/>
  <c r="K25" i="2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G5" i="11" s="1"/>
  <c r="H72" i="3" l="1"/>
  <c r="I72" i="3"/>
  <c r="I71" i="3"/>
  <c r="H71" i="3"/>
  <c r="O6" i="6"/>
  <c r="B164" i="10"/>
  <c r="A82" i="4" l="1"/>
  <c r="D160" i="11" l="1"/>
  <c r="G160" i="11" s="1"/>
  <c r="D82" i="11"/>
  <c r="G82" i="11" s="1"/>
  <c r="D116" i="11"/>
  <c r="G116" i="11" s="1"/>
  <c r="D135" i="11"/>
  <c r="G135" i="11" s="1"/>
  <c r="D136" i="11"/>
  <c r="G136" i="11" s="1"/>
  <c r="D59" i="11"/>
  <c r="G59" i="11" s="1"/>
  <c r="D43" i="11"/>
  <c r="G43" i="11" s="1"/>
  <c r="D42" i="11"/>
  <c r="G42" i="11" s="1"/>
  <c r="D41" i="11"/>
  <c r="G41" i="11" s="1"/>
  <c r="D13" i="11"/>
  <c r="G13" i="11" s="1"/>
  <c r="D12" i="11"/>
  <c r="G12" i="11" s="1"/>
  <c r="D11" i="11"/>
  <c r="G11" i="11" s="1"/>
  <c r="D10" i="11"/>
  <c r="G10" i="11" s="1"/>
  <c r="D118" i="11"/>
  <c r="G118" i="11" s="1"/>
  <c r="D88" i="11"/>
  <c r="G88" i="11" s="1"/>
  <c r="D90" i="11"/>
  <c r="G90" i="11" s="1"/>
  <c r="D87" i="11"/>
  <c r="G87" i="11" s="1"/>
  <c r="D200" i="11" l="1"/>
  <c r="G200" i="11" s="1"/>
  <c r="D199" i="1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59" i="11"/>
  <c r="G159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9" i="11"/>
  <c r="G119" i="11" s="1"/>
  <c r="D117" i="11"/>
  <c r="G117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1" i="11"/>
  <c r="G91" i="11" s="1"/>
  <c r="D89" i="11"/>
  <c r="G89" i="11" s="1"/>
  <c r="D86" i="11"/>
  <c r="G86" i="11" s="1"/>
  <c r="D85" i="11"/>
  <c r="G85" i="11" s="1"/>
  <c r="D84" i="11"/>
  <c r="G84" i="11" s="1"/>
  <c r="D83" i="11"/>
  <c r="G83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7" i="11"/>
  <c r="G67" i="11" s="1"/>
  <c r="D62" i="11"/>
  <c r="G62" i="11" s="1"/>
  <c r="D61" i="11"/>
  <c r="G61" i="11" s="1"/>
  <c r="D60" i="11"/>
  <c r="G60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4" i="11"/>
  <c r="G44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G141" i="11" l="1"/>
  <c r="G201" i="11" s="1"/>
  <c r="N7" i="11" s="1"/>
  <c r="G63" i="1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J12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J124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M6" i="10" s="1"/>
  <c r="F167" i="10"/>
  <c r="M7" i="10" s="1"/>
  <c r="F63" i="10"/>
  <c r="M5" i="10" s="1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G127" i="9" s="1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H41" i="9" s="1"/>
  <c r="R5" i="9" s="1"/>
  <c r="G4" i="9"/>
  <c r="G41" i="9" s="1"/>
  <c r="C130" i="8"/>
  <c r="G129" i="8"/>
  <c r="C129" i="8"/>
  <c r="G128" i="8"/>
  <c r="C128" i="8"/>
  <c r="G127" i="8"/>
  <c r="C127" i="8"/>
  <c r="G126" i="8"/>
  <c r="C126" i="8"/>
  <c r="G125" i="8"/>
  <c r="C125" i="8"/>
  <c r="G124" i="8"/>
  <c r="C124" i="8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95" i="8"/>
  <c r="C95" i="8"/>
  <c r="G94" i="8"/>
  <c r="C94" i="8"/>
  <c r="G93" i="8"/>
  <c r="C93" i="8"/>
  <c r="G92" i="8"/>
  <c r="C92" i="8"/>
  <c r="G91" i="8"/>
  <c r="C91" i="8"/>
  <c r="G90" i="8"/>
  <c r="C90" i="8"/>
  <c r="G89" i="8"/>
  <c r="C89" i="8"/>
  <c r="G88" i="8"/>
  <c r="C88" i="8"/>
  <c r="G87" i="8"/>
  <c r="C87" i="8"/>
  <c r="G86" i="8"/>
  <c r="C86" i="8"/>
  <c r="G85" i="8"/>
  <c r="C85" i="8"/>
  <c r="G84" i="8"/>
  <c r="C84" i="8"/>
  <c r="G83" i="8"/>
  <c r="C83" i="8"/>
  <c r="G82" i="8"/>
  <c r="C82" i="8"/>
  <c r="G81" i="8"/>
  <c r="C81" i="8"/>
  <c r="G80" i="8"/>
  <c r="C80" i="8"/>
  <c r="G79" i="8"/>
  <c r="C79" i="8"/>
  <c r="G78" i="8"/>
  <c r="C78" i="8"/>
  <c r="G77" i="8"/>
  <c r="C77" i="8"/>
  <c r="G76" i="8"/>
  <c r="C76" i="8"/>
  <c r="G75" i="8"/>
  <c r="C75" i="8"/>
  <c r="G74" i="8"/>
  <c r="C74" i="8"/>
  <c r="G73" i="8"/>
  <c r="C73" i="8"/>
  <c r="G72" i="8"/>
  <c r="C72" i="8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Q7" i="9" l="1"/>
  <c r="H127" i="9"/>
  <c r="R7" i="9" s="1"/>
  <c r="R8" i="9" s="1"/>
  <c r="C10" i="12" s="1"/>
  <c r="Q5" i="9"/>
  <c r="H42" i="9"/>
  <c r="H90" i="9"/>
  <c r="R6" i="9" s="1"/>
  <c r="G90" i="9"/>
  <c r="M8" i="10"/>
  <c r="B12" i="12" s="1"/>
  <c r="D12" i="12" s="1"/>
  <c r="H62" i="8"/>
  <c r="I62" i="8"/>
  <c r="I92" i="8"/>
  <c r="H92" i="8"/>
  <c r="H14" i="8"/>
  <c r="I14" i="8"/>
  <c r="H39" i="8"/>
  <c r="I39" i="8"/>
  <c r="I87" i="8"/>
  <c r="H87" i="8"/>
  <c r="H16" i="8"/>
  <c r="I16" i="8"/>
  <c r="H29" i="8"/>
  <c r="I29" i="8"/>
  <c r="H52" i="8"/>
  <c r="I52" i="8"/>
  <c r="I70" i="8"/>
  <c r="H70" i="8"/>
  <c r="H105" i="8"/>
  <c r="I105" i="8"/>
  <c r="I7" i="8"/>
  <c r="H7" i="8"/>
  <c r="I19" i="8"/>
  <c r="H19" i="8"/>
  <c r="I31" i="8"/>
  <c r="H31" i="8"/>
  <c r="H53" i="8"/>
  <c r="I53" i="8"/>
  <c r="I59" i="8"/>
  <c r="H59" i="8"/>
  <c r="I65" i="8"/>
  <c r="H65" i="8"/>
  <c r="I71" i="8"/>
  <c r="H71" i="8"/>
  <c r="H77" i="8"/>
  <c r="I77" i="8"/>
  <c r="I83" i="8"/>
  <c r="H83" i="8"/>
  <c r="I89" i="8"/>
  <c r="H89" i="8"/>
  <c r="I95" i="8"/>
  <c r="H95" i="8"/>
  <c r="I106" i="8"/>
  <c r="H106" i="8"/>
  <c r="H112" i="8"/>
  <c r="I112" i="8"/>
  <c r="I118" i="8"/>
  <c r="H118" i="8"/>
  <c r="H124" i="8"/>
  <c r="I124" i="8"/>
  <c r="I130" i="8"/>
  <c r="H130" i="8"/>
  <c r="I115" i="8"/>
  <c r="H115" i="8"/>
  <c r="H38" i="8"/>
  <c r="I38" i="8"/>
  <c r="I75" i="8"/>
  <c r="H75" i="8"/>
  <c r="I5" i="8"/>
  <c r="H5" i="8"/>
  <c r="I58" i="8"/>
  <c r="H58" i="8"/>
  <c r="I94" i="8"/>
  <c r="H94" i="8"/>
  <c r="I129" i="8"/>
  <c r="H129" i="8"/>
  <c r="H18" i="8"/>
  <c r="I18" i="8"/>
  <c r="H32" i="8"/>
  <c r="I32" i="8"/>
  <c r="H54" i="8"/>
  <c r="I54" i="8"/>
  <c r="I66" i="8"/>
  <c r="H66" i="8"/>
  <c r="H78" i="8"/>
  <c r="I78" i="8"/>
  <c r="H84" i="8"/>
  <c r="I84" i="8"/>
  <c r="I90" i="8"/>
  <c r="H90" i="8"/>
  <c r="H107" i="8"/>
  <c r="I107" i="8"/>
  <c r="I113" i="8"/>
  <c r="H113" i="8"/>
  <c r="H119" i="8"/>
  <c r="I119" i="8"/>
  <c r="I125" i="8"/>
  <c r="H125" i="8"/>
  <c r="H86" i="8"/>
  <c r="I86" i="8"/>
  <c r="H26" i="8"/>
  <c r="I26" i="8"/>
  <c r="I63" i="8"/>
  <c r="H63" i="8"/>
  <c r="I82" i="8"/>
  <c r="H82" i="8"/>
  <c r="I117" i="8"/>
  <c r="H117" i="8"/>
  <c r="H8" i="8"/>
  <c r="I8" i="8"/>
  <c r="H21" i="8"/>
  <c r="I21" i="8"/>
  <c r="I72" i="8"/>
  <c r="H72" i="8"/>
  <c r="I101" i="8"/>
  <c r="H101" i="8"/>
  <c r="H10" i="8"/>
  <c r="I10" i="8"/>
  <c r="H22" i="8"/>
  <c r="I22" i="8"/>
  <c r="H34" i="8"/>
  <c r="I34" i="8"/>
  <c r="H13" i="8"/>
  <c r="I13" i="8"/>
  <c r="I80" i="8"/>
  <c r="H80" i="8"/>
  <c r="I15" i="8"/>
  <c r="H15" i="8"/>
  <c r="I69" i="8"/>
  <c r="H69" i="8"/>
  <c r="I28" i="8"/>
  <c r="H28" i="8"/>
  <c r="H17" i="8"/>
  <c r="I17" i="8"/>
  <c r="H64" i="8"/>
  <c r="I64" i="8"/>
  <c r="H88" i="8"/>
  <c r="I88" i="8"/>
  <c r="H111" i="8"/>
  <c r="I111" i="8"/>
  <c r="I30" i="8"/>
  <c r="H30" i="8"/>
  <c r="H20" i="8"/>
  <c r="I20" i="8"/>
  <c r="H9" i="8"/>
  <c r="I9" i="8"/>
  <c r="I60" i="8"/>
  <c r="H60" i="8"/>
  <c r="H23" i="8"/>
  <c r="I23" i="8"/>
  <c r="H55" i="8"/>
  <c r="I55" i="8"/>
  <c r="H67" i="8"/>
  <c r="I67" i="8"/>
  <c r="H79" i="8"/>
  <c r="I79" i="8"/>
  <c r="H91" i="8"/>
  <c r="I91" i="8"/>
  <c r="I102" i="8"/>
  <c r="H102" i="8"/>
  <c r="I114" i="8"/>
  <c r="H114" i="8"/>
  <c r="H120" i="8"/>
  <c r="I120" i="8"/>
  <c r="I126" i="8"/>
  <c r="H126" i="8"/>
  <c r="H37" i="8"/>
  <c r="I37" i="8"/>
  <c r="H121" i="8"/>
  <c r="I121" i="8"/>
  <c r="I27" i="8"/>
  <c r="H27" i="8"/>
  <c r="I93" i="8"/>
  <c r="H93" i="8"/>
  <c r="H40" i="8"/>
  <c r="I40" i="8"/>
  <c r="H76" i="8"/>
  <c r="I76" i="8"/>
  <c r="I123" i="8"/>
  <c r="H123" i="8"/>
  <c r="I6" i="8"/>
  <c r="H6" i="8"/>
  <c r="H33" i="8"/>
  <c r="I33" i="8"/>
  <c r="H11" i="8"/>
  <c r="I11" i="8"/>
  <c r="H35" i="8"/>
  <c r="I35" i="8"/>
  <c r="H61" i="8"/>
  <c r="I61" i="8"/>
  <c r="I73" i="8"/>
  <c r="H73" i="8"/>
  <c r="H85" i="8"/>
  <c r="I85" i="8"/>
  <c r="H108" i="8"/>
  <c r="I108" i="8"/>
  <c r="H12" i="8"/>
  <c r="I12" i="8"/>
  <c r="H24" i="8"/>
  <c r="I24" i="8"/>
  <c r="H36" i="8"/>
  <c r="I36" i="8"/>
  <c r="H127" i="8"/>
  <c r="I127" i="8"/>
  <c r="I56" i="8"/>
  <c r="H56" i="8"/>
  <c r="I74" i="8"/>
  <c r="H74" i="8"/>
  <c r="H109" i="8"/>
  <c r="I109" i="8"/>
  <c r="I57" i="8"/>
  <c r="H57" i="8"/>
  <c r="I81" i="8"/>
  <c r="H81" i="8"/>
  <c r="I104" i="8"/>
  <c r="H104" i="8"/>
  <c r="H110" i="8"/>
  <c r="I110" i="8"/>
  <c r="H116" i="8"/>
  <c r="I116" i="8"/>
  <c r="I122" i="8"/>
  <c r="H122" i="8"/>
  <c r="I128" i="8"/>
  <c r="H128" i="8"/>
  <c r="H25" i="8"/>
  <c r="I25" i="8"/>
  <c r="I68" i="8"/>
  <c r="H68" i="8"/>
  <c r="H103" i="8"/>
  <c r="I103" i="8"/>
  <c r="H4" i="8"/>
  <c r="I4" i="8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I47" i="8" l="1"/>
  <c r="S5" i="8" s="1"/>
  <c r="S5" i="9"/>
  <c r="Q8" i="9"/>
  <c r="B10" i="12" s="1"/>
  <c r="D10" i="12" s="1"/>
  <c r="Q6" i="9"/>
  <c r="S6" i="9" s="1"/>
  <c r="H91" i="9"/>
  <c r="H128" i="9"/>
  <c r="S7" i="9"/>
  <c r="S8" i="9" s="1"/>
  <c r="H133" i="8"/>
  <c r="R7" i="8" s="1"/>
  <c r="H96" i="8"/>
  <c r="I96" i="8"/>
  <c r="S6" i="8" s="1"/>
  <c r="H47" i="8"/>
  <c r="R5" i="8" s="1"/>
  <c r="I133" i="8"/>
  <c r="S7" i="8" s="1"/>
  <c r="T7" i="8" s="1"/>
  <c r="G296" i="7"/>
  <c r="N7" i="7" s="1"/>
  <c r="D107" i="7"/>
  <c r="G107" i="7" s="1"/>
  <c r="D108" i="7"/>
  <c r="G108" i="7" s="1"/>
  <c r="D130" i="7"/>
  <c r="G130" i="7" s="1"/>
  <c r="D131" i="7"/>
  <c r="G131" i="7" s="1"/>
  <c r="I97" i="8" l="1"/>
  <c r="I48" i="8"/>
  <c r="T5" i="8"/>
  <c r="R6" i="8"/>
  <c r="T6" i="8" s="1"/>
  <c r="T8" i="8" s="1"/>
  <c r="I134" i="8"/>
  <c r="S8" i="8"/>
  <c r="C9" i="12" s="1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R8" i="8" l="1"/>
  <c r="B9" i="12" s="1"/>
  <c r="D9" i="12" s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49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L99" i="5" l="1"/>
  <c r="G90" i="7"/>
  <c r="N5" i="7" s="1"/>
  <c r="N8" i="7" s="1"/>
  <c r="B8" i="12" s="1"/>
  <c r="D8" i="12" s="1"/>
  <c r="H90" i="5"/>
  <c r="P6" i="5" s="1"/>
  <c r="G90" i="5"/>
  <c r="G45" i="5"/>
  <c r="O5" i="5" s="1"/>
  <c r="H45" i="5"/>
  <c r="P5" i="5" s="1"/>
  <c r="P8" i="5" s="1"/>
  <c r="C6" i="12" s="1"/>
  <c r="O7" i="6"/>
  <c r="O8" i="6" s="1"/>
  <c r="B7" i="12" s="1"/>
  <c r="D7" i="12" s="1"/>
  <c r="G128" i="5"/>
  <c r="O7" i="5" s="1"/>
  <c r="H128" i="5"/>
  <c r="P7" i="5" s="1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C235" i="3" s="1"/>
  <c r="AD51" i="4"/>
  <c r="C236" i="3" s="1"/>
  <c r="AD50" i="4"/>
  <c r="C209" i="3" s="1"/>
  <c r="AD49" i="4"/>
  <c r="C208" i="3" s="1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C192" i="3" s="1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70" i="3" s="1"/>
  <c r="H236" i="3" l="1"/>
  <c r="I236" i="3"/>
  <c r="Q7" i="5"/>
  <c r="G91" i="5"/>
  <c r="O6" i="5"/>
  <c r="Q6" i="5" s="1"/>
  <c r="I235" i="3"/>
  <c r="H235" i="3"/>
  <c r="O8" i="5"/>
  <c r="B6" i="12" s="1"/>
  <c r="D6" i="12" s="1"/>
  <c r="Q5" i="5"/>
  <c r="Q8" i="5" s="1"/>
  <c r="C210" i="3"/>
  <c r="C234" i="3"/>
  <c r="C211" i="3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I211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I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K177" i="3" s="1"/>
  <c r="I167" i="3"/>
  <c r="K174" i="3" s="1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H233" i="3" l="1"/>
  <c r="I233" i="3"/>
  <c r="I237" i="3" s="1"/>
  <c r="H234" i="3"/>
  <c r="N177" i="3" s="1"/>
  <c r="I234" i="3"/>
  <c r="N174" i="3" s="1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8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47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120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H108" i="3" l="1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H99" i="2"/>
  <c r="G99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4" i="2"/>
  <c r="G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J28" i="2" s="1"/>
  <c r="G29" i="2"/>
  <c r="G30" i="2"/>
  <c r="J30" i="2" s="1"/>
  <c r="G31" i="2"/>
  <c r="J31" i="2" s="1"/>
  <c r="G32" i="2"/>
  <c r="G33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4" i="2"/>
  <c r="B21" i="4"/>
  <c r="B20" i="4"/>
  <c r="J29" i="2" l="1"/>
  <c r="H159" i="3"/>
  <c r="O8" i="3"/>
  <c r="B5" i="12" s="1"/>
  <c r="J4" i="2"/>
  <c r="J33" i="2"/>
  <c r="J32" i="2"/>
  <c r="Q6" i="3"/>
  <c r="P8" i="3"/>
  <c r="C5" i="12" s="1"/>
  <c r="Q5" i="3"/>
  <c r="Q8" i="3" s="1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J35" i="2" l="1"/>
  <c r="D5" i="12"/>
  <c r="T6" i="2"/>
  <c r="K100" i="2"/>
  <c r="S7" i="2" s="1"/>
  <c r="J100" i="2"/>
  <c r="R7" i="2" s="1"/>
  <c r="R5" i="2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M91" i="1" s="1"/>
  <c r="B42" i="4"/>
  <c r="D90" i="1" s="1"/>
  <c r="M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M129" i="1" s="1"/>
  <c r="D100" i="1"/>
  <c r="M100" i="1" s="1"/>
  <c r="D116" i="1"/>
  <c r="D32" i="1"/>
  <c r="K32" i="1" s="1"/>
  <c r="D117" i="1"/>
  <c r="M117" i="1" s="1"/>
  <c r="D130" i="1"/>
  <c r="K130" i="1" s="1"/>
  <c r="D114" i="1"/>
  <c r="M114" i="1" s="1"/>
  <c r="D115" i="1"/>
  <c r="D118" i="1"/>
  <c r="D119" i="1"/>
  <c r="D120" i="1"/>
  <c r="D121" i="1"/>
  <c r="D122" i="1"/>
  <c r="M122" i="1" s="1"/>
  <c r="D123" i="1"/>
  <c r="D124" i="1"/>
  <c r="K124" i="1" s="1"/>
  <c r="D125" i="1"/>
  <c r="D126" i="1"/>
  <c r="K126" i="1" s="1"/>
  <c r="D127" i="1"/>
  <c r="D128" i="1"/>
  <c r="M128" i="1" s="1"/>
  <c r="D92" i="1"/>
  <c r="D93" i="1"/>
  <c r="D94" i="1"/>
  <c r="D97" i="1"/>
  <c r="D98" i="1"/>
  <c r="D99" i="1"/>
  <c r="D101" i="1"/>
  <c r="D102" i="1"/>
  <c r="D103" i="1"/>
  <c r="D104" i="1"/>
  <c r="D105" i="1"/>
  <c r="D106" i="1"/>
  <c r="M106" i="1" s="1"/>
  <c r="D107" i="1"/>
  <c r="D108" i="1"/>
  <c r="D109" i="1"/>
  <c r="D110" i="1"/>
  <c r="D111" i="1"/>
  <c r="M111" i="1" s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<sst xmlns="http://schemas.openxmlformats.org/spreadsheetml/2006/main" count="2525" uniqueCount="559">
  <si>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</si>
  <si>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</si>
  <si>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</si>
  <si>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</si>
  <si>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</si>
  <si>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</si>
  <si>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</si>
  <si>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</si>
  <si>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</si>
  <si>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</si>
  <si>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</si>
  <si>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</si>
  <si>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</si>
  <si>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</si>
  <si>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</si>
  <si>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</si>
  <si>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</si>
  <si>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</si>
  <si>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</si>
  <si>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</si>
  <si>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</si>
  <si>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</si>
  <si>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</si>
  <si>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</si>
  <si>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</si>
  <si>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</si>
  <si>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</si>
  <si>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</si>
  <si>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</si>
  <si>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</si>
  <si>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</si>
  <si>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</si>
  <si>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</si>
  <si>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</si>
  <si>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</si>
  <si>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</si>
  <si>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</si>
  <si>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</si>
  <si>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</si>
  <si>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</si>
  <si>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</si>
  <si>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</si>
  <si>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</si>
  <si>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</si>
  <si>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</si>
  <si>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</si>
  <si>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</si>
  <si>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</si>
  <si>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</si>
  <si>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</si>
  <si>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</si>
  <si>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</si>
  <si>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</si>
  <si>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</si>
  <si>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</si>
  <si>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</si>
  <si>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</si>
  <si>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</si>
  <si>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</si>
  <si>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</si>
  <si>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</si>
  <si>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</si>
  <si>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</si>
  <si>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</si>
  <si>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</si>
  <si>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</si>
  <si>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</si>
  <si>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</si>
  <si>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</si>
  <si>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</si>
  <si>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</si>
  <si>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</si>
  <si>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</si>
  <si>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</si>
  <si>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</si>
  <si>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</si>
  <si>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</si>
  <si>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</si>
  <si>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</si>
  <si>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</si>
  <si>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</si>
  <si>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</si>
  <si>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</si>
  <si>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</si>
  <si>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</si>
  <si>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</si>
  <si>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</si>
  <si>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</si>
  <si>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</si>
  <si>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</si>
  <si>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</si>
  <si>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</si>
  <si>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</si>
  <si>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</si>
  <si>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</si>
  <si>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</si>
  <si>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</si>
  <si>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</si>
  <si>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</si>
  <si>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</si>
  <si>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</si>
  <si>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</si>
  <si>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</si>
  <si>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</si>
  <si>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</si>
  <si>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</si>
  <si>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</si>
  <si>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</si>
  <si>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</si>
  <si>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</si>
  <si>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</si>
  <si>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</si>
  <si>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</si>
  <si>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</si>
  <si>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</si>
  <si>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</si>
  <si>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</si>
  <si>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</si>
  <si>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</si>
  <si>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</si>
  <si>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</si>
  <si>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</si>
  <si>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</si>
  <si>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</si>
  <si>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</si>
  <si>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</si>
  <si>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</si>
  <si>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</si>
  <si>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</si>
  <si>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</si>
  <si>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</si>
  <si>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</si>
  <si>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</si>
  <si>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</si>
  <si>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</si>
  <si>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</si>
  <si>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</si>
  <si>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</si>
  <si>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</si>
  <si>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</si>
  <si>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</si>
  <si>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</si>
  <si>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</si>
  <si>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</si>
  <si>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</si>
  <si>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</si>
  <si>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</si>
  <si>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</si>
  <si>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</si>
  <si>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</si>
  <si>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</si>
  <si>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</si>
  <si>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</si>
  <si>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</si>
  <si>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</si>
  <si>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</si>
  <si>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</si>
  <si>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</si>
  <si>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</si>
  <si>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</si>
  <si>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</si>
  <si>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</si>
  <si>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</si>
  <si>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</si>
  <si>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</si>
  <si>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</si>
  <si>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</si>
  <si>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</si>
  <si>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</si>
  <si>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</si>
  <si>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</si>
  <si>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</si>
  <si>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</si>
  <si>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</si>
  <si>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</si>
  <si>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</si>
  <si>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</si>
  <si>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</si>
  <si>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</si>
  <si>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</si>
  <si>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</si>
  <si>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</si>
  <si>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</si>
  <si>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</si>
  <si>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</si>
  <si>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</si>
  <si>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</si>
  <si>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</si>
  <si>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</si>
  <si>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</si>
  <si>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</si>
  <si>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</si>
  <si>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</si>
  <si>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</si>
  <si>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</si>
  <si>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</si>
  <si>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</si>
  <si>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</si>
  <si>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</si>
  <si>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</si>
  <si>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</si>
  <si>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</si>
  <si>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</si>
  <si>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</si>
  <si>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</si>
  <si>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</si>
  <si>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</si>
  <si>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</si>
  <si>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</si>
  <si>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</si>
  <si>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</si>
  <si>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</si>
  <si>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</si>
  <si>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</si>
  <si>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</si>
  <si>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</si>
  <si>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</si>
  <si>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</si>
  <si>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</si>
  <si>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</si>
  <si>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</si>
  <si>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</si>
  <si>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</si>
  <si>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</si>
  <si>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</si>
  <si>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</si>
  <si>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</si>
  <si>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</si>
  <si>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</si>
  <si>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</si>
  <si>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</si>
  <si>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</si>
  <si>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</si>
  <si>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</si>
  <si>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</si>
  <si>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</si>
  <si>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</si>
  <si>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</si>
  <si>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</si>
  <si>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</si>
  <si>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</si>
  <si>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</si>
  <si>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</si>
  <si>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</si>
  <si>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</si>
  <si>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</si>
  <si>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</si>
  <si>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</si>
  <si>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</si>
  <si>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</si>
  <si>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</si>
  <si>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</si>
  <si>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</si>
  <si>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</si>
  <si>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</si>
  <si>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</si>
  <si>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</si>
  <si>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</si>
  <si>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</si>
  <si>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</si>
  <si>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</si>
  <si>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</si>
  <si>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</si>
  <si>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</si>
  <si>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</si>
  <si>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</si>
  <si>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</si>
  <si>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</si>
  <si>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</si>
  <si>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</si>
  <si>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</si>
  <si>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</si>
  <si>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</si>
  <si>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</si>
  <si>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</si>
  <si>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</si>
  <si>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</si>
  <si>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</si>
  <si>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</si>
  <si>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</si>
  <si>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</si>
  <si>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</si>
  <si>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</si>
  <si>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</si>
  <si>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</si>
  <si>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</si>
  <si>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</si>
  <si>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</si>
  <si>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</si>
  <si>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</si>
  <si>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</si>
  <si>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</si>
  <si>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</si>
  <si>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</si>
  <si>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</si>
  <si>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</si>
  <si>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</si>
  <si>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</si>
  <si>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</si>
  <si>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</si>
  <si>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</si>
  <si>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</si>
  <si>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</si>
  <si>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</si>
  <si>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</si>
  <si>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</si>
  <si>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</si>
  <si>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</si>
  <si>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</si>
  <si>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</si>
  <si>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</si>
  <si>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</si>
  <si>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</si>
  <si>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</si>
  <si>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</si>
  <si>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</si>
  <si>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</si>
  <si>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</si>
  <si>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</si>
  <si>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</si>
  <si>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</si>
  <si>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</si>
  <si>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</si>
  <si>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</si>
  <si>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</si>
  <si>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</si>
  <si>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</si>
  <si>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</si>
  <si>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</si>
  <si>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</si>
  <si>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</si>
  <si>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</si>
  <si>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</si>
  <si>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</si>
  <si>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</si>
  <si>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</si>
  <si>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</si>
  <si>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</si>
  <si>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</si>
  <si>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</si>
  <si>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</si>
  <si>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</si>
  <si>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</si>
  <si>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</si>
  <si>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</si>
  <si>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</si>
  <si>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</si>
  <si>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</si>
  <si>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</si>
  <si>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</si>
  <si>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</si>
  <si>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</si>
  <si>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</si>
  <si>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</si>
  <si>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</si>
  <si>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</si>
  <si>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</si>
  <si>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</si>
  <si>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</si>
  <si>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</si>
  <si>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</si>
  <si>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</si>
  <si>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</si>
  <si>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</si>
  <si>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</si>
  <si>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</si>
  <si>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</si>
  <si>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</si>
  <si>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</si>
  <si>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</si>
  <si>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</si>
  <si>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</si>
  <si>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</si>
  <si>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</si>
  <si>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</si>
  <si>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</si>
  <si>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</si>
  <si>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</si>
  <si>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</si>
  <si>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</si>
  <si>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</si>
  <si>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</si>
  <si>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</si>
  <si>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</si>
  <si>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</si>
  <si>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</si>
  <si>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</si>
  <si>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</si>
  <si>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</si>
  <si>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</si>
  <si>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</si>
  <si>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</si>
  <si>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</si>
  <si>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</si>
  <si>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</si>
  <si>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</si>
  <si>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</si>
  <si>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</si>
  <si>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</si>
  <si>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</si>
  <si>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</si>
  <si>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</si>
  <si>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</si>
  <si>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</si>
  <si>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</si>
  <si>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</si>
  <si>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</si>
  <si>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</si>
  <si>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</si>
  <si>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</si>
  <si>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</si>
  <si>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</si>
  <si>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</si>
  <si>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</si>
  <si>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</si>
  <si>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</si>
  <si>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</si>
  <si>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</si>
  <si>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</si>
  <si>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</si>
  <si>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</si>
  <si>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</si>
  <si>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</si>
  <si>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</si>
  <si>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</si>
  <si>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</si>
  <si>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</si>
  <si>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</si>
  <si>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</si>
  <si>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</si>
  <si>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</si>
  <si>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</si>
  <si>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</si>
  <si>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</si>
  <si>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</si>
  <si>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</si>
  <si>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</si>
  <si>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</si>
  <si>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</si>
  <si>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</si>
  <si>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</si>
  <si>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</si>
  <si>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</si>
  <si>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</si>
  <si>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</si>
  <si>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</si>
  <si>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</si>
  <si>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</si>
  <si>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</si>
  <si>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</si>
  <si>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</si>
  <si>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</si>
  <si>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</si>
  <si>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</si>
  <si>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</si>
  <si>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</si>
  <si>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</si>
  <si>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</si>
  <si>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</si>
  <si>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</si>
  <si>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</si>
  <si>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</si>
  <si>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</si>
  <si>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</si>
  <si>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</si>
  <si>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</si>
  <si>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</si>
  <si>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</si>
  <si>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</si>
  <si>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</si>
  <si>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</si>
  <si>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</si>
  <si>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</si>
  <si>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</si>
  <si>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</si>
  <si>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</si>
  <si>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</si>
  <si>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</si>
  <si>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</si>
  <si>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</si>
  <si>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</si>
  <si>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</si>
  <si>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</si>
  <si>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</si>
  <si>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</si>
  <si>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</si>
  <si>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</si>
  <si>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</si>
  <si>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</si>
  <si>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</si>
  <si>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</si>
  <si>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</si>
  <si>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</si>
  <si>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</si>
  <si>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</si>
  <si>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</si>
  <si>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</si>
  <si>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</si>
  <si>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</si>
  <si>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</si>
  <si>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</si>
  <si>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</si>
  <si>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</si>
  <si>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</si>
  <si>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</si>
  <si>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</si>
  <si>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</si>
  <si>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</si>
  <si>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</si>
  <si>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</si>
  <si>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</si>
  <si>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</si>
  <si>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</si>
  <si>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</si>
  <si>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</si>
  <si>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</si>
  <si>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</si>
  <si>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</si>
  <si>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</si>
  <si>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</si>
  <si>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</si>
  <si>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</si>
  <si>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</si>
  <si>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</si>
  <si>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</si>
  <si>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</si>
  <si>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</si>
  <si>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</si>
  <si>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</si>
  <si>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</si>
  <si>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</si>
  <si>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</si>
  <si>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</si>
  <si>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</si>
  <si>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</si>
  <si>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</si>
  <si>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</si>
  <si>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</si>
  <si>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</si>
  <si>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</si>
  <si>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</si>
  <si>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</si>
  <si>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</si>
  <si>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</si>
  <si>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</si>
  <si>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</si>
  <si>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</si>
  <si>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</si>
  <si>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</si>
  <si>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</si>
  <si>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</si>
  <si>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</si>
  <si>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</si>
  <si>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</si>
  <si>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</si>
  <si>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</si>
  <si>
    <t>Storage Area</t>
  </si>
  <si>
    <t>8 L/s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</si>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</sst>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5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207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18" borderId="2" xfId="0" applyFill="1" applyBorder="1"/>
    <xf numFmtId="0" fontId="0" fillId="18" borderId="1" xfId="0" applyFill="1" applyBorder="1"/>
    <xf numFmtId="0" fontId="0" fillId="18" borderId="1" xfId="0" applyFont="1" applyFill="1" applyBorder="1"/>
    <xf numFmtId="0" fontId="0" fillId="19" borderId="1" xfId="0" applyFont="1" applyFill="1" applyBorder="1"/>
    <xf numFmtId="0" fontId="0" fillId="18" borderId="3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0" borderId="1" xfId="0" applyFill="1" applyBorder="1"/>
    <xf numFmtId="0" fontId="0" fillId="16" borderId="0" xfId="0" applyFill="1"/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84" headerRowBorderDxfId="383" tableBorderDxfId="382" totalsRowBorderDxfId="381">
  <tableColumns count="11">
    <tableColumn id="1" xr3:uid="{00000000-0010-0000-0000-000001000000}" name="Space" dataDxfId="380"/>
    <tableColumn id="2" xr3:uid="{00000000-0010-0000-0000-000002000000}" name="Orientation" dataDxfId="379"/>
    <tableColumn id="3" xr3:uid="{00000000-0010-0000-0000-000003000000}" name="U" dataDxfId="378"/>
    <tableColumn id="4" xr3:uid="{00000000-0010-0000-0000-000004000000}" name="A(m^2)" dataDxfId="377"/>
    <tableColumn id="5" xr3:uid="{00000000-0010-0000-0000-000005000000}" name="CLTDsel" dataDxfId="376"/>
    <tableColumn id="6" xr3:uid="{00000000-0010-0000-0000-000006000000}" name="LM" dataDxfId="375"/>
    <tableColumn id="7" xr3:uid="{00000000-0010-0000-0000-000007000000}" name="k" dataDxfId="374"/>
    <tableColumn id="8" xr3:uid="{00000000-0010-0000-0000-000008000000}" name="Ti" dataDxfId="373"/>
    <tableColumn id="9" xr3:uid="{00000000-0010-0000-0000-000009000000}" name="Tave" dataDxfId="372">
      <calculatedColumnFormula>(References!T$4)-(References!T$3/2)</calculatedColumnFormula>
    </tableColumn>
    <tableColumn id="10" xr3:uid="{00000000-0010-0000-0000-00000A000000}" name="CLTD adj" dataDxfId="371">
      <calculatedColumnFormula>(E4+F4)*G4+(25-H4)+(I4-29)</calculatedColumnFormula>
    </tableColumn>
    <tableColumn id="11" xr3:uid="{00000000-0010-0000-0000-00000B000000}" name="Q(W)" dataDxfId="370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52" dataDxfId="250" headerRowBorderDxfId="251" tableBorderDxfId="249" totalsRowBorderDxfId="248">
  <tableColumns count="8">
    <tableColumn id="1" xr3:uid="{00000000-0010-0000-0900-000001000000}" name="SPACE" dataDxfId="247"/>
    <tableColumn id="2" xr3:uid="{00000000-0010-0000-0900-000002000000}" name="Equipment" dataDxfId="246"/>
    <tableColumn id="3" xr3:uid="{00000000-0010-0000-0900-000003000000}" name="WATTAGE" dataDxfId="245"/>
    <tableColumn id="4" xr3:uid="{00000000-0010-0000-0900-000004000000}" name="Cs" dataDxfId="244"/>
    <tableColumn id="5" xr3:uid="{00000000-0010-0000-0900-000005000000}" name="Cl" dataDxfId="243"/>
    <tableColumn id="6" xr3:uid="{00000000-0010-0000-0900-000006000000}" name="CLF" dataDxfId="242"/>
    <tableColumn id="7" xr3:uid="{00000000-0010-0000-0900-000007000000}" name="Qs (W)" dataDxfId="241">
      <calculatedColumnFormula>D4*C4*F4</calculatedColumnFormula>
    </tableColumn>
    <tableColumn id="8" xr3:uid="{00000000-0010-0000-0900-000008000000}" name="Ql (W)" dataDxfId="240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39" headerRowBorderDxfId="238" tableBorderDxfId="237" totalsRowBorderDxfId="236">
  <tableColumns count="8">
    <tableColumn id="1" xr3:uid="{00000000-0010-0000-0A00-000001000000}" name="SPACE" dataDxfId="235"/>
    <tableColumn id="2" xr3:uid="{00000000-0010-0000-0A00-000002000000}" name="Equipment" dataDxfId="234"/>
    <tableColumn id="3" xr3:uid="{00000000-0010-0000-0A00-000003000000}" name="Wattage" dataDxfId="233"/>
    <tableColumn id="4" xr3:uid="{00000000-0010-0000-0A00-000004000000}" name="CS" dataDxfId="232"/>
    <tableColumn id="5" xr3:uid="{00000000-0010-0000-0A00-000005000000}" name="Cl" dataDxfId="231"/>
    <tableColumn id="6" xr3:uid="{00000000-0010-0000-0A00-000006000000}" name="CLF" dataDxfId="230"/>
    <tableColumn id="7" xr3:uid="{00000000-0010-0000-0A00-000007000000}" name="Qs (W)" dataDxfId="229">
      <calculatedColumnFormula>D50*C50*F50</calculatedColumnFormula>
    </tableColumn>
    <tableColumn id="8" xr3:uid="{00000000-0010-0000-0A00-000008000000}" name="Ql (W)" dataDxfId="228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27" headerRowBorderDxfId="226" tableBorderDxfId="225" totalsRowBorderDxfId="224">
  <tableColumns count="8">
    <tableColumn id="1" xr3:uid="{00000000-0010-0000-0B00-000001000000}" name="SPACE" dataDxfId="223"/>
    <tableColumn id="2" xr3:uid="{00000000-0010-0000-0B00-000002000000}" name="Equipment" dataDxfId="222"/>
    <tableColumn id="3" xr3:uid="{00000000-0010-0000-0B00-000003000000}" name="Wattage" dataDxfId="221"/>
    <tableColumn id="4" xr3:uid="{00000000-0010-0000-0B00-000004000000}" name="Cs" dataDxfId="220"/>
    <tableColumn id="5" xr3:uid="{00000000-0010-0000-0B00-000005000000}" name="Cl" dataDxfId="219"/>
    <tableColumn id="6" xr3:uid="{00000000-0010-0000-0B00-000006000000}" name="CLF" dataDxfId="218"/>
    <tableColumn id="7" xr3:uid="{00000000-0010-0000-0B00-000007000000}" name="Qs (W)" dataDxfId="217">
      <calculatedColumnFormula>C95*D95*F95</calculatedColumnFormula>
    </tableColumn>
    <tableColumn id="8" xr3:uid="{00000000-0010-0000-0B00-000008000000}" name="Qw (W)" dataDxfId="216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8" totalsRowShown="0" headerRowDxfId="215" headerRowBorderDxfId="214" tableBorderDxfId="213" totalsRowBorderDxfId="212">
  <tableColumns count="8">
    <tableColumn id="1" xr3:uid="{00000000-0010-0000-0C00-000001000000}" name="SPACE" dataDxfId="211"/>
    <tableColumn id="2" xr3:uid="{00000000-0010-0000-0C00-000002000000}" name="U" dataDxfId="210"/>
    <tableColumn id="3" xr3:uid="{00000000-0010-0000-0C00-000003000000}" name="Area (m2)" dataDxfId="209"/>
    <tableColumn id="4" xr3:uid="{00000000-0010-0000-0C00-000004000000}" name="CLTDmax" dataDxfId="208"/>
    <tableColumn id="5" xr3:uid="{00000000-0010-0000-0C00-000005000000}" name="Ti" dataDxfId="207"/>
    <tableColumn id="6" xr3:uid="{00000000-0010-0000-0C00-000006000000}" name="Tave" dataDxfId="206"/>
    <tableColumn id="7" xr3:uid="{00000000-0010-0000-0C00-000007000000}" name="CLTDadj" dataDxfId="205">
      <calculatedColumnFormula>((D5*0.75)+(25-E5)+(F5-29))*0.75</calculatedColumnFormula>
    </tableColumn>
    <tableColumn id="8" xr3:uid="{00000000-0010-0000-0C00-000008000000}" name="Q(W)" dataDxfId="204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02" headerRowBorderDxfId="201" tableBorderDxfId="200" totalsRowBorderDxfId="199">
  <tableColumns count="7">
    <tableColumn id="1" xr3:uid="{00000000-0010-0000-0E00-000001000000}" name="Space" dataDxfId="198"/>
    <tableColumn id="2" xr3:uid="{00000000-0010-0000-0E00-000002000000}" name="Spaces" dataDxfId="197"/>
    <tableColumn id="3" xr3:uid="{00000000-0010-0000-0E00-000003000000}" name="U" dataDxfId="196"/>
    <tableColumn id="4" xr3:uid="{00000000-0010-0000-0E00-000004000000}" name="A" dataDxfId="195">
      <calculatedColumnFormula>References!AM4-References!AL4-References!AK4</calculatedColumnFormula>
    </tableColumn>
    <tableColumn id="5" xr3:uid="{00000000-0010-0000-0E00-000005000000}" name="Ti" dataDxfId="194"/>
    <tableColumn id="6" xr3:uid="{00000000-0010-0000-0E00-000006000000}" name="Ti2" dataDxfId="193"/>
    <tableColumn id="7" xr3:uid="{00000000-0010-0000-0E00-000007000000}" name="Q" dataDxfId="192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191" headerRowBorderDxfId="190" tableBorderDxfId="189" totalsRowBorderDxfId="188">
  <tableColumns count="7">
    <tableColumn id="1" xr3:uid="{00000000-0010-0000-0F00-000001000000}" name="Space" dataDxfId="187"/>
    <tableColumn id="2" xr3:uid="{00000000-0010-0000-0F00-000002000000}" name="Spaces" dataDxfId="186"/>
    <tableColumn id="3" xr3:uid="{00000000-0010-0000-0F00-000003000000}" name="U" dataDxfId="185"/>
    <tableColumn id="4" xr3:uid="{00000000-0010-0000-0F00-000004000000}" name="A" dataDxfId="184">
      <calculatedColumnFormula>References!AQ4-References!AP4-References!AO4</calculatedColumnFormula>
    </tableColumn>
    <tableColumn id="5" xr3:uid="{00000000-0010-0000-0F00-000005000000}" name="Ti" dataDxfId="183"/>
    <tableColumn id="6" xr3:uid="{00000000-0010-0000-0F00-000006000000}" name="Ti2" dataDxfId="182"/>
    <tableColumn id="7" xr3:uid="{00000000-0010-0000-0F00-000007000000}" name="Q" dataDxfId="181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180" headerRowBorderDxfId="179" tableBorderDxfId="178" totalsRowBorderDxfId="177">
  <tableColumns count="7">
    <tableColumn id="1" xr3:uid="{00000000-0010-0000-0D00-000001000000}" name="Space" dataDxfId="176"/>
    <tableColumn id="2" xr3:uid="{00000000-0010-0000-0D00-000002000000}" name="Spaces" dataDxfId="175"/>
    <tableColumn id="3" xr3:uid="{00000000-0010-0000-0D00-000003000000}" name="U" dataDxfId="174"/>
    <tableColumn id="4" xr3:uid="{00000000-0010-0000-0D00-000004000000}" name="A" dataDxfId="173">
      <calculatedColumnFormula>References!AI4-References!AH4-References!AG4</calculatedColumnFormula>
    </tableColumn>
    <tableColumn id="5" xr3:uid="{00000000-0010-0000-0D00-000005000000}" name="Ti" dataDxfId="172"/>
    <tableColumn id="6" xr3:uid="{00000000-0010-0000-0D00-000006000000}" name="Ti2" dataDxfId="171"/>
    <tableColumn id="7" xr3:uid="{00000000-0010-0000-0D00-000007000000}" name="Q" dataDxfId="170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6" totalsRowShown="0" headerRowDxfId="169" dataDxfId="167" headerRowBorderDxfId="168" tableBorderDxfId="166" totalsRowBorderDxfId="165">
  <tableColumns count="9">
    <tableColumn id="1" xr3:uid="{00000000-0010-0000-1000-000001000000}" name="SPACE" dataDxfId="164" totalsRowDxfId="163"/>
    <tableColumn id="2" xr3:uid="{00000000-0010-0000-1000-000002000000}" name="Occ" dataDxfId="162" totalsRowDxfId="161"/>
    <tableColumn id="3" xr3:uid="{00000000-0010-0000-1000-000003000000}" name="L/s" dataDxfId="160" totalsRowDxfId="159">
      <calculatedColumnFormula>B4*References!AS4</calculatedColumnFormula>
    </tableColumn>
    <tableColumn id="4" xr3:uid="{00000000-0010-0000-1000-000004000000}" name="To" dataDxfId="158" totalsRowDxfId="157"/>
    <tableColumn id="5" xr3:uid="{00000000-0010-0000-1000-000005000000}" name="Ti" dataDxfId="156" totalsRowDxfId="155"/>
    <tableColumn id="6" xr3:uid="{00000000-0010-0000-1000-000006000000}" name="Wo" dataDxfId="154" totalsRowDxfId="153"/>
    <tableColumn id="7" xr3:uid="{00000000-0010-0000-1000-000007000000}" name="Wi" dataDxfId="152" totalsRowDxfId="151"/>
    <tableColumn id="8" xr3:uid="{00000000-0010-0000-1000-000008000000}" name="Qs (W)" dataDxfId="150" totalsRowDxfId="149">
      <calculatedColumnFormula>ABS(1.232*C4*(D4-E4))</calculatedColumnFormula>
    </tableColumn>
    <tableColumn id="9" xr3:uid="{00000000-0010-0000-1000-000009000000}" name="Qw (W)" dataDxfId="148">
      <calculatedColumnFormula>ABS(3000*C4*(F4-G4))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51:I95" totalsRowShown="0" headerRowDxfId="147" dataDxfId="145" headerRowBorderDxfId="146" tableBorderDxfId="144" totalsRowBorderDxfId="143">
  <tableColumns count="9">
    <tableColumn id="1" xr3:uid="{00000000-0010-0000-1100-000001000000}" name="SPACE" dataDxfId="142"/>
    <tableColumn id="2" xr3:uid="{00000000-0010-0000-1100-000002000000}" name="Occ." dataDxfId="141"/>
    <tableColumn id="3" xr3:uid="{00000000-0010-0000-1100-000003000000}" name="L/s" dataDxfId="140">
      <calculatedColumnFormula>B52*References!AT4</calculatedColumnFormula>
    </tableColumn>
    <tableColumn id="4" xr3:uid="{00000000-0010-0000-1100-000004000000}" name="To" dataDxfId="139"/>
    <tableColumn id="5" xr3:uid="{00000000-0010-0000-1100-000005000000}" name="Ti" dataDxfId="138"/>
    <tableColumn id="6" xr3:uid="{00000000-0010-0000-1100-000006000000}" name="Wo" dataDxfId="137"/>
    <tableColumn id="7" xr3:uid="{00000000-0010-0000-1100-000007000000}" name="Wi" dataDxfId="136">
      <calculatedColumnFormula>_xlfn.IFS(E52=22.5,0.00848061,E52=22,0.00821976,E52=24,0.00929323)</calculatedColumnFormula>
    </tableColumn>
    <tableColumn id="8" xr3:uid="{00000000-0010-0000-1100-000008000000}" name="Qs(W)" dataDxfId="135">
      <calculatedColumnFormula>ABS(1.232*C52*(D52-E52))</calculatedColumnFormula>
    </tableColumn>
    <tableColumn id="9" xr3:uid="{00000000-0010-0000-1100-000009000000}" name="Ql(W)" dataDxfId="134">
      <calculatedColumnFormula>ABS(3000*C52*(F52-G52))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100:I132" totalsRowShown="0" headerRowDxfId="133" dataDxfId="131" headerRowBorderDxfId="132" tableBorderDxfId="130" totalsRowBorderDxfId="129">
  <tableColumns count="9">
    <tableColumn id="1" xr3:uid="{00000000-0010-0000-1200-000001000000}" name="Space" dataDxfId="128"/>
    <tableColumn id="2" xr3:uid="{00000000-0010-0000-1200-000002000000}" name="Occ." dataDxfId="127"/>
    <tableColumn id="3" xr3:uid="{00000000-0010-0000-1200-000003000000}" name="L/s" dataDxfId="126">
      <calculatedColumnFormula>B101*References!AU4</calculatedColumnFormula>
    </tableColumn>
    <tableColumn id="4" xr3:uid="{00000000-0010-0000-1200-000004000000}" name="To" dataDxfId="125"/>
    <tableColumn id="5" xr3:uid="{00000000-0010-0000-1200-000005000000}" name="Ti" dataDxfId="124"/>
    <tableColumn id="6" xr3:uid="{00000000-0010-0000-1200-000006000000}" name="Wo" dataDxfId="123"/>
    <tableColumn id="7" xr3:uid="{00000000-0010-0000-1200-000007000000}" name="Wi" dataDxfId="122">
      <calculatedColumnFormula>_xlfn.IFS(E101=22.5,0.00848031,E101=24,0.009293235,E101=22,0.00821976)</calculatedColumnFormula>
    </tableColumn>
    <tableColumn id="8" xr3:uid="{00000000-0010-0000-1200-000008000000}" name="Qs(W)" dataDxfId="121">
      <calculatedColumnFormula>ABS(1.232*C101*(D101-E101))</calculatedColumnFormula>
    </tableColumn>
    <tableColumn id="9" xr3:uid="{00000000-0010-0000-1200-000009000000}" name="Ql(W)" dataDxfId="120">
      <calculatedColumnFormula>ABS(3000*C101*(F101-G101))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69" headerRowBorderDxfId="368" tableBorderDxfId="367" totalsRowBorderDxfId="366">
  <tableColumns count="11">
    <tableColumn id="1" xr3:uid="{00000000-0010-0000-0100-000001000000}" name="Space" dataDxfId="365"/>
    <tableColumn id="2" xr3:uid="{00000000-0010-0000-0100-000002000000}" name="Orientation" dataDxfId="364"/>
    <tableColumn id="3" xr3:uid="{00000000-0010-0000-0100-000003000000}" name="U" dataDxfId="363"/>
    <tableColumn id="4" xr3:uid="{00000000-0010-0000-0100-000004000000}" name="A(m^2)" dataDxfId="362">
      <calculatedColumnFormula>(References!C41*4)-(References!B41*1)-(References!A41*2)</calculatedColumnFormula>
    </tableColumn>
    <tableColumn id="5" xr3:uid="{00000000-0010-0000-0100-000005000000}" name="CLTDsel" dataDxfId="361">
      <calculatedColumnFormula>_xlfn.IFS(B89="E",25,B89="N",13,B89="W",33,B89="S",22)</calculatedColumnFormula>
    </tableColumn>
    <tableColumn id="6" xr3:uid="{00000000-0010-0000-0100-000006000000}" name="LM" dataDxfId="360">
      <calculatedColumnFormula>_xlfn.IFS(B89="E",-0.55,B89="N",2.22,B89="W",-0.55,B89="S",-3.88)</calculatedColumnFormula>
    </tableColumn>
    <tableColumn id="7" xr3:uid="{00000000-0010-0000-0100-000007000000}" name="k" dataDxfId="359"/>
    <tableColumn id="8" xr3:uid="{00000000-0010-0000-0100-000008000000}" name="Ti" dataDxfId="358"/>
    <tableColumn id="9" xr3:uid="{00000000-0010-0000-0100-000009000000}" name="Tave" dataDxfId="357">
      <calculatedColumnFormula>(References!T$4)-(References!T$3/2)</calculatedColumnFormula>
    </tableColumn>
    <tableColumn id="10" xr3:uid="{00000000-0010-0000-0100-00000A000000}" name="CLTD adj" dataDxfId="356">
      <calculatedColumnFormula>(E89+F89)*G89+(25-H89)+(I89-29)</calculatedColumnFormula>
    </tableColumn>
    <tableColumn id="11" xr3:uid="{00000000-0010-0000-0100-00000B000000}" name="Q(W)" dataDxfId="355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H126" totalsRowShown="0" headerRowDxfId="119" dataDxfId="117" headerRowBorderDxfId="118" tableBorderDxfId="116" totalsRowBorderDxfId="115">
  <tableColumns count="8">
    <tableColumn id="1" xr3:uid="{00000000-0010-0000-1300-000001000000}" name="SPACE" dataDxfId="114"/>
    <tableColumn id="2" xr3:uid="{00000000-0010-0000-1300-000002000000}" name="Occ" dataDxfId="113"/>
    <tableColumn id="3" xr3:uid="{00000000-0010-0000-1300-000003000000}" name="Gain/person" dataDxfId="112"/>
    <tableColumn id="4" xr3:uid="{00000000-0010-0000-1300-000004000000}" name="Sensible" dataDxfId="111"/>
    <tableColumn id="5" xr3:uid="{00000000-0010-0000-1300-000005000000}" name="Latent" dataDxfId="110"/>
    <tableColumn id="6" xr3:uid="{00000000-0010-0000-1300-000006000000}" name="CLF" dataDxfId="109"/>
    <tableColumn id="7" xr3:uid="{00000000-0010-0000-1300-000007000000}" name="Qs (W)" dataDxfId="108">
      <calculatedColumnFormula>B95*C95*D95*F95</calculatedColumnFormula>
    </tableColumn>
    <tableColumn id="8" xr3:uid="{00000000-0010-0000-1300-000008000000}" name="Ql (W)" dataDxfId="107">
      <calculatedColumnFormula>B95*C95*E95*F95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H89" totalsRowShown="0" headerRowDxfId="106" dataDxfId="104" headerRowBorderDxfId="105" tableBorderDxfId="103" totalsRowBorderDxfId="102">
  <tableColumns count="8">
    <tableColumn id="1" xr3:uid="{00000000-0010-0000-1400-000001000000}" name="SPACE" dataDxfId="101"/>
    <tableColumn id="2" xr3:uid="{00000000-0010-0000-1400-000002000000}" name="Occ" dataDxfId="100"/>
    <tableColumn id="3" xr3:uid="{00000000-0010-0000-1400-000003000000}" name="Gain/person" dataDxfId="99"/>
    <tableColumn id="4" xr3:uid="{00000000-0010-0000-1400-000004000000}" name="Sensible" dataDxfId="98"/>
    <tableColumn id="5" xr3:uid="{00000000-0010-0000-1400-000005000000}" name="Latent" dataDxfId="97"/>
    <tableColumn id="6" xr3:uid="{00000000-0010-0000-1400-000006000000}" name="CLF" dataDxfId="96"/>
    <tableColumn id="7" xr3:uid="{00000000-0010-0000-1400-000007000000}" name="Qs (W)" dataDxfId="95">
      <calculatedColumnFormula>B46*C46*D46*F46</calculatedColumnFormula>
    </tableColumn>
    <tableColumn id="8" xr3:uid="{00000000-0010-0000-1400-000008000000}" name="Ql (W)" dataDxfId="94">
      <calculatedColumnFormula>B46*C46*E46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93" dataDxfId="91" headerRowBorderDxfId="92" tableBorderDxfId="90" totalsRowBorderDxfId="89">
  <tableColumns count="8">
    <tableColumn id="1" xr3:uid="{00000000-0010-0000-1500-000001000000}" name="SPACE" dataDxfId="88"/>
    <tableColumn id="2" xr3:uid="{00000000-0010-0000-1500-000002000000}" name="Occ" dataDxfId="87"/>
    <tableColumn id="3" xr3:uid="{00000000-0010-0000-1500-000003000000}" name="Gain/person" dataDxfId="86"/>
    <tableColumn id="4" xr3:uid="{00000000-0010-0000-1500-000004000000}" name="Sensible" dataDxfId="85"/>
    <tableColumn id="5" xr3:uid="{00000000-0010-0000-1500-000005000000}" name="Latent" dataDxfId="84"/>
    <tableColumn id="6" xr3:uid="{00000000-0010-0000-1500-000006000000}" name="CLF" dataDxfId="83"/>
    <tableColumn id="7" xr3:uid="{00000000-0010-0000-1500-000007000000}" name="Qs (W)" dataDxfId="82">
      <calculatedColumnFormula>B4*C4*D4*F4</calculatedColumnFormula>
    </tableColumn>
    <tableColumn id="8" xr3:uid="{00000000-0010-0000-1500-000008000000}" name="Ql (W)" dataDxfId="81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76" dataDxfId="74" headerRowBorderDxfId="75" tableBorderDxfId="73" totalsRowBorderDxfId="72">
  <tableColumns count="7">
    <tableColumn id="1" xr3:uid="{3D15F0BA-E56A-48AD-8475-8EDB97578663}" name="Space 1" dataDxfId="71"/>
    <tableColumn id="2" xr3:uid="{E6499B88-C35B-459A-B806-100CCDCDCA2B}" name="Space 2" dataDxfId="70"/>
    <tableColumn id="3" xr3:uid="{D2D2D7C6-259A-4E15-80D5-76BCB5F2755C}" name="U" dataDxfId="69"/>
    <tableColumn id="4" xr3:uid="{0764F60A-9AFF-45C7-9B37-2675DAC3354B}" name="Area" dataDxfId="68">
      <calculatedColumnFormula>References!AW4*2</calculatedColumnFormula>
    </tableColumn>
    <tableColumn id="5" xr3:uid="{089F04A6-59E5-4D01-9963-34848ABB08D8}" name="Ti" dataDxfId="67"/>
    <tableColumn id="6" xr3:uid="{6D9BF11B-E4DD-49A6-BD0B-97AA2C4E05C7}" name="To" dataDxfId="66"/>
    <tableColumn id="7" xr3:uid="{5A992B19-DB89-40D9-A7B7-A2A63D74CAB2}" name="Qs (W)" dataDxfId="65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64" dataDxfId="62" headerRowBorderDxfId="63" tableBorderDxfId="61" totalsRowBorderDxfId="60">
  <tableColumns count="7">
    <tableColumn id="1" xr3:uid="{69C0A91B-A3FC-4753-82E6-7AD406608DA3}" name="Space 1" dataDxfId="59"/>
    <tableColumn id="2" xr3:uid="{AEE5E517-E89F-4369-AB32-02BDCE5550D6}" name="Space 2" dataDxfId="58"/>
    <tableColumn id="3" xr3:uid="{534EF880-A31A-4F02-8D63-58BC01851CB2}" name="U" dataDxfId="57"/>
    <tableColumn id="4" xr3:uid="{ADBF381F-28C0-4B1C-A4BB-4EC3FA91953E}" name="Area" dataDxfId="56">
      <calculatedColumnFormula>2*References!AX4</calculatedColumnFormula>
    </tableColumn>
    <tableColumn id="5" xr3:uid="{08AF1E93-1E3D-45EA-A5CD-31D81BB6DB0E}" name="Ti" dataDxfId="55"/>
    <tableColumn id="6" xr3:uid="{83FA9F78-25A4-454A-8AD3-5A7975FA8352}" name="To" dataDxfId="54"/>
    <tableColumn id="7" xr3:uid="{F7BB9612-AFD7-41F9-9A2B-39116DFCDF64}" name="Qs (W)" dataDxfId="53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52" dataDxfId="50" headerRowBorderDxfId="51" tableBorderDxfId="49">
  <tableColumns count="7">
    <tableColumn id="1" xr3:uid="{AEFCFF34-ED8A-4D1B-928C-1A4AC9803B91}" name="Space 1" dataDxfId="48"/>
    <tableColumn id="2" xr3:uid="{55781A89-E632-4F5A-B9AE-B40CDA4E25A8}" name="Space 2" dataDxfId="47"/>
    <tableColumn id="3" xr3:uid="{16E0CBE7-3940-41CE-8530-A2D6900F4684}" name="U" dataDxfId="46"/>
    <tableColumn id="4" xr3:uid="{9A5A6631-C755-4076-9BF0-63662EC62164}" name="Area" dataDxfId="45">
      <calculatedColumnFormula>2*References!AY4</calculatedColumnFormula>
    </tableColumn>
    <tableColumn id="5" xr3:uid="{31F594E5-5372-4099-AA2F-E0C7F12066AA}" name="Ti" dataDxfId="44"/>
    <tableColumn id="6" xr3:uid="{28C0F865-E043-41E8-A8E9-9B5DE187E7CF}" name="To" dataDxfId="43"/>
    <tableColumn id="7" xr3:uid="{A12774DA-FA6C-45F2-A816-9E6CC1F9185F}" name="Qs (W)" dataDxfId="42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41" dataDxfId="39" headerRowBorderDxfId="40" tableBorderDxfId="38" totalsRowBorderDxfId="37">
  <tableColumns count="6">
    <tableColumn id="1" xr3:uid="{00000000-0010-0000-1600-000001000000}" name="SPACE" dataDxfId="36"/>
    <tableColumn id="2" xr3:uid="{00000000-0010-0000-1600-000002000000}" name="W" dataDxfId="35">
      <calculatedColumnFormula>13*References!BA4</calculatedColumnFormula>
    </tableColumn>
    <tableColumn id="3" xr3:uid="{00000000-0010-0000-1600-000003000000}" name="Fu" dataDxfId="34"/>
    <tableColumn id="4" xr3:uid="{00000000-0010-0000-1600-000004000000}" name="Fb" dataDxfId="33"/>
    <tableColumn id="5" xr3:uid="{00000000-0010-0000-1600-000005000000}" name="CLF" dataDxfId="32"/>
    <tableColumn id="6" xr3:uid="{00000000-0010-0000-1600-000006000000}" name="Qs (W)" dataDxfId="31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30" dataDxfId="28" headerRowBorderDxfId="29" tableBorderDxfId="27" totalsRowBorderDxfId="26">
  <tableColumns count="6">
    <tableColumn id="1" xr3:uid="{00000000-0010-0000-1700-000001000000}" name="SPACE" dataDxfId="25"/>
    <tableColumn id="2" xr3:uid="{00000000-0010-0000-1700-000002000000}" name="W" dataDxfId="24">
      <calculatedColumnFormula>13*References!BB4</calculatedColumnFormula>
    </tableColumn>
    <tableColumn id="3" xr3:uid="{00000000-0010-0000-1700-000003000000}" name="Fu" dataDxfId="23"/>
    <tableColumn id="4" xr3:uid="{00000000-0010-0000-1700-000004000000}" name="Fb" dataDxfId="22"/>
    <tableColumn id="5" xr3:uid="{00000000-0010-0000-1700-000005000000}" name="CLF" dataDxfId="21"/>
    <tableColumn id="6" xr3:uid="{00000000-0010-0000-1700-000006000000}" name="Qs (W)" dataDxfId="20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6" totalsRowShown="0" headerRowDxfId="19" dataDxfId="17" headerRowBorderDxfId="18" tableBorderDxfId="16" totalsRowBorderDxfId="15">
  <tableColumns count="6">
    <tableColumn id="1" xr3:uid="{00000000-0010-0000-1800-000001000000}" name="SPACE" dataDxfId="14"/>
    <tableColumn id="2" xr3:uid="{00000000-0010-0000-1800-000002000000}" name="W" dataDxfId="13"/>
    <tableColumn id="3" xr3:uid="{00000000-0010-0000-1800-000003000000}" name="Fu" dataDxfId="12"/>
    <tableColumn id="4" xr3:uid="{00000000-0010-0000-1800-000004000000}" name="Fb" dataDxfId="11"/>
    <tableColumn id="5" xr3:uid="{00000000-0010-0000-1800-000005000000}" name="CLF" dataDxfId="10"/>
    <tableColumn id="6" xr3:uid="{00000000-0010-0000-1800-000006000000}" name="Qs (W)" dataDxfId="9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54" headerRowBorderDxfId="353" tableBorderDxfId="352" totalsRowBorderDxfId="351">
  <tableColumns count="11">
    <tableColumn id="1" xr3:uid="{00000000-0010-0000-0200-000001000000}" name="Space" dataDxfId="350"/>
    <tableColumn id="2" xr3:uid="{00000000-0010-0000-0200-000002000000}" name="Orientation" dataDxfId="349"/>
    <tableColumn id="3" xr3:uid="{00000000-0010-0000-0200-000003000000}" name="U" dataDxfId="348"/>
    <tableColumn id="4" xr3:uid="{00000000-0010-0000-0200-000004000000}" name="A(m^2)" dataDxfId="347"/>
    <tableColumn id="5" xr3:uid="{00000000-0010-0000-0200-000005000000}" name="CLTDsel" dataDxfId="346"/>
    <tableColumn id="6" xr3:uid="{00000000-0010-0000-0200-000006000000}" name="LM" dataDxfId="345"/>
    <tableColumn id="7" xr3:uid="{00000000-0010-0000-0200-000007000000}" name="k" dataDxfId="344"/>
    <tableColumn id="8" xr3:uid="{00000000-0010-0000-0200-000008000000}" name="Ti" dataDxfId="343"/>
    <tableColumn id="9" xr3:uid="{00000000-0010-0000-0200-000009000000}" name="Tave" dataDxfId="342"/>
    <tableColumn id="10" xr3:uid="{00000000-0010-0000-0200-00000A000000}" name="CLTD adj" dataDxfId="341">
      <calculatedColumnFormula>(E42+F42)*G42+(25-H42)+(I42-29)</calculatedColumnFormula>
    </tableColumn>
    <tableColumn id="11" xr3:uid="{00000000-0010-0000-0200-00000B000000}" name="Q(W)" dataDxfId="340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38" headerRowBorderDxfId="337" tableBorderDxfId="336" totalsRowBorderDxfId="335">
  <tableColumns count="11">
    <tableColumn id="1" xr3:uid="{00000000-0010-0000-0300-000001000000}" name="Space" dataDxfId="334"/>
    <tableColumn id="2" xr3:uid="{00000000-0010-0000-0300-000002000000}" name="Orientation" dataDxfId="333"/>
    <tableColumn id="3" xr3:uid="{00000000-0010-0000-0300-000003000000}" name="U" dataDxfId="332"/>
    <tableColumn id="4" xr3:uid="{00000000-0010-0000-0300-000004000000}" name="To" dataDxfId="331"/>
    <tableColumn id="5" xr3:uid="{00000000-0010-0000-0300-000005000000}" name="Ti" dataDxfId="330"/>
    <tableColumn id="6" xr3:uid="{00000000-0010-0000-0300-000006000000}" name="A(m^2)" dataDxfId="329">
      <calculatedColumnFormula>References!E5*References!F5</calculatedColumnFormula>
    </tableColumn>
    <tableColumn id="7" xr3:uid="{00000000-0010-0000-0300-000007000000}" name="SHGF" dataDxfId="328">
      <calculatedColumnFormula>_xlfn.IFS(B4="E",685,B4="N",120,B4="W",685,B4="S",230)</calculatedColumnFormula>
    </tableColumn>
    <tableColumn id="8" xr3:uid="{00000000-0010-0000-0300-000008000000}" name="SCL" dataDxfId="327">
      <calculatedColumnFormula>_xlfn.IFS(B4="E",0.8,B4="N",0.91,B4="W",0.82,B4="S",0.83)</calculatedColumnFormula>
    </tableColumn>
    <tableColumn id="9" xr3:uid="{00000000-0010-0000-0300-000009000000}" name="SC" dataDxfId="326"/>
    <tableColumn id="10" xr3:uid="{00000000-0010-0000-0300-00000A000000}" name="Qsg (W)" dataDxfId="325">
      <calculatedColumnFormula>G4*H4*F4*I4</calculatedColumnFormula>
    </tableColumn>
    <tableColumn id="11" xr3:uid="{00000000-0010-0000-0300-00000B000000}" name="Qth (W)" dataDxfId="324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23" dataDxfId="321" headerRowBorderDxfId="322" tableBorderDxfId="320" totalsRowBorderDxfId="319">
  <tableColumns count="11">
    <tableColumn id="1" xr3:uid="{00000000-0010-0000-0400-000001000000}" name="Space" dataDxfId="318"/>
    <tableColumn id="2" xr3:uid="{00000000-0010-0000-0400-000002000000}" name="Orientation" dataDxfId="317"/>
    <tableColumn id="3" xr3:uid="{00000000-0010-0000-0400-000003000000}" name="U" dataDxfId="316"/>
    <tableColumn id="4" xr3:uid="{00000000-0010-0000-0400-000004000000}" name="To" dataDxfId="315"/>
    <tableColumn id="5" xr3:uid="{00000000-0010-0000-0400-000005000000}" name="Ti" dataDxfId="314"/>
    <tableColumn id="6" xr3:uid="{00000000-0010-0000-0400-000006000000}" name="A(m^2)" dataDxfId="313">
      <calculatedColumnFormula>References!E41*References!F41</calculatedColumnFormula>
    </tableColumn>
    <tableColumn id="7" xr3:uid="{00000000-0010-0000-0400-000007000000}" name="SHGF" dataDxfId="312">
      <calculatedColumnFormula>_xlfn.IFS(B74="E",685,B74="N",120,B74="W",685,B74="S",230)</calculatedColumnFormula>
    </tableColumn>
    <tableColumn id="8" xr3:uid="{00000000-0010-0000-0400-000008000000}" name="SCL" dataDxfId="311">
      <calculatedColumnFormula>_xlfn.IFS(B74="E",0.8,B74="N",0.91,B74="W",0.82,B74="S",0.83)</calculatedColumnFormula>
    </tableColumn>
    <tableColumn id="9" xr3:uid="{00000000-0010-0000-0400-000009000000}" name="SC" dataDxfId="310"/>
    <tableColumn id="10" xr3:uid="{00000000-0010-0000-0400-00000A000000}" name="Qsg (W)" dataDxfId="309">
      <calculatedColumnFormula>G74*H74*F74*I74</calculatedColumnFormula>
    </tableColumn>
    <tableColumn id="11" xr3:uid="{00000000-0010-0000-0400-00000B000000}" name="Qth (W)" dataDxfId="308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07" headerRowBorderDxfId="306" tableBorderDxfId="305" totalsRowBorderDxfId="304">
  <tableColumns count="11">
    <tableColumn id="1" xr3:uid="{00000000-0010-0000-0500-000001000000}" name="Space" dataDxfId="303"/>
    <tableColumn id="2" xr3:uid="{00000000-0010-0000-0500-000002000000}" name="Orientation" dataDxfId="302"/>
    <tableColumn id="3" xr3:uid="{00000000-0010-0000-0500-000003000000}" name="U" dataDxfId="301"/>
    <tableColumn id="4" xr3:uid="{00000000-0010-0000-0500-000004000000}" name="To" dataDxfId="300"/>
    <tableColumn id="5" xr3:uid="{00000000-0010-0000-0500-000005000000}" name="Ti" dataDxfId="299"/>
    <tableColumn id="6" xr3:uid="{00000000-0010-0000-0500-000006000000}" name="A(m^2)" dataDxfId="298"/>
    <tableColumn id="7" xr3:uid="{00000000-0010-0000-0500-000007000000}" name="SHGF" dataDxfId="297">
      <calculatedColumnFormula>_xlfn.IFS(B40="N",120,B40="E",685,B40="S",230,B40="W",685)</calculatedColumnFormula>
    </tableColumn>
    <tableColumn id="8" xr3:uid="{00000000-0010-0000-0500-000008000000}" name="SCL" dataDxfId="296">
      <calculatedColumnFormula>_xlfn.IFS(B40="N",0.91,B40="E",0.8,B40="S",0.83,B40="W",0.82)</calculatedColumnFormula>
    </tableColumn>
    <tableColumn id="9" xr3:uid="{00000000-0010-0000-0500-000009000000}" name="SC" dataDxfId="295"/>
    <tableColumn id="10" xr3:uid="{00000000-0010-0000-0500-00000A000000}" name="Qsg (W)" dataDxfId="294">
      <calculatedColumnFormula>I40*H40*G40*F40</calculatedColumnFormula>
    </tableColumn>
    <tableColumn id="11" xr3:uid="{00000000-0010-0000-0500-00000B000000}" name="Qth (W)" dataDxfId="293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292" headerRowBorderDxfId="291" tableBorderDxfId="290" totalsRowBorderDxfId="289">
  <tableColumns count="9">
    <tableColumn id="1" xr3:uid="{00000000-0010-0000-0600-000001000000}" name="SPACE" dataDxfId="288"/>
    <tableColumn id="2" xr3:uid="{00000000-0010-0000-0600-000002000000}" name="Volume" dataDxfId="287">
      <calculatedColumnFormula>References!AB4*4</calculatedColumnFormula>
    </tableColumn>
    <tableColumn id="3" xr3:uid="{00000000-0010-0000-0600-000003000000}" name="L/s" dataDxfId="286">
      <calculatedColumnFormula>((0.15+0.01*3+0.007*(D78-E78))*B78)/3.6</calculatedColumnFormula>
    </tableColumn>
    <tableColumn id="4" xr3:uid="{00000000-0010-0000-0600-000004000000}" name="To" dataDxfId="285"/>
    <tableColumn id="5" xr3:uid="{00000000-0010-0000-0600-000005000000}" name="Ti" dataDxfId="284"/>
    <tableColumn id="6" xr3:uid="{00000000-0010-0000-0600-000006000000}" name="Wo" dataDxfId="283"/>
    <tableColumn id="7" xr3:uid="{00000000-0010-0000-0600-000007000000}" name="Wi" dataDxfId="282">
      <calculatedColumnFormula>_xlfn.IFS(E78=22.5,0.00848061,E78=22,0.00821976,E78=24,0.00929323,E78=28,0.0118162235)</calculatedColumnFormula>
    </tableColumn>
    <tableColumn id="8" xr3:uid="{00000000-0010-0000-0600-000008000000}" name="Qs (W)" dataDxfId="281">
      <calculatedColumnFormula>ABS(1.23*C78*(D78-E78))</calculatedColumnFormula>
    </tableColumn>
    <tableColumn id="9" xr3:uid="{00000000-0010-0000-0600-000009000000}" name="Ql (W)" dataDxfId="280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6" totalsRowShown="0" headerRowDxfId="279" headerRowBorderDxfId="278" tableBorderDxfId="277" totalsRowBorderDxfId="276">
  <tableColumns count="9">
    <tableColumn id="1" xr3:uid="{00000000-0010-0000-0700-000001000000}" name="Space" dataDxfId="275"/>
    <tableColumn id="2" xr3:uid="{00000000-0010-0000-0700-000002000000}" name="Volume" dataDxfId="274">
      <calculatedColumnFormula>References!AE4*4</calculatedColumnFormula>
    </tableColumn>
    <tableColumn id="3" xr3:uid="{00000000-0010-0000-0700-000003000000}" name="L/s" dataDxfId="273">
      <calculatedColumnFormula>(References!AD4*B163)/3.6</calculatedColumnFormula>
    </tableColumn>
    <tableColumn id="4" xr3:uid="{00000000-0010-0000-0700-000004000000}" name="To" dataDxfId="272"/>
    <tableColumn id="5" xr3:uid="{00000000-0010-0000-0700-000005000000}" name="Ti" dataDxfId="271"/>
    <tableColumn id="6" xr3:uid="{00000000-0010-0000-0700-000006000000}" name="Wo" dataDxfId="270"/>
    <tableColumn id="7" xr3:uid="{00000000-0010-0000-0700-000007000000}" name="Wi" dataDxfId="269">
      <calculatedColumnFormula>_xlfn.IFS(E163=22.5,0.00848031,E163=24,0.009293235,E163=22,0.00821976,E163=28,0.0118162235)</calculatedColumnFormula>
    </tableColumn>
    <tableColumn id="8" xr3:uid="{00000000-0010-0000-0700-000008000000}" name="Qs" dataDxfId="268">
      <calculatedColumnFormula>ABS(1.232*(D163-E163)*C163)</calculatedColumnFormula>
    </tableColumn>
    <tableColumn id="9" xr3:uid="{00000000-0010-0000-0700-000009000000}" name="Ql" dataDxfId="267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J72" totalsRowShown="0" headerRowDxfId="266" headerRowBorderDxfId="265" tableBorderDxfId="264" totalsRowBorderDxfId="263">
  <tableColumns count="10">
    <tableColumn id="1" xr3:uid="{00000000-0010-0000-0800-000001000000}" name="SPACE" dataDxfId="262"/>
    <tableColumn id="2" xr3:uid="{00000000-0010-0000-0800-000002000000}" name="Volume" dataDxfId="261">
      <calculatedColumnFormula>References!Z4*4</calculatedColumnFormula>
    </tableColumn>
    <tableColumn id="3" xr3:uid="{00000000-0010-0000-0800-000003000000}" name="L/s" dataDxfId="260">
      <calculatedColumnFormula>(References!Y4*B4)/3.6</calculatedColumnFormula>
    </tableColumn>
    <tableColumn id="4" xr3:uid="{00000000-0010-0000-0800-000004000000}" name="To" dataDxfId="259"/>
    <tableColumn id="5" xr3:uid="{00000000-0010-0000-0800-000005000000}" name="Ti" dataDxfId="258"/>
    <tableColumn id="6" xr3:uid="{00000000-0010-0000-0800-000006000000}" name="Wo" dataDxfId="257"/>
    <tableColumn id="7" xr3:uid="{00000000-0010-0000-0800-000007000000}" name="Wi" dataDxfId="256"/>
    <tableColumn id="8" xr3:uid="{00000000-0010-0000-0800-000008000000}" name="Qs (W)" dataDxfId="255">
      <calculatedColumnFormula>ABS((1.232*(D4-E4)*C4))</calculatedColumnFormula>
    </tableColumn>
    <tableColumn id="9" xr3:uid="{00000000-0010-0000-0800-000009000000}" name="Ql (W)" dataDxfId="254">
      <calculatedColumnFormula>ABS(3000*C4*(F4-G4))</calculatedColumnFormula>
    </tableColumn>
    <tableColumn id="10" xr3:uid="{CD8D18E2-0026-45D8-832E-5B95CD03B163}" name="Column1" dataDxfId="25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1"/>
  <sheetViews>
    <sheetView zoomScale="85" zoomScaleNormal="85" workbookViewId="0">
      <selection activeCell="A14" sqref="A14"/>
    </sheetView>
  </sheetViews>
  <sheetFormatPr defaultRowHeight="15" x14ac:dyDescent="0.25"/>
  <cols>
    <col min="1" max="1" width="32.7109375" customWidth="1"/>
    <col min="2" max="2" width="12.42578125" customWidth="1"/>
    <col min="3" max="4" width="9.140625" customWidth="1"/>
    <col min="5" max="5" width="10.28515625" customWidth="1"/>
    <col min="6" max="9" width="9.140625" customWidth="1"/>
    <col min="10" max="10" width="15.28515625" customWidth="1"/>
    <col min="11" max="12" width="9.140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9" ht="23.25" x14ac:dyDescent="0.25">
      <c r="A1" s="180" t="s">
        <v>537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9" ht="24" thickBot="1" x14ac:dyDescent="0.4">
      <c r="A2" s="178" t="s">
        <v>160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19" ht="15.75" thickBot="1" x14ac:dyDescent="0.3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81" t="s">
        <v>539</v>
      </c>
      <c r="O3" s="181"/>
      <c r="P3" s="181"/>
      <c r="Q3" s="181"/>
      <c r="R3" s="181"/>
      <c r="S3" s="181"/>
    </row>
    <row r="4" spans="1:19" ht="15.75" thickBot="1" x14ac:dyDescent="0.3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50"/>
      <c r="N4" s="182"/>
      <c r="O4" s="182"/>
      <c r="P4" s="182"/>
      <c r="Q4" s="182" t="s">
        <v>430</v>
      </c>
      <c r="R4" s="182"/>
      <c r="S4" s="182"/>
    </row>
    <row r="5" spans="1:19" ht="15.75" thickBot="1" x14ac:dyDescent="0.3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50"/>
      <c r="N5" s="183" t="s">
        <v>160</v>
      </c>
      <c r="O5" s="183"/>
      <c r="P5" s="183"/>
      <c r="Q5" s="183">
        <f>K38</f>
        <v>39227.857343999996</v>
      </c>
      <c r="R5" s="183"/>
      <c r="S5" s="183"/>
    </row>
    <row r="6" spans="1:19" ht="15.75" thickBot="1" x14ac:dyDescent="0.3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50"/>
      <c r="N6" s="183" t="s">
        <v>41</v>
      </c>
      <c r="O6" s="183"/>
      <c r="P6" s="183"/>
      <c r="Q6" s="183">
        <f>K85</f>
        <v>31364.094930011994</v>
      </c>
      <c r="R6" s="183"/>
      <c r="S6" s="183"/>
    </row>
    <row r="7" spans="1:19" ht="15.75" thickBot="1" x14ac:dyDescent="0.3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50"/>
      <c r="N7" s="183" t="s">
        <v>59</v>
      </c>
      <c r="O7" s="183"/>
      <c r="P7" s="183"/>
      <c r="Q7" s="183">
        <f>K131</f>
        <v>48205.328184000005</v>
      </c>
      <c r="R7" s="183"/>
      <c r="S7" s="183"/>
    </row>
    <row r="8" spans="1:19" ht="15.75" thickBot="1" x14ac:dyDescent="0.3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50"/>
      <c r="N8" s="184" t="s">
        <v>540</v>
      </c>
      <c r="O8" s="184"/>
      <c r="P8" s="184"/>
      <c r="Q8" s="177">
        <f>Q5+Q6+Q7</f>
        <v>118797.28045801198</v>
      </c>
      <c r="R8" s="177"/>
      <c r="S8" s="177"/>
    </row>
    <row r="9" spans="1:19" ht="15.75" thickBot="1" x14ac:dyDescent="0.3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50"/>
      <c r="N9" s="184"/>
      <c r="O9" s="184"/>
      <c r="P9" s="184"/>
      <c r="Q9" s="177"/>
      <c r="R9" s="177"/>
      <c r="S9" s="177"/>
    </row>
    <row r="10" spans="1:19" ht="15.75" thickBot="1" x14ac:dyDescent="0.3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50"/>
    </row>
    <row r="11" spans="1:19" ht="15.75" thickBot="1" x14ac:dyDescent="0.3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50"/>
    </row>
    <row r="12" spans="1:19" ht="15.75" thickBot="1" x14ac:dyDescent="0.3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50"/>
    </row>
    <row r="13" spans="1:19" ht="15.75" thickBot="1" x14ac:dyDescent="0.3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50"/>
    </row>
    <row r="14" spans="1:19" ht="15.75" thickBot="1" x14ac:dyDescent="0.3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50"/>
    </row>
    <row r="15" spans="1:19" ht="15.75" thickBot="1" x14ac:dyDescent="0.3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50"/>
    </row>
    <row r="16" spans="1:19" ht="15.75" thickBot="1" x14ac:dyDescent="0.3">
      <c r="A16" s="13" t="s">
        <v>28</v>
      </c>
      <c r="B16" s="6" t="s">
        <v>48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28</v>
      </c>
      <c r="I16" s="6">
        <f>(References!T$4)-(References!T$3/2)</f>
        <v>30.45</v>
      </c>
      <c r="J16" s="6">
        <f t="shared" si="0"/>
        <v>19.5425</v>
      </c>
      <c r="K16" s="15">
        <f t="shared" si="1"/>
        <v>4465.3237199999994</v>
      </c>
      <c r="M16" s="150"/>
    </row>
    <row r="17" spans="1:13" ht="15.75" thickBot="1" x14ac:dyDescent="0.3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50"/>
    </row>
    <row r="18" spans="1:13" ht="15.75" thickBot="1" x14ac:dyDescent="0.3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50"/>
    </row>
    <row r="19" spans="1:13" ht="15.75" thickBot="1" x14ac:dyDescent="0.3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50"/>
    </row>
    <row r="20" spans="1:13" ht="15.75" thickBot="1" x14ac:dyDescent="0.3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50"/>
    </row>
    <row r="21" spans="1:13" ht="15.75" thickBot="1" x14ac:dyDescent="0.3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50"/>
    </row>
    <row r="22" spans="1:13" ht="15.75" thickBot="1" x14ac:dyDescent="0.3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50"/>
    </row>
    <row r="23" spans="1:13" ht="15.75" thickBot="1" x14ac:dyDescent="0.3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50"/>
    </row>
    <row r="24" spans="1:13" ht="15.75" thickBot="1" x14ac:dyDescent="0.3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50"/>
    </row>
    <row r="25" spans="1:13" ht="15.75" thickBot="1" x14ac:dyDescent="0.3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50"/>
    </row>
    <row r="26" spans="1:13" ht="15.75" thickBot="1" x14ac:dyDescent="0.3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50"/>
    </row>
    <row r="27" spans="1:13" ht="15.75" thickBot="1" x14ac:dyDescent="0.3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50"/>
    </row>
    <row r="28" spans="1:13" ht="15.75" thickBot="1" x14ac:dyDescent="0.3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50"/>
    </row>
    <row r="29" spans="1:13" ht="15.75" thickBot="1" x14ac:dyDescent="0.3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50"/>
    </row>
    <row r="30" spans="1:13" ht="15.75" thickBot="1" x14ac:dyDescent="0.3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50"/>
    </row>
    <row r="31" spans="1:13" ht="15.75" thickBot="1" x14ac:dyDescent="0.3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50"/>
    </row>
    <row r="32" spans="1:13" ht="15.75" thickBot="1" x14ac:dyDescent="0.3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50"/>
    </row>
    <row r="33" spans="1:14" ht="15.75" thickBot="1" x14ac:dyDescent="0.3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50"/>
    </row>
    <row r="34" spans="1:14" ht="15.75" thickBot="1" x14ac:dyDescent="0.3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50"/>
    </row>
    <row r="35" spans="1:14" ht="15.75" thickBot="1" x14ac:dyDescent="0.3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50"/>
    </row>
    <row r="36" spans="1:14" ht="15.75" thickBot="1" x14ac:dyDescent="0.3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50"/>
    </row>
    <row r="37" spans="1:14" ht="15.75" thickBot="1" x14ac:dyDescent="0.3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50"/>
    </row>
    <row r="38" spans="1:14" ht="16.5" thickTop="1" thickBot="1" x14ac:dyDescent="0.3">
      <c r="J38" s="42" t="s">
        <v>42</v>
      </c>
      <c r="K38" s="42">
        <f>SUM(K4:K37)</f>
        <v>39227.857343999996</v>
      </c>
    </row>
    <row r="39" spans="1:14" ht="15.75" thickTop="1" x14ac:dyDescent="0.25"/>
    <row r="40" spans="1:14" ht="24" thickBot="1" x14ac:dyDescent="0.4">
      <c r="A40" s="178" t="s">
        <v>41</v>
      </c>
      <c r="B40" s="178"/>
      <c r="C40" s="178"/>
      <c r="D40" s="178"/>
      <c r="E40" s="178"/>
      <c r="F40" s="178"/>
      <c r="G40" s="178"/>
      <c r="H40" s="178"/>
      <c r="I40" s="178"/>
      <c r="J40" s="178"/>
      <c r="K40" s="178"/>
    </row>
    <row r="41" spans="1:14" ht="15.75" thickBot="1" x14ac:dyDescent="0.3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.75" thickBot="1" x14ac:dyDescent="0.3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.75" thickBot="1" x14ac:dyDescent="0.3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.75" thickBot="1" x14ac:dyDescent="0.3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.75" thickBot="1" x14ac:dyDescent="0.3">
      <c r="A45" s="9" t="s">
        <v>62</v>
      </c>
      <c r="B45" s="6" t="s">
        <v>47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28</v>
      </c>
      <c r="I45" s="6">
        <v>30.45</v>
      </c>
      <c r="J45" s="6">
        <f t="shared" si="4"/>
        <v>8.343</v>
      </c>
      <c r="K45" s="15">
        <f t="shared" si="5"/>
        <v>978.31753343999992</v>
      </c>
    </row>
    <row r="46" spans="1:14" ht="15.75" thickBot="1" x14ac:dyDescent="0.3">
      <c r="A46" s="9" t="s">
        <v>63</v>
      </c>
      <c r="B46" s="6" t="s">
        <v>48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28</v>
      </c>
      <c r="I46" s="6">
        <v>30.45</v>
      </c>
      <c r="J46" s="6">
        <f t="shared" si="4"/>
        <v>19.5425</v>
      </c>
      <c r="K46" s="15">
        <f t="shared" si="5"/>
        <v>2185.5018743999999</v>
      </c>
    </row>
    <row r="47" spans="1:14" ht="15.75" thickBot="1" x14ac:dyDescent="0.3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.75" thickBot="1" x14ac:dyDescent="0.3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.75" thickBot="1" x14ac:dyDescent="0.3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.75" thickBot="1" x14ac:dyDescent="0.3">
      <c r="A50" s="152" t="s">
        <v>126</v>
      </c>
      <c r="B50" s="153" t="s">
        <v>48</v>
      </c>
      <c r="C50" s="153">
        <v>2.7143999999999999</v>
      </c>
      <c r="D50" s="153">
        <v>9.6999999999999993</v>
      </c>
      <c r="E50" s="153">
        <v>33</v>
      </c>
      <c r="F50" s="153">
        <v>-0.55000000000000004</v>
      </c>
      <c r="G50" s="153">
        <v>0.65</v>
      </c>
      <c r="H50" s="153">
        <v>28</v>
      </c>
      <c r="I50" s="153">
        <v>30.45</v>
      </c>
      <c r="J50" s="153">
        <f t="shared" si="4"/>
        <v>19.5425</v>
      </c>
      <c r="K50" s="154">
        <f t="shared" si="5"/>
        <v>514.54777139999999</v>
      </c>
    </row>
    <row r="51" spans="1:13" ht="15.75" thickBot="1" x14ac:dyDescent="0.3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.75" thickBot="1" x14ac:dyDescent="0.3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.75" thickBot="1" x14ac:dyDescent="0.3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  <c r="M53">
        <f>Table6[[#This Row],[A(m^2)]]+(0.6*1.2)</f>
        <v>8.2000000000000011</v>
      </c>
    </row>
    <row r="54" spans="1:13" ht="15.75" thickBot="1" x14ac:dyDescent="0.3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.75" thickBot="1" x14ac:dyDescent="0.3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.75" thickBot="1" x14ac:dyDescent="0.3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.75" thickBot="1" x14ac:dyDescent="0.3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.75" thickBot="1" x14ac:dyDescent="0.3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  <c r="M58">
        <f>Table6[[#This Row],[A(m^2)]]+1.95</f>
        <v>15</v>
      </c>
    </row>
    <row r="59" spans="1:13" ht="15.75" thickBot="1" x14ac:dyDescent="0.3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.75" thickBot="1" x14ac:dyDescent="0.3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>
        <f>Table6[[#This Row],[A(m^2)]]+2.51+2.51</f>
        <v>15.6</v>
      </c>
    </row>
    <row r="61" spans="1:13" ht="15.75" thickBot="1" x14ac:dyDescent="0.3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.75" thickBot="1" x14ac:dyDescent="0.3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  <c r="M62">
        <f>Table6[[#This Row],[A(m^2)]]+2.4</f>
        <v>24</v>
      </c>
    </row>
    <row r="63" spans="1:13" ht="15.75" thickBot="1" x14ac:dyDescent="0.3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  <c r="M63">
        <f>Table6[[#This Row],[A(m^2)]]+0.6*0.6</f>
        <v>4.8000000000000007</v>
      </c>
    </row>
    <row r="64" spans="1:13" ht="15.75" thickBot="1" x14ac:dyDescent="0.3">
      <c r="A64" s="152" t="s">
        <v>130</v>
      </c>
      <c r="B64" s="153" t="s">
        <v>49</v>
      </c>
      <c r="C64" s="153">
        <v>2.7143999999999999</v>
      </c>
      <c r="D64" s="153">
        <v>19.2</v>
      </c>
      <c r="E64" s="153">
        <v>22</v>
      </c>
      <c r="F64" s="153">
        <v>-3.88</v>
      </c>
      <c r="G64" s="153">
        <v>0.65</v>
      </c>
      <c r="H64" s="153">
        <v>28</v>
      </c>
      <c r="I64" s="153">
        <v>30.45</v>
      </c>
      <c r="J64" s="153">
        <f t="shared" si="4"/>
        <v>10.228</v>
      </c>
      <c r="K64" s="154">
        <f t="shared" si="5"/>
        <v>533.04735743999993</v>
      </c>
    </row>
    <row r="65" spans="1:13" ht="15.75" thickBot="1" x14ac:dyDescent="0.3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>
        <f>D66+0.6*0.6</f>
        <v>5.4</v>
      </c>
    </row>
    <row r="66" spans="1:13" ht="15.75" thickBot="1" x14ac:dyDescent="0.3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.75" thickBot="1" x14ac:dyDescent="0.3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.75" thickBot="1" x14ac:dyDescent="0.3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.75" thickBot="1" x14ac:dyDescent="0.3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  <c r="M69">
        <f>Table6[[#This Row],[A(m^2)]]+1.6</f>
        <v>11.4</v>
      </c>
    </row>
    <row r="70" spans="1:13" ht="15.75" thickBot="1" x14ac:dyDescent="0.3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  <c r="M70">
        <f>Table6[[#This Row],[A(m^2)]]+1.6</f>
        <v>10.4</v>
      </c>
    </row>
    <row r="71" spans="1:13" ht="15.75" thickBot="1" x14ac:dyDescent="0.3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  <c r="M71">
        <f>Table6[[#This Row],[A(m^2)]]+1.6</f>
        <v>12</v>
      </c>
    </row>
    <row r="72" spans="1:13" ht="15.75" thickBot="1" x14ac:dyDescent="0.3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.75" thickBot="1" x14ac:dyDescent="0.3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ht="15.75" thickBot="1" x14ac:dyDescent="0.3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ht="15.75" thickBot="1" x14ac:dyDescent="0.3">
      <c r="A75" s="155" t="s">
        <v>65</v>
      </c>
      <c r="B75" s="153" t="s">
        <v>46</v>
      </c>
      <c r="C75" s="153">
        <v>2.7143999999999999</v>
      </c>
      <c r="D75" s="153">
        <v>7.4</v>
      </c>
      <c r="E75" s="153">
        <v>25</v>
      </c>
      <c r="F75" s="153">
        <v>-0.55000000000000004</v>
      </c>
      <c r="G75" s="153">
        <v>0.65</v>
      </c>
      <c r="H75" s="153">
        <v>22.5</v>
      </c>
      <c r="I75" s="153">
        <v>30.45</v>
      </c>
      <c r="J75" s="153">
        <f t="shared" si="4"/>
        <v>19.842499999999998</v>
      </c>
      <c r="K75" s="154">
        <f t="shared" si="5"/>
        <v>398.56756679999995</v>
      </c>
      <c r="M75" s="4"/>
    </row>
    <row r="76" spans="1:13" ht="15.75" thickBot="1" x14ac:dyDescent="0.3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  <c r="M77">
        <f>D78+2.1</f>
        <v>15</v>
      </c>
    </row>
    <row r="78" spans="1:13" ht="15.75" thickBot="1" x14ac:dyDescent="0.3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>
        <f>Table6[[#This Row],[A(m^2)]]+1.2+1.2+1.4</f>
        <v>24.199999999999996</v>
      </c>
    </row>
    <row r="80" spans="1:13" ht="15.75" thickBot="1" x14ac:dyDescent="0.3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  <c r="M80">
        <f>Table6[[#This Row],[A(m^2)]]+2.72</f>
        <v>10.88</v>
      </c>
    </row>
    <row r="81" spans="1:13" ht="15.75" thickBot="1" x14ac:dyDescent="0.3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  <c r="M81">
        <f>Table6[[#This Row],[A(m^2)]]+1.2*0.6</f>
        <v>10.92</v>
      </c>
    </row>
    <row r="82" spans="1:13" ht="15.75" thickBot="1" x14ac:dyDescent="0.3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3" ht="15.75" thickBot="1" x14ac:dyDescent="0.3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  <c r="M83">
        <f>Table6[[#This Row],[A(m^2)]]+1.4</f>
        <v>10.280000000000001</v>
      </c>
    </row>
    <row r="84" spans="1:13" ht="15.75" thickBot="1" x14ac:dyDescent="0.3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  <c r="M84">
        <f>Table6[[#This Row],[A(m^2)]]+0.6*0.6</f>
        <v>8.1999999999999993</v>
      </c>
    </row>
    <row r="85" spans="1:13" ht="15.75" thickBot="1" x14ac:dyDescent="0.3">
      <c r="J85" s="41" t="s">
        <v>42</v>
      </c>
      <c r="K85" s="41">
        <f>SUM(Table6[Q(W)])</f>
        <v>31364.094930011994</v>
      </c>
    </row>
    <row r="86" spans="1:13" x14ac:dyDescent="0.25">
      <c r="J86" s="1"/>
      <c r="K86" s="1"/>
    </row>
    <row r="87" spans="1:13" ht="23.25" x14ac:dyDescent="0.35">
      <c r="A87" s="179" t="s">
        <v>59</v>
      </c>
      <c r="B87" s="179"/>
      <c r="C87" s="179"/>
      <c r="D87" s="179"/>
      <c r="E87" s="179"/>
      <c r="F87" s="179"/>
      <c r="G87" s="179"/>
      <c r="H87" s="179"/>
      <c r="I87" s="179"/>
      <c r="J87" s="179"/>
      <c r="K87" s="179"/>
    </row>
    <row r="88" spans="1:13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3" ht="15.75" thickBot="1" x14ac:dyDescent="0.3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3" ht="15.75" thickBot="1" x14ac:dyDescent="0.3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  <c r="M90">
        <f>Table2[[#This Row],[A(m^2)]]+2.31+2.31</f>
        <v>24.019999999999996</v>
      </c>
    </row>
    <row r="91" spans="1:13" ht="15.75" thickBot="1" x14ac:dyDescent="0.3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  <c r="M91">
        <f>Table2[[#This Row],[A(m^2)]]+2.31+2.31</f>
        <v>24.019999999999996</v>
      </c>
    </row>
    <row r="92" spans="1:13" ht="15.75" thickBot="1" x14ac:dyDescent="0.3">
      <c r="A92" s="152" t="s">
        <v>61</v>
      </c>
      <c r="B92" s="153" t="s">
        <v>46</v>
      </c>
      <c r="C92" s="156">
        <v>2.7143999999999999</v>
      </c>
      <c r="D92" s="153">
        <f>(References!C44*4)-(References!B44*1)-(References!A44*2)</f>
        <v>40.92</v>
      </c>
      <c r="E92" s="153">
        <f t="shared" si="8"/>
        <v>25</v>
      </c>
      <c r="F92" s="153">
        <f t="shared" si="9"/>
        <v>-0.55000000000000004</v>
      </c>
      <c r="G92" s="153">
        <v>0.65</v>
      </c>
      <c r="H92" s="153">
        <v>28</v>
      </c>
      <c r="I92" s="157">
        <f>(References!T$4)-(References!T$3/2)</f>
        <v>30.45</v>
      </c>
      <c r="J92" s="153">
        <f t="shared" si="6"/>
        <v>14.342499999999999</v>
      </c>
      <c r="K92" s="154">
        <f t="shared" si="7"/>
        <v>2776.8312000000001</v>
      </c>
    </row>
    <row r="93" spans="1:13" ht="15.75" thickBot="1" x14ac:dyDescent="0.3">
      <c r="A93" s="152" t="s">
        <v>62</v>
      </c>
      <c r="B93" s="153" t="s">
        <v>47</v>
      </c>
      <c r="C93" s="156">
        <v>2.7143999999999999</v>
      </c>
      <c r="D93" s="153">
        <f>(References!C45*4)-(References!B45*1)-(References!A45*2)</f>
        <v>68</v>
      </c>
      <c r="E93" s="153">
        <f t="shared" si="8"/>
        <v>13</v>
      </c>
      <c r="F93" s="153">
        <f t="shared" si="9"/>
        <v>2.2200000000000002</v>
      </c>
      <c r="G93" s="153">
        <v>0.65</v>
      </c>
      <c r="H93" s="153">
        <v>28</v>
      </c>
      <c r="I93" s="157">
        <f>(References!T$4)-(References!T$3/2)</f>
        <v>30.45</v>
      </c>
      <c r="J93" s="153">
        <f t="shared" si="6"/>
        <v>8.343</v>
      </c>
      <c r="K93" s="154">
        <f t="shared" si="7"/>
        <v>2399.5295999999998</v>
      </c>
    </row>
    <row r="94" spans="1:13" ht="15.75" thickBot="1" x14ac:dyDescent="0.3">
      <c r="A94" s="152" t="s">
        <v>63</v>
      </c>
      <c r="B94" s="153" t="s">
        <v>48</v>
      </c>
      <c r="C94" s="156">
        <v>2.7143999999999999</v>
      </c>
      <c r="D94" s="153">
        <f>(References!C46*4)-(References!B46*1)-(References!A46*2)</f>
        <v>40.92</v>
      </c>
      <c r="E94" s="153">
        <f t="shared" si="8"/>
        <v>33</v>
      </c>
      <c r="F94" s="153">
        <f t="shared" si="9"/>
        <v>-0.55000000000000004</v>
      </c>
      <c r="G94" s="153">
        <v>0.65</v>
      </c>
      <c r="H94" s="153">
        <v>28</v>
      </c>
      <c r="I94" s="157">
        <f>(References!T$4)-(References!T$3/2)</f>
        <v>30.45</v>
      </c>
      <c r="J94" s="153">
        <f t="shared" si="6"/>
        <v>19.5425</v>
      </c>
      <c r="K94" s="154">
        <f t="shared" si="7"/>
        <v>3665.4171840000004</v>
      </c>
    </row>
    <row r="95" spans="1:13" ht="15.75" thickBot="1" x14ac:dyDescent="0.3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3" ht="15.75" thickBot="1" x14ac:dyDescent="0.3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3" ht="15.75" thickBot="1" x14ac:dyDescent="0.3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3" ht="15.75" thickBot="1" x14ac:dyDescent="0.3">
      <c r="A98" s="152" t="s">
        <v>64</v>
      </c>
      <c r="B98" s="153" t="s">
        <v>48</v>
      </c>
      <c r="C98" s="156">
        <v>2.7143999999999999</v>
      </c>
      <c r="D98" s="153">
        <f>(References!C50*4)-(References!B50*1)-(References!A50*2)</f>
        <v>9.6999999999999993</v>
      </c>
      <c r="E98" s="153">
        <f t="shared" si="8"/>
        <v>33</v>
      </c>
      <c r="F98" s="153">
        <f t="shared" si="9"/>
        <v>-0.55000000000000004</v>
      </c>
      <c r="G98" s="153">
        <v>0.65</v>
      </c>
      <c r="H98" s="153">
        <v>28</v>
      </c>
      <c r="I98" s="157">
        <f>(References!T$4)-(References!T$3/2)</f>
        <v>30.45</v>
      </c>
      <c r="J98" s="153">
        <f t="shared" si="6"/>
        <v>19.5425</v>
      </c>
      <c r="K98" s="154">
        <f t="shared" si="7"/>
        <v>868.87943999999993</v>
      </c>
    </row>
    <row r="99" spans="1:13" ht="15.75" thickBot="1" x14ac:dyDescent="0.3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3" ht="15.75" thickBot="1" x14ac:dyDescent="0.3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  <c r="M100">
        <f>Table2[[#This Row],[A(m^2)]]+0.6*0.6</f>
        <v>8.92</v>
      </c>
    </row>
    <row r="101" spans="1:13" ht="15.75" thickBot="1" x14ac:dyDescent="0.3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3" ht="15.75" thickBot="1" x14ac:dyDescent="0.3">
      <c r="A102" s="163" t="s">
        <v>70</v>
      </c>
      <c r="B102" s="164" t="s">
        <v>48</v>
      </c>
      <c r="C102" s="165">
        <v>2.7143999999999999</v>
      </c>
      <c r="D102" s="164">
        <f>(References!C54*4)-(References!B54*1)-(References!A54*2)</f>
        <v>10.6</v>
      </c>
      <c r="E102" s="164">
        <f t="shared" si="8"/>
        <v>33</v>
      </c>
      <c r="F102" s="164">
        <f t="shared" si="9"/>
        <v>-0.55000000000000004</v>
      </c>
      <c r="G102" s="164">
        <v>0.65</v>
      </c>
      <c r="H102" s="164">
        <v>22.5</v>
      </c>
      <c r="I102" s="166">
        <f>(References!T$4)-(References!T$3/2)</f>
        <v>30.45</v>
      </c>
      <c r="J102" s="164">
        <f t="shared" si="6"/>
        <v>25.0425</v>
      </c>
      <c r="K102" s="167">
        <f t="shared" si="7"/>
        <v>949.49712</v>
      </c>
    </row>
    <row r="103" spans="1:13" ht="15.75" thickBot="1" x14ac:dyDescent="0.3">
      <c r="A103" s="163" t="s">
        <v>70</v>
      </c>
      <c r="B103" s="164" t="s">
        <v>48</v>
      </c>
      <c r="C103" s="165">
        <v>2.7143999999999999</v>
      </c>
      <c r="D103" s="164">
        <f>(References!C55*4)-(References!B55*1)-(References!A55*2)</f>
        <v>10.6</v>
      </c>
      <c r="E103" s="164">
        <f t="shared" si="8"/>
        <v>33</v>
      </c>
      <c r="F103" s="164">
        <f t="shared" si="9"/>
        <v>-0.55000000000000004</v>
      </c>
      <c r="G103" s="164">
        <v>0.65</v>
      </c>
      <c r="H103" s="164">
        <v>22.5</v>
      </c>
      <c r="I103" s="166">
        <f>(References!T$4)-(References!T$3/2)</f>
        <v>30.45</v>
      </c>
      <c r="J103" s="164">
        <f t="shared" si="6"/>
        <v>25.0425</v>
      </c>
      <c r="K103" s="167">
        <f t="shared" si="7"/>
        <v>949.49712</v>
      </c>
    </row>
    <row r="104" spans="1:13" ht="15.75" thickBot="1" x14ac:dyDescent="0.3">
      <c r="A104" s="163" t="s">
        <v>70</v>
      </c>
      <c r="B104" s="164" t="s">
        <v>48</v>
      </c>
      <c r="C104" s="165">
        <v>2.7143999999999999</v>
      </c>
      <c r="D104" s="164">
        <f>(References!C56*4)-(References!B56*1)-(References!A56*2)</f>
        <v>10.6</v>
      </c>
      <c r="E104" s="164">
        <f t="shared" si="8"/>
        <v>33</v>
      </c>
      <c r="F104" s="164">
        <f t="shared" si="9"/>
        <v>-0.55000000000000004</v>
      </c>
      <c r="G104" s="164">
        <v>0.65</v>
      </c>
      <c r="H104" s="164">
        <v>22.5</v>
      </c>
      <c r="I104" s="166">
        <f>(References!T$4)-(References!T$3/2)</f>
        <v>30.45</v>
      </c>
      <c r="J104" s="164">
        <f t="shared" si="6"/>
        <v>25.0425</v>
      </c>
      <c r="K104" s="167">
        <f t="shared" si="7"/>
        <v>949.49712</v>
      </c>
    </row>
    <row r="105" spans="1:13" ht="15.75" thickBot="1" x14ac:dyDescent="0.3">
      <c r="A105" s="163" t="s">
        <v>70</v>
      </c>
      <c r="B105" s="164" t="s">
        <v>48</v>
      </c>
      <c r="C105" s="165">
        <v>2.7143999999999999</v>
      </c>
      <c r="D105" s="164">
        <f>(References!C57*4)-(References!B57*1)-(References!A57*2)</f>
        <v>10.6</v>
      </c>
      <c r="E105" s="164">
        <f t="shared" si="8"/>
        <v>33</v>
      </c>
      <c r="F105" s="164">
        <f t="shared" si="9"/>
        <v>-0.55000000000000004</v>
      </c>
      <c r="G105" s="164">
        <v>0.65</v>
      </c>
      <c r="H105" s="164">
        <v>22.5</v>
      </c>
      <c r="I105" s="166">
        <f>(References!T$4)-(References!T$3/2)</f>
        <v>30.45</v>
      </c>
      <c r="J105" s="164">
        <f t="shared" si="6"/>
        <v>25.0425</v>
      </c>
      <c r="K105" s="167">
        <f t="shared" si="7"/>
        <v>949.49712</v>
      </c>
    </row>
    <row r="106" spans="1:13" ht="15.75" thickBot="1" x14ac:dyDescent="0.3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  <c r="M106">
        <f>Table2[[#This Row],[A(m^2)]]+3.35</f>
        <v>15</v>
      </c>
    </row>
    <row r="107" spans="1:13" ht="15.75" thickBot="1" x14ac:dyDescent="0.3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3" ht="15.75" thickBot="1" x14ac:dyDescent="0.3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3" ht="15.75" thickBot="1" x14ac:dyDescent="0.3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3" ht="15.75" thickBot="1" x14ac:dyDescent="0.3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3" ht="15.75" thickBot="1" x14ac:dyDescent="0.3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  <c r="M111">
        <f>Table2[[#This Row],[A(m^2)]]+2.23</f>
        <v>9.92</v>
      </c>
    </row>
    <row r="112" spans="1:13" ht="15.75" thickBot="1" x14ac:dyDescent="0.3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  <c r="M112">
        <f>Table2[[#This Row],[A(m^2)]]+0.6*0.6</f>
        <v>7.52</v>
      </c>
    </row>
    <row r="113" spans="1:13" ht="15.75" thickBot="1" x14ac:dyDescent="0.3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358.30079999999998</v>
      </c>
    </row>
    <row r="114" spans="1:13" ht="15.75" thickBot="1" x14ac:dyDescent="0.3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  <c r="M114">
        <f>Table2[[#This Row],[A(m^2)]]+2.4</f>
        <v>22.8</v>
      </c>
    </row>
    <row r="115" spans="1:13" ht="15.75" thickBot="1" x14ac:dyDescent="0.3">
      <c r="A115" s="152" t="s">
        <v>79</v>
      </c>
      <c r="B115" s="153" t="s">
        <v>49</v>
      </c>
      <c r="C115" s="156">
        <v>2.7143999999999999</v>
      </c>
      <c r="D115" s="153">
        <f>(References!C67*4)-(References!B67*1)-(References!A67*2)</f>
        <v>19.2</v>
      </c>
      <c r="E115" s="153">
        <f t="shared" si="8"/>
        <v>22</v>
      </c>
      <c r="F115" s="153">
        <f t="shared" si="9"/>
        <v>-3.88</v>
      </c>
      <c r="G115" s="153">
        <v>0.65</v>
      </c>
      <c r="H115" s="153">
        <v>28</v>
      </c>
      <c r="I115" s="157">
        <f>(References!T$4)-(References!T$3/2)</f>
        <v>30.45</v>
      </c>
      <c r="J115" s="153">
        <f t="shared" si="6"/>
        <v>10.228</v>
      </c>
      <c r="K115" s="154">
        <f t="shared" si="7"/>
        <v>1146.5625599999998</v>
      </c>
    </row>
    <row r="116" spans="1:13" ht="15.75" thickBot="1" x14ac:dyDescent="0.3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3" ht="15.75" thickBot="1" x14ac:dyDescent="0.3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  <c r="M117">
        <f>Table2[[#This Row],[A(m^2)]]+1.2*0.6</f>
        <v>12</v>
      </c>
    </row>
    <row r="118" spans="1:13" ht="15.75" thickBot="1" x14ac:dyDescent="0.3">
      <c r="A118" s="152" t="s">
        <v>90</v>
      </c>
      <c r="B118" s="153" t="s">
        <v>49</v>
      </c>
      <c r="C118" s="156">
        <v>2.7143999999999999</v>
      </c>
      <c r="D118" s="153">
        <f>(References!C70*4)-(References!B70*1)-(References!A70*2)</f>
        <v>24</v>
      </c>
      <c r="E118" s="153">
        <f t="shared" si="8"/>
        <v>22</v>
      </c>
      <c r="F118" s="153">
        <f t="shared" si="9"/>
        <v>-3.88</v>
      </c>
      <c r="G118" s="153">
        <v>0.65</v>
      </c>
      <c r="H118" s="153">
        <v>28</v>
      </c>
      <c r="I118" s="157">
        <f>(References!T$4)-(References!T$3/2)</f>
        <v>30.45</v>
      </c>
      <c r="J118" s="153">
        <f t="shared" si="6"/>
        <v>10.228</v>
      </c>
      <c r="K118" s="154">
        <f t="shared" si="7"/>
        <v>1433.2031999999999</v>
      </c>
    </row>
    <row r="119" spans="1:13" ht="15.75" thickBot="1" x14ac:dyDescent="0.3">
      <c r="A119" s="152" t="s">
        <v>80</v>
      </c>
      <c r="B119" s="153" t="s">
        <v>49</v>
      </c>
      <c r="C119" s="156">
        <v>2.7143999999999999</v>
      </c>
      <c r="D119" s="153">
        <f>(References!C71*4)-(References!B71*1)-(References!A71*2)</f>
        <v>48</v>
      </c>
      <c r="E119" s="153">
        <f t="shared" si="8"/>
        <v>22</v>
      </c>
      <c r="F119" s="153">
        <f t="shared" si="9"/>
        <v>-3.88</v>
      </c>
      <c r="G119" s="153">
        <v>0.65</v>
      </c>
      <c r="H119" s="153">
        <v>24</v>
      </c>
      <c r="I119" s="157">
        <f>(References!T$4)-(References!T$3/2)</f>
        <v>30.45</v>
      </c>
      <c r="J119" s="153">
        <f t="shared" si="6"/>
        <v>14.228</v>
      </c>
      <c r="K119" s="154">
        <f t="shared" si="7"/>
        <v>2866.4063999999998</v>
      </c>
    </row>
    <row r="120" spans="1:13" ht="15.75" thickBot="1" x14ac:dyDescent="0.3">
      <c r="A120" s="152" t="s">
        <v>81</v>
      </c>
      <c r="B120" s="153" t="s">
        <v>46</v>
      </c>
      <c r="C120" s="156">
        <v>2.7143999999999999</v>
      </c>
      <c r="D120" s="153">
        <f>(References!C72*4)-(References!B72*1)-(References!A72*2)</f>
        <v>61.6</v>
      </c>
      <c r="E120" s="153">
        <f t="shared" si="8"/>
        <v>25</v>
      </c>
      <c r="F120" s="153">
        <f t="shared" si="9"/>
        <v>-0.55000000000000004</v>
      </c>
      <c r="G120" s="153">
        <v>0.65</v>
      </c>
      <c r="H120" s="153">
        <v>24</v>
      </c>
      <c r="I120" s="157">
        <f>(References!T$4)-(References!T$3/2)</f>
        <v>30.45</v>
      </c>
      <c r="J120" s="153">
        <f t="shared" si="6"/>
        <v>18.342499999999998</v>
      </c>
      <c r="K120" s="154">
        <f t="shared" si="7"/>
        <v>4180.1760000000004</v>
      </c>
    </row>
    <row r="121" spans="1:13" ht="15.75" thickBot="1" x14ac:dyDescent="0.3">
      <c r="A121" s="152" t="s">
        <v>82</v>
      </c>
      <c r="B121" s="153" t="s">
        <v>47</v>
      </c>
      <c r="C121" s="156">
        <v>2.7143999999999999</v>
      </c>
      <c r="D121" s="153">
        <f>(References!C73*4)-(References!B73*1)-(References!A73*2)</f>
        <v>8.8800000000000008</v>
      </c>
      <c r="E121" s="153">
        <f t="shared" si="8"/>
        <v>13</v>
      </c>
      <c r="F121" s="153">
        <f t="shared" si="9"/>
        <v>2.2200000000000002</v>
      </c>
      <c r="G121" s="153">
        <v>0.65</v>
      </c>
      <c r="H121" s="153">
        <v>24</v>
      </c>
      <c r="I121" s="157">
        <f>(References!T$4)-(References!T$3/2)</f>
        <v>30.45</v>
      </c>
      <c r="J121" s="153">
        <f t="shared" si="6"/>
        <v>12.343</v>
      </c>
      <c r="K121" s="154">
        <f t="shared" si="7"/>
        <v>313.35033600000003</v>
      </c>
    </row>
    <row r="122" spans="1:13" ht="15.75" thickBot="1" x14ac:dyDescent="0.3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  <c r="M122">
        <f>Table2[[#This Row],[A(m^2)]]+3.33</f>
        <v>15</v>
      </c>
    </row>
    <row r="123" spans="1:13" ht="15.75" thickBot="1" x14ac:dyDescent="0.3">
      <c r="A123" s="163" t="s">
        <v>70</v>
      </c>
      <c r="B123" s="164" t="s">
        <v>46</v>
      </c>
      <c r="C123" s="165">
        <v>2.7143999999999999</v>
      </c>
      <c r="D123" s="164">
        <f>(References!C75*4)-(References!B75*1)-(References!A75*2)</f>
        <v>10.6</v>
      </c>
      <c r="E123" s="164">
        <f t="shared" si="8"/>
        <v>25</v>
      </c>
      <c r="F123" s="164">
        <f t="shared" si="9"/>
        <v>-0.55000000000000004</v>
      </c>
      <c r="G123" s="164">
        <v>0.65</v>
      </c>
      <c r="H123" s="164">
        <v>22.5</v>
      </c>
      <c r="I123" s="166">
        <f>(References!T$4)-(References!T$3/2)</f>
        <v>30.45</v>
      </c>
      <c r="J123" s="164">
        <f t="shared" si="6"/>
        <v>19.842499999999998</v>
      </c>
      <c r="K123" s="167">
        <f t="shared" si="7"/>
        <v>719.31600000000003</v>
      </c>
    </row>
    <row r="124" spans="1:13" ht="15.75" thickBot="1" x14ac:dyDescent="0.3">
      <c r="A124" s="163" t="s">
        <v>70</v>
      </c>
      <c r="B124" s="164" t="s">
        <v>46</v>
      </c>
      <c r="C124" s="165">
        <v>2.7143999999999999</v>
      </c>
      <c r="D124" s="164">
        <f>(References!C76*4)-(References!B76*1)-(References!A76*2)</f>
        <v>10.6</v>
      </c>
      <c r="E124" s="164">
        <f t="shared" si="8"/>
        <v>25</v>
      </c>
      <c r="F124" s="164">
        <f t="shared" si="9"/>
        <v>-0.55000000000000004</v>
      </c>
      <c r="G124" s="164">
        <v>0.65</v>
      </c>
      <c r="H124" s="164">
        <v>22.5</v>
      </c>
      <c r="I124" s="166">
        <f>(References!T$4)-(References!T$3/2)</f>
        <v>30.45</v>
      </c>
      <c r="J124" s="164">
        <f t="shared" si="6"/>
        <v>19.842499999999998</v>
      </c>
      <c r="K124" s="167">
        <f t="shared" si="7"/>
        <v>719.31600000000003</v>
      </c>
    </row>
    <row r="125" spans="1:13" ht="15.75" thickBot="1" x14ac:dyDescent="0.3">
      <c r="A125" s="163" t="s">
        <v>70</v>
      </c>
      <c r="B125" s="164" t="s">
        <v>46</v>
      </c>
      <c r="C125" s="165">
        <v>2.7143999999999999</v>
      </c>
      <c r="D125" s="164">
        <f>(References!C77*4)-(References!B77*1)-(References!A77*2)</f>
        <v>10.6</v>
      </c>
      <c r="E125" s="164">
        <f t="shared" si="8"/>
        <v>25</v>
      </c>
      <c r="F125" s="164">
        <f t="shared" si="9"/>
        <v>-0.55000000000000004</v>
      </c>
      <c r="G125" s="164">
        <v>0.65</v>
      </c>
      <c r="H125" s="164">
        <v>22.5</v>
      </c>
      <c r="I125" s="166">
        <f>(References!T$4)-(References!T$3/2)</f>
        <v>30.45</v>
      </c>
      <c r="J125" s="164">
        <f t="shared" si="6"/>
        <v>19.842499999999998</v>
      </c>
      <c r="K125" s="167">
        <f t="shared" si="7"/>
        <v>719.31600000000003</v>
      </c>
    </row>
    <row r="126" spans="1:13" ht="15.75" thickBot="1" x14ac:dyDescent="0.3">
      <c r="A126" s="163" t="s">
        <v>70</v>
      </c>
      <c r="B126" s="164" t="s">
        <v>46</v>
      </c>
      <c r="C126" s="165">
        <v>2.7143999999999999</v>
      </c>
      <c r="D126" s="164">
        <f>(References!C78*4)-(References!B78*1)-(References!A78*2)</f>
        <v>10.6</v>
      </c>
      <c r="E126" s="164">
        <f t="shared" si="8"/>
        <v>25</v>
      </c>
      <c r="F126" s="164">
        <f t="shared" si="9"/>
        <v>-0.55000000000000004</v>
      </c>
      <c r="G126" s="164">
        <v>0.65</v>
      </c>
      <c r="H126" s="164">
        <v>22.5</v>
      </c>
      <c r="I126" s="166">
        <f>(References!T$4)-(References!T$3/2)</f>
        <v>30.45</v>
      </c>
      <c r="J126" s="164">
        <f t="shared" si="6"/>
        <v>19.842499999999998</v>
      </c>
      <c r="K126" s="167">
        <f t="shared" si="7"/>
        <v>719.31600000000003</v>
      </c>
    </row>
    <row r="127" spans="1:13" ht="15.75" thickBot="1" x14ac:dyDescent="0.3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3" ht="15.75" thickBot="1" x14ac:dyDescent="0.3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  <c r="M128">
        <f>Table2[[#This Row],[A(m^2)]]+1.4</f>
        <v>14.8</v>
      </c>
    </row>
    <row r="129" spans="1:13" ht="15.75" thickBot="1" x14ac:dyDescent="0.3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  <c r="M129">
        <f>Table2[[#This Row],[A(m^2)]]+0.6*0.6</f>
        <v>9.4</v>
      </c>
    </row>
    <row r="130" spans="1:13" ht="15.75" thickBot="1" x14ac:dyDescent="0.3">
      <c r="A130" s="158" t="s">
        <v>65</v>
      </c>
      <c r="B130" s="159" t="s">
        <v>46</v>
      </c>
      <c r="C130" s="160">
        <v>2.7143999999999999</v>
      </c>
      <c r="D130" s="159">
        <f>(References!C82*4)-(References!B82*1)-(References!A82*2)</f>
        <v>7.4</v>
      </c>
      <c r="E130" s="159">
        <f t="shared" si="8"/>
        <v>25</v>
      </c>
      <c r="F130" s="159">
        <f t="shared" si="9"/>
        <v>-0.55000000000000004</v>
      </c>
      <c r="G130" s="159">
        <v>0.65</v>
      </c>
      <c r="H130" s="159">
        <v>22.5</v>
      </c>
      <c r="I130" s="161">
        <f>(References!T$4)-(References!T$3/2)</f>
        <v>30.45</v>
      </c>
      <c r="J130" s="159">
        <f t="shared" si="6"/>
        <v>19.842499999999998</v>
      </c>
      <c r="K130" s="162">
        <f t="shared" si="7"/>
        <v>502.16399999999999</v>
      </c>
    </row>
    <row r="131" spans="1:13" ht="15.75" thickBot="1" x14ac:dyDescent="0.3">
      <c r="J131" s="41" t="s">
        <v>161</v>
      </c>
      <c r="K131" s="41">
        <f>SUM(Table2[Q(W)])</f>
        <v>48205.328184000005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7"/>
  <sheetViews>
    <sheetView topLeftCell="A142" workbookViewId="0">
      <selection activeCell="F163" sqref="F163"/>
    </sheetView>
  </sheetViews>
  <sheetFormatPr defaultColWidth="9.140625" defaultRowHeight="15" x14ac:dyDescent="0.25"/>
  <cols>
    <col min="1" max="1" width="37" style="87" customWidth="1"/>
    <col min="2" max="5" width="9.140625" style="87"/>
    <col min="6" max="6" width="9.28515625" style="87" customWidth="1"/>
    <col min="7" max="16384" width="9.140625" style="86"/>
  </cols>
  <sheetData>
    <row r="1" spans="1:15" ht="23.25" x14ac:dyDescent="0.25">
      <c r="A1" s="180" t="s">
        <v>535</v>
      </c>
      <c r="B1" s="180"/>
      <c r="C1" s="180"/>
      <c r="D1" s="180"/>
      <c r="E1" s="180"/>
      <c r="F1" s="180"/>
      <c r="G1" s="111"/>
      <c r="H1" s="111"/>
    </row>
    <row r="2" spans="1:15" ht="24" thickBot="1" x14ac:dyDescent="0.4">
      <c r="A2" s="178" t="s">
        <v>160</v>
      </c>
      <c r="B2" s="178"/>
      <c r="C2" s="178"/>
      <c r="D2" s="178"/>
      <c r="E2" s="178"/>
      <c r="F2" s="178"/>
      <c r="G2" s="103"/>
      <c r="H2" s="103"/>
    </row>
    <row r="3" spans="1:15" ht="15.75" thickBot="1" x14ac:dyDescent="0.3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181" t="s">
        <v>539</v>
      </c>
      <c r="K3" s="181"/>
      <c r="L3" s="181"/>
      <c r="M3" s="181"/>
      <c r="N3" s="181"/>
      <c r="O3" s="181"/>
    </row>
    <row r="4" spans="1:15" ht="15.75" thickBot="1" x14ac:dyDescent="0.3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182"/>
      <c r="K4" s="182"/>
      <c r="L4" s="182"/>
      <c r="M4" s="182" t="s">
        <v>430</v>
      </c>
      <c r="N4" s="182"/>
      <c r="O4" s="182"/>
    </row>
    <row r="5" spans="1:15" ht="15.75" thickBot="1" x14ac:dyDescent="0.3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183" t="s">
        <v>160</v>
      </c>
      <c r="K5" s="183"/>
      <c r="L5" s="183"/>
      <c r="M5" s="183">
        <f>F63</f>
        <v>19883.609740799991</v>
      </c>
      <c r="N5" s="183"/>
      <c r="O5" s="183"/>
    </row>
    <row r="6" spans="1:15" ht="15.75" thickBot="1" x14ac:dyDescent="0.3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183" t="s">
        <v>41</v>
      </c>
      <c r="K6" s="183"/>
      <c r="L6" s="183"/>
      <c r="M6" s="183">
        <f>F117</f>
        <v>16958.066184539995</v>
      </c>
      <c r="N6" s="183"/>
      <c r="O6" s="183"/>
    </row>
    <row r="7" spans="1:15" ht="15.75" thickBot="1" x14ac:dyDescent="0.3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183" t="s">
        <v>59</v>
      </c>
      <c r="K7" s="183"/>
      <c r="L7" s="183"/>
      <c r="M7" s="183">
        <f>F167</f>
        <v>22702.400073599994</v>
      </c>
      <c r="N7" s="183"/>
      <c r="O7" s="183"/>
    </row>
    <row r="8" spans="1:15" ht="15.75" thickBot="1" x14ac:dyDescent="0.3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 t="shared" si="0"/>
        <v>134.1690012</v>
      </c>
      <c r="J8" s="184" t="s">
        <v>540</v>
      </c>
      <c r="K8" s="184"/>
      <c r="L8" s="184"/>
      <c r="M8" s="197">
        <f>M5+M6+M7</f>
        <v>59544.075998939981</v>
      </c>
      <c r="N8" s="198"/>
      <c r="O8" s="199"/>
    </row>
    <row r="9" spans="1:15" ht="15.75" thickBot="1" x14ac:dyDescent="0.3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184"/>
      <c r="K9" s="184"/>
      <c r="L9" s="184"/>
      <c r="M9" s="200"/>
      <c r="N9" s="201"/>
      <c r="O9" s="202"/>
    </row>
    <row r="10" spans="1:15" ht="15.75" thickBot="1" x14ac:dyDescent="0.3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ht="15.75" thickBot="1" x14ac:dyDescent="0.3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ht="15.75" thickBot="1" x14ac:dyDescent="0.3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ht="15.75" thickBot="1" x14ac:dyDescent="0.3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ht="15.75" thickBot="1" x14ac:dyDescent="0.3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ht="15.75" thickBot="1" x14ac:dyDescent="0.3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ht="15.75" thickBot="1" x14ac:dyDescent="0.3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6" ht="15.75" thickBot="1" x14ac:dyDescent="0.3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6" ht="15.75" thickBot="1" x14ac:dyDescent="0.3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6" ht="15.75" thickBot="1" x14ac:dyDescent="0.3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6" ht="15.75" thickBot="1" x14ac:dyDescent="0.3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6" ht="15.75" thickBot="1" x14ac:dyDescent="0.3">
      <c r="A21" s="81" t="s">
        <v>254</v>
      </c>
      <c r="B21" s="82">
        <f>13*References!BA21</f>
        <v>1702.5865999999999</v>
      </c>
      <c r="C21" s="82">
        <v>0.75</v>
      </c>
      <c r="D21" s="82">
        <v>1.2</v>
      </c>
      <c r="E21" s="82">
        <v>0.94</v>
      </c>
      <c r="F21" s="113">
        <f t="shared" si="0"/>
        <v>1440.3882635999998</v>
      </c>
    </row>
    <row r="22" spans="1:6" ht="15.75" thickBot="1" x14ac:dyDescent="0.3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6" ht="15.75" thickBot="1" x14ac:dyDescent="0.3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6" ht="15.75" thickBot="1" x14ac:dyDescent="0.3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6" ht="15.75" thickBot="1" x14ac:dyDescent="0.3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6" ht="15.75" thickBot="1" x14ac:dyDescent="0.3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6" ht="15.75" thickBot="1" x14ac:dyDescent="0.3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6" ht="15.75" thickBot="1" x14ac:dyDescent="0.3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6" ht="15.75" thickBot="1" x14ac:dyDescent="0.3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6" ht="15.75" thickBot="1" x14ac:dyDescent="0.3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6" ht="15.75" thickBot="1" x14ac:dyDescent="0.3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6" ht="15.75" thickBot="1" x14ac:dyDescent="0.3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6" ht="15.75" thickBot="1" x14ac:dyDescent="0.3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6" ht="15.75" thickBot="1" x14ac:dyDescent="0.3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6" ht="15.75" thickBot="1" x14ac:dyDescent="0.3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6" ht="15.75" thickBot="1" x14ac:dyDescent="0.3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6" ht="15.75" thickBot="1" x14ac:dyDescent="0.3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6" ht="15.75" thickBot="1" x14ac:dyDescent="0.3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6" ht="15.75" thickBot="1" x14ac:dyDescent="0.3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6" ht="15.75" thickBot="1" x14ac:dyDescent="0.3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6" ht="15.75" thickBot="1" x14ac:dyDescent="0.3">
      <c r="A41" s="115" t="s">
        <v>507</v>
      </c>
      <c r="B41" s="82">
        <f>13*References!BA41</f>
        <v>8530.3269999999993</v>
      </c>
      <c r="C41" s="82">
        <v>1</v>
      </c>
      <c r="D41" s="82">
        <v>1.2</v>
      </c>
      <c r="E41" s="82">
        <v>0.94</v>
      </c>
      <c r="F41" s="113">
        <f t="shared" si="0"/>
        <v>9622.2088559999975</v>
      </c>
    </row>
    <row r="42" spans="1:6" ht="15.75" thickBot="1" x14ac:dyDescent="0.3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6" ht="15.75" thickBot="1" x14ac:dyDescent="0.3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6" ht="15.75" thickBot="1" x14ac:dyDescent="0.3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</row>
    <row r="45" spans="1:6" ht="15.75" thickBot="1" x14ac:dyDescent="0.3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6" ht="15.75" thickBot="1" x14ac:dyDescent="0.3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6" ht="15.75" thickBot="1" x14ac:dyDescent="0.3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6" ht="15.75" thickBot="1" x14ac:dyDescent="0.3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</row>
    <row r="49" spans="1:6" ht="15.75" thickBot="1" x14ac:dyDescent="0.3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6" ht="15.75" thickBot="1" x14ac:dyDescent="0.3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6" ht="15.75" thickBot="1" x14ac:dyDescent="0.3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6" ht="15.75" thickBot="1" x14ac:dyDescent="0.3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6" ht="15.75" thickBot="1" x14ac:dyDescent="0.3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6" ht="15.75" thickBot="1" x14ac:dyDescent="0.3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</row>
    <row r="55" spans="1:6" ht="15.75" thickBot="1" x14ac:dyDescent="0.3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6" ht="15.75" thickBot="1" x14ac:dyDescent="0.3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6" ht="15.75" thickBot="1" x14ac:dyDescent="0.3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6" ht="15.75" thickBot="1" x14ac:dyDescent="0.3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6" ht="15.75" thickBot="1" x14ac:dyDescent="0.3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6" ht="15.75" thickBot="1" x14ac:dyDescent="0.3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6" ht="15.75" thickBot="1" x14ac:dyDescent="0.3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6" ht="15.75" thickBot="1" x14ac:dyDescent="0.3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6" ht="15.75" thickBot="1" x14ac:dyDescent="0.3">
      <c r="E63" s="129" t="s">
        <v>333</v>
      </c>
      <c r="F63" s="129">
        <f>SUM(Table23[Qs (W)])</f>
        <v>19883.609740799991</v>
      </c>
    </row>
    <row r="65" spans="1:8" ht="24" thickBot="1" x14ac:dyDescent="0.4">
      <c r="A65" s="178" t="s">
        <v>41</v>
      </c>
      <c r="B65" s="178"/>
      <c r="C65" s="178"/>
      <c r="D65" s="178"/>
      <c r="E65" s="178"/>
      <c r="F65" s="178"/>
      <c r="G65" s="103"/>
      <c r="H65" s="103"/>
    </row>
    <row r="66" spans="1:8" ht="15.75" thickBot="1" x14ac:dyDescent="0.3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ht="15.75" thickBot="1" x14ac:dyDescent="0.3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ht="15.75" thickBot="1" x14ac:dyDescent="0.3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ht="15.75" thickBot="1" x14ac:dyDescent="0.3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ht="15.75" thickBot="1" x14ac:dyDescent="0.3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ht="15.75" thickBot="1" x14ac:dyDescent="0.3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ht="15.75" thickBot="1" x14ac:dyDescent="0.3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.75" thickBot="1" x14ac:dyDescent="0.3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.75" thickBot="1" x14ac:dyDescent="0.3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.75" thickBot="1" x14ac:dyDescent="0.3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.75" thickBot="1" x14ac:dyDescent="0.3">
      <c r="A76" s="81" t="s">
        <v>175</v>
      </c>
      <c r="B76" s="82">
        <f>13*References!BB13</f>
        <v>296.77699999999999</v>
      </c>
      <c r="C76" s="82">
        <v>0.75</v>
      </c>
      <c r="D76" s="82">
        <v>1.2</v>
      </c>
      <c r="E76" s="82">
        <v>0.94</v>
      </c>
      <c r="F76" s="113">
        <f t="shared" si="1"/>
        <v>251.07334199999997</v>
      </c>
    </row>
    <row r="77" spans="1:8" ht="15.75" thickBot="1" x14ac:dyDescent="0.3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.75" thickBot="1" x14ac:dyDescent="0.3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.75" thickBot="1" x14ac:dyDescent="0.3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.75" thickBot="1" x14ac:dyDescent="0.3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6" ht="15.75" thickBot="1" x14ac:dyDescent="0.3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6" ht="15.75" thickBot="1" x14ac:dyDescent="0.3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6" ht="15.75" thickBot="1" x14ac:dyDescent="0.3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6" ht="15.75" thickBot="1" x14ac:dyDescent="0.3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6" ht="15.75" thickBot="1" x14ac:dyDescent="0.3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6" ht="15.75" thickBot="1" x14ac:dyDescent="0.3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6" ht="15.75" thickBot="1" x14ac:dyDescent="0.3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6" ht="15.75" thickBot="1" x14ac:dyDescent="0.3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6" ht="15.75" thickBot="1" x14ac:dyDescent="0.3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6" ht="15.75" thickBot="1" x14ac:dyDescent="0.3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6" ht="15.75" thickBot="1" x14ac:dyDescent="0.3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6" ht="15.75" thickBot="1" x14ac:dyDescent="0.3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6" ht="15.75" thickBot="1" x14ac:dyDescent="0.3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6" ht="15.75" thickBot="1" x14ac:dyDescent="0.3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</row>
    <row r="95" spans="1:6" ht="15.75" thickBot="1" x14ac:dyDescent="0.3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6" ht="15.75" thickBot="1" x14ac:dyDescent="0.3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.75" thickBot="1" x14ac:dyDescent="0.3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.75" thickBot="1" x14ac:dyDescent="0.3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.75" thickBot="1" x14ac:dyDescent="0.3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.75" thickBot="1" x14ac:dyDescent="0.3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.75" thickBot="1" x14ac:dyDescent="0.3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.75" thickBot="1" x14ac:dyDescent="0.3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3"/>
    </row>
    <row r="103" spans="1:11" ht="15.75" thickBot="1" x14ac:dyDescent="0.3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.75" thickBot="1" x14ac:dyDescent="0.3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.75" thickBot="1" x14ac:dyDescent="0.3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.75" thickBot="1" x14ac:dyDescent="0.3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.75" thickBot="1" x14ac:dyDescent="0.3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.75" thickBot="1" x14ac:dyDescent="0.3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.75" thickBot="1" x14ac:dyDescent="0.3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.75" thickBot="1" x14ac:dyDescent="0.3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.75" thickBot="1" x14ac:dyDescent="0.3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.75" thickBot="1" x14ac:dyDescent="0.3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10" ht="15.75" thickBot="1" x14ac:dyDescent="0.3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10" ht="15.75" thickBot="1" x14ac:dyDescent="0.3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10" ht="15.75" thickBot="1" x14ac:dyDescent="0.3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10" ht="15.75" thickBot="1" x14ac:dyDescent="0.3">
      <c r="A116" s="97" t="s">
        <v>64</v>
      </c>
      <c r="B116" s="84">
        <f>13*References!BB53</f>
        <v>8903.9174899999998</v>
      </c>
      <c r="C116" s="84">
        <v>0.75</v>
      </c>
      <c r="D116" s="84">
        <v>1.2</v>
      </c>
      <c r="E116" s="84">
        <v>0.94</v>
      </c>
      <c r="F116" s="114">
        <f>B116*C116*D116*E116</f>
        <v>7532.7141965399987</v>
      </c>
    </row>
    <row r="117" spans="1:10" ht="15.75" thickBot="1" x14ac:dyDescent="0.3">
      <c r="E117" s="129" t="s">
        <v>333</v>
      </c>
      <c r="F117" s="129">
        <f>SUM(Table24[Qs (W)])</f>
        <v>16958.066184539995</v>
      </c>
    </row>
    <row r="119" spans="1:10" ht="23.25" x14ac:dyDescent="0.35">
      <c r="A119" s="179" t="s">
        <v>59</v>
      </c>
      <c r="B119" s="179"/>
      <c r="C119" s="179"/>
      <c r="D119" s="179"/>
      <c r="E119" s="179"/>
      <c r="F119" s="179"/>
      <c r="G119" s="106"/>
      <c r="H119" s="106"/>
    </row>
    <row r="120" spans="1:10" ht="15.75" thickBot="1" x14ac:dyDescent="0.3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10" ht="15.75" thickBot="1" x14ac:dyDescent="0.3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10" ht="15.75" thickBot="1" x14ac:dyDescent="0.3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10" ht="15.75" thickBot="1" x14ac:dyDescent="0.3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  <c r="J123" s="86">
        <f>SUM(F133,F134,F155,F158,F157)</f>
        <v>2460.2482008000002</v>
      </c>
    </row>
    <row r="124" spans="1:10" ht="15.75" thickBot="1" x14ac:dyDescent="0.3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  <c r="J124" s="86">
        <f>SUM(F123,F124,F152,F153,F156,F159,F164)</f>
        <v>13863.850041599999</v>
      </c>
    </row>
    <row r="125" spans="1:10" ht="15.75" thickBot="1" x14ac:dyDescent="0.3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10" ht="15.75" thickBot="1" x14ac:dyDescent="0.3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10" ht="15.75" thickBot="1" x14ac:dyDescent="0.3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10" ht="15.75" thickBot="1" x14ac:dyDescent="0.3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.75" thickBot="1" x14ac:dyDescent="0.3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.75" thickBot="1" x14ac:dyDescent="0.3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.75" thickBot="1" x14ac:dyDescent="0.3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.75" thickBot="1" x14ac:dyDescent="0.3">
      <c r="A132" s="81" t="s">
        <v>175</v>
      </c>
      <c r="B132" s="82">
        <f>13*References!BC15</f>
        <v>296.77699999999999</v>
      </c>
      <c r="C132" s="82">
        <v>0.75</v>
      </c>
      <c r="D132" s="82">
        <v>1.2</v>
      </c>
      <c r="E132" s="82">
        <v>0.94</v>
      </c>
      <c r="F132" s="113">
        <f t="shared" si="2"/>
        <v>251.07334199999997</v>
      </c>
    </row>
    <row r="133" spans="1:6" ht="15.75" thickBot="1" x14ac:dyDescent="0.3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.75" thickBot="1" x14ac:dyDescent="0.3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.75" thickBot="1" x14ac:dyDescent="0.3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.75" thickBot="1" x14ac:dyDescent="0.3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.75" thickBot="1" x14ac:dyDescent="0.3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.75" thickBot="1" x14ac:dyDescent="0.3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.75" thickBot="1" x14ac:dyDescent="0.3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.75" thickBot="1" x14ac:dyDescent="0.3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.75" thickBot="1" x14ac:dyDescent="0.3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.75" thickBot="1" x14ac:dyDescent="0.3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.75" thickBot="1" x14ac:dyDescent="0.3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.75" thickBot="1" x14ac:dyDescent="0.3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6" ht="15.75" thickBot="1" x14ac:dyDescent="0.3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6" ht="15.75" thickBot="1" x14ac:dyDescent="0.3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6" ht="15.75" thickBot="1" x14ac:dyDescent="0.3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6" ht="15.75" thickBot="1" x14ac:dyDescent="0.3">
      <c r="A148" s="81" t="s">
        <v>308</v>
      </c>
      <c r="B148" s="82">
        <f>13*References!BC31</f>
        <v>305.27769999999998</v>
      </c>
      <c r="C148" s="82">
        <v>0.75</v>
      </c>
      <c r="D148" s="82">
        <v>1.2</v>
      </c>
      <c r="E148" s="82">
        <v>0.94</v>
      </c>
      <c r="F148" s="113">
        <f t="shared" si="2"/>
        <v>258.26493419999991</v>
      </c>
    </row>
    <row r="149" spans="1:6" ht="15.75" thickBot="1" x14ac:dyDescent="0.3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6" ht="15.75" thickBot="1" x14ac:dyDescent="0.3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6" ht="15.75" thickBot="1" x14ac:dyDescent="0.3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6" ht="15.75" thickBot="1" x14ac:dyDescent="0.3">
      <c r="A152" s="81" t="s">
        <v>312</v>
      </c>
      <c r="B152" s="82">
        <f>13*References!BC35</f>
        <v>144.1336</v>
      </c>
      <c r="C152" s="82">
        <v>1</v>
      </c>
      <c r="D152" s="82">
        <v>1.2</v>
      </c>
      <c r="E152" s="82">
        <v>0.94</v>
      </c>
      <c r="F152" s="113">
        <f t="shared" si="2"/>
        <v>162.5827008</v>
      </c>
    </row>
    <row r="153" spans="1:6" ht="15.75" thickBot="1" x14ac:dyDescent="0.3">
      <c r="A153" s="81" t="s">
        <v>313</v>
      </c>
      <c r="B153" s="82">
        <f>13*References!BC36</f>
        <v>107.575</v>
      </c>
      <c r="C153" s="82">
        <v>1</v>
      </c>
      <c r="D153" s="82">
        <v>1.2</v>
      </c>
      <c r="E153" s="82">
        <v>0.94</v>
      </c>
      <c r="F153" s="113">
        <f t="shared" si="2"/>
        <v>121.3446</v>
      </c>
    </row>
    <row r="154" spans="1:6" ht="15.75" thickBot="1" x14ac:dyDescent="0.3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6" ht="15.75" thickBot="1" x14ac:dyDescent="0.3">
      <c r="A155" s="81" t="s">
        <v>509</v>
      </c>
      <c r="B155" s="82">
        <f>13*References!BC38</f>
        <v>2391.2694000000001</v>
      </c>
      <c r="C155" s="82">
        <v>0.75</v>
      </c>
      <c r="D155" s="82">
        <v>1.2</v>
      </c>
      <c r="E155" s="82">
        <v>0.94</v>
      </c>
      <c r="F155" s="113">
        <f t="shared" si="2"/>
        <v>2023.0139124</v>
      </c>
    </row>
    <row r="156" spans="1:6" ht="15.75" thickBot="1" x14ac:dyDescent="0.3">
      <c r="A156" s="81" t="s">
        <v>316</v>
      </c>
      <c r="B156" s="82">
        <f>13*References!BC39</f>
        <v>765.18130000000008</v>
      </c>
      <c r="C156" s="82">
        <v>1</v>
      </c>
      <c r="D156" s="82">
        <v>1.2</v>
      </c>
      <c r="E156" s="82">
        <v>0.94</v>
      </c>
      <c r="F156" s="113">
        <f t="shared" si="2"/>
        <v>863.12450639999997</v>
      </c>
    </row>
    <row r="157" spans="1:6" ht="15.75" thickBot="1" x14ac:dyDescent="0.3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6" ht="15.75" thickBot="1" x14ac:dyDescent="0.3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6" ht="15.75" thickBot="1" x14ac:dyDescent="0.3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6" ht="15.75" thickBot="1" x14ac:dyDescent="0.3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</row>
    <row r="161" spans="1:6" ht="15.75" thickBot="1" x14ac:dyDescent="0.3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.75" thickBot="1" x14ac:dyDescent="0.3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.75" thickBot="1" x14ac:dyDescent="0.3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.75" thickBot="1" x14ac:dyDescent="0.3">
      <c r="A164" s="83" t="s">
        <v>510</v>
      </c>
      <c r="B164" s="82">
        <f>13*References!BC47</f>
        <v>10504.1001</v>
      </c>
      <c r="C164" s="84">
        <v>1</v>
      </c>
      <c r="D164" s="84">
        <v>1.2</v>
      </c>
      <c r="E164" s="84">
        <v>0.94</v>
      </c>
      <c r="F164" s="114">
        <f t="shared" si="2"/>
        <v>11848.624912799998</v>
      </c>
    </row>
    <row r="165" spans="1:6" s="149" customFormat="1" ht="15.75" thickBot="1" x14ac:dyDescent="0.3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9" customFormat="1" ht="15.75" thickBot="1" x14ac:dyDescent="0.3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.75" thickBot="1" x14ac:dyDescent="0.3">
      <c r="E167" s="129" t="s">
        <v>333</v>
      </c>
      <c r="F167" s="129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dimension ref="A1:H14"/>
  <sheetViews>
    <sheetView workbookViewId="0">
      <selection activeCell="D13" sqref="D13"/>
    </sheetView>
  </sheetViews>
  <sheetFormatPr defaultRowHeight="15" x14ac:dyDescent="0.25"/>
  <cols>
    <col min="1" max="1" width="33.140625" customWidth="1"/>
    <col min="2" max="4" width="15.85546875" customWidth="1"/>
  </cols>
  <sheetData>
    <row r="1" spans="1:8" s="119" customFormat="1" ht="39" customHeight="1" thickBot="1" x14ac:dyDescent="0.4">
      <c r="A1" s="206" t="s">
        <v>547</v>
      </c>
      <c r="B1" s="206"/>
      <c r="C1" s="206"/>
      <c r="D1" s="206"/>
      <c r="E1" s="103"/>
      <c r="F1" s="103"/>
      <c r="G1" s="103"/>
      <c r="H1" s="103"/>
    </row>
    <row r="2" spans="1:8" ht="35.25" customHeight="1" thickBot="1" x14ac:dyDescent="0.3">
      <c r="A2" s="141"/>
      <c r="B2" s="142" t="s">
        <v>548</v>
      </c>
      <c r="C2" s="142" t="s">
        <v>549</v>
      </c>
      <c r="D2" s="142" t="s">
        <v>550</v>
      </c>
    </row>
    <row r="3" spans="1:8" ht="26.25" customHeight="1" thickBot="1" x14ac:dyDescent="0.3">
      <c r="A3" s="143" t="s">
        <v>537</v>
      </c>
      <c r="B3" s="82">
        <f>'EXTERNAL WALL LOAD'!Q8</f>
        <v>118797.28045801198</v>
      </c>
      <c r="C3" s="82">
        <v>0</v>
      </c>
      <c r="D3" s="82">
        <f t="shared" ref="D3:D9" si="0">B3+C3</f>
        <v>118797.28045801198</v>
      </c>
    </row>
    <row r="4" spans="1:8" ht="26.25" customHeight="1" thickBot="1" x14ac:dyDescent="0.3">
      <c r="A4" s="143" t="s">
        <v>11</v>
      </c>
      <c r="B4" s="82">
        <f>'GLASS LOAD'!R8</f>
        <v>38633.611499999999</v>
      </c>
      <c r="C4" s="82">
        <f>'GLASS LOAD'!S8</f>
        <v>5763.8469070000001</v>
      </c>
      <c r="D4" s="82">
        <f t="shared" si="0"/>
        <v>44397.458406999998</v>
      </c>
    </row>
    <row r="5" spans="1:8" ht="26.25" customHeight="1" thickBot="1" x14ac:dyDescent="0.3">
      <c r="A5" s="143" t="s">
        <v>18</v>
      </c>
      <c r="B5" s="82">
        <f>'INFILTRATION LOAD'!O8</f>
        <v>17243.796313248808</v>
      </c>
      <c r="C5" s="82">
        <f>'INFILTRATION LOAD'!P8</f>
        <v>36486.734712379381</v>
      </c>
      <c r="D5" s="82">
        <f t="shared" si="0"/>
        <v>53730.531025628188</v>
      </c>
    </row>
    <row r="6" spans="1:8" ht="26.25" customHeight="1" thickBot="1" x14ac:dyDescent="0.3">
      <c r="A6" s="143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">
      <c r="A7" s="143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">
      <c r="A8" s="143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">
      <c r="A9" s="143" t="s">
        <v>504</v>
      </c>
      <c r="B9" s="82">
        <f>'VENTILATION LOAD'!R8</f>
        <v>43056.86</v>
      </c>
      <c r="C9" s="82">
        <f>'VENTILATION LOAD'!S8</f>
        <v>84586.526595000032</v>
      </c>
      <c r="D9" s="82">
        <f t="shared" si="0"/>
        <v>127643.38659500003</v>
      </c>
    </row>
    <row r="10" spans="1:8" ht="26.25" customHeight="1" thickBot="1" x14ac:dyDescent="0.3">
      <c r="A10" s="143" t="s">
        <v>503</v>
      </c>
      <c r="B10" s="82">
        <f>'OCCUPANT LOAD'!Q8</f>
        <v>19716.98</v>
      </c>
      <c r="C10" s="82">
        <f>'OCCUPANT LOAD'!R8</f>
        <v>10453.359999999999</v>
      </c>
      <c r="D10" s="82">
        <f t="shared" ref="D10:D12" si="1">B10+C10</f>
        <v>30170.339999999997</v>
      </c>
    </row>
    <row r="11" spans="1:8" ht="26.25" customHeight="1" thickBot="1" x14ac:dyDescent="0.3">
      <c r="A11" s="143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">
      <c r="A12" s="143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">
      <c r="A13" s="144" t="s">
        <v>540</v>
      </c>
      <c r="B13" s="145">
        <f>SUM(B3:B12)</f>
        <v>400441.83550221182</v>
      </c>
      <c r="C13" s="145">
        <f>SUM(C3:C12)</f>
        <v>142906.45221437939</v>
      </c>
      <c r="D13" s="146">
        <f>B13+C13</f>
        <v>543348.28771659127</v>
      </c>
    </row>
    <row r="14" spans="1:8" x14ac:dyDescent="0.25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BC106"/>
  <sheetViews>
    <sheetView topLeftCell="T13" zoomScale="70" zoomScaleNormal="70" workbookViewId="0">
      <selection activeCell="AT46" sqref="AT46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55" x14ac:dyDescent="0.25">
      <c r="A1" t="s">
        <v>94</v>
      </c>
      <c r="J1" t="s">
        <v>99</v>
      </c>
      <c r="L1">
        <v>2.8721999999999999</v>
      </c>
    </row>
    <row r="2" spans="1:55" x14ac:dyDescent="0.25">
      <c r="A2" t="s">
        <v>95</v>
      </c>
      <c r="J2" t="s">
        <v>100</v>
      </c>
      <c r="L2">
        <v>2.8210999999999999</v>
      </c>
      <c r="S2" s="5" t="s">
        <v>43</v>
      </c>
      <c r="T2" s="3"/>
      <c r="Y2" s="190" t="s">
        <v>297</v>
      </c>
      <c r="Z2" s="190"/>
      <c r="AB2" t="s">
        <v>298</v>
      </c>
      <c r="AD2" s="190" t="s">
        <v>318</v>
      </c>
      <c r="AE2" s="190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25">
      <c r="A3" s="190" t="s">
        <v>96</v>
      </c>
      <c r="B3" s="190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6" t="s">
        <v>53</v>
      </c>
      <c r="BB3" s="116" t="s">
        <v>53</v>
      </c>
      <c r="BC3" s="116" t="s">
        <v>53</v>
      </c>
    </row>
    <row r="4" spans="1:55" x14ac:dyDescent="0.25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7">
        <v>37.438600000000001</v>
      </c>
      <c r="BB4" s="117">
        <v>34.276899999999998</v>
      </c>
      <c r="BC4" s="117">
        <v>34.276899999999998</v>
      </c>
    </row>
    <row r="5" spans="1:55" x14ac:dyDescent="0.25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7">
        <v>9.6511999999999993</v>
      </c>
      <c r="BB5" s="117">
        <v>34.26</v>
      </c>
      <c r="BC5" s="117">
        <v>34.26</v>
      </c>
    </row>
    <row r="6" spans="1:55" x14ac:dyDescent="0.25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7">
        <v>7.8174999999999999</v>
      </c>
      <c r="BB6" s="117">
        <v>34.29</v>
      </c>
      <c r="BC6" s="117">
        <v>37.408700000000003</v>
      </c>
    </row>
    <row r="7" spans="1:55" x14ac:dyDescent="0.25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7">
        <v>16.3095</v>
      </c>
      <c r="BB7" s="117">
        <v>34.1175</v>
      </c>
      <c r="BC7" s="117">
        <v>37.408700000000003</v>
      </c>
    </row>
    <row r="8" spans="1:55" x14ac:dyDescent="0.25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7">
        <v>18.299099999999999</v>
      </c>
      <c r="BB8" s="117">
        <v>13.6738</v>
      </c>
      <c r="BC8" s="117">
        <v>34.26</v>
      </c>
    </row>
    <row r="9" spans="1:55" x14ac:dyDescent="0.25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7">
        <v>18.346399999999999</v>
      </c>
      <c r="BB9" s="117">
        <v>13.9206</v>
      </c>
      <c r="BC9" s="117">
        <v>34.26</v>
      </c>
    </row>
    <row r="10" spans="1:55" x14ac:dyDescent="0.25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7">
        <v>23.3886</v>
      </c>
      <c r="BB10" s="117">
        <v>13.875400000000001</v>
      </c>
      <c r="BC10" s="117">
        <v>10.1393</v>
      </c>
    </row>
    <row r="11" spans="1:55" x14ac:dyDescent="0.25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7">
        <v>5.61</v>
      </c>
      <c r="BB11" s="117">
        <v>30.712</v>
      </c>
      <c r="BC11" s="117">
        <v>13.9222</v>
      </c>
    </row>
    <row r="12" spans="1:55" x14ac:dyDescent="0.25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7">
        <v>42.192500000000003</v>
      </c>
      <c r="BB12" s="117">
        <v>17.941299999999998</v>
      </c>
      <c r="BC12" s="117">
        <v>13.873799999999999</v>
      </c>
    </row>
    <row r="13" spans="1:55" x14ac:dyDescent="0.25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9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7">
        <v>19.637799999999999</v>
      </c>
      <c r="BB13" s="117">
        <v>22.829000000000001</v>
      </c>
      <c r="BC13" s="117">
        <v>30.712</v>
      </c>
    </row>
    <row r="14" spans="1:55" x14ac:dyDescent="0.25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7">
        <v>31.289300000000001</v>
      </c>
      <c r="BB14" s="117">
        <v>4.7869000000000002</v>
      </c>
      <c r="BC14" s="117">
        <v>17.941299999999998</v>
      </c>
    </row>
    <row r="15" spans="1:55" x14ac:dyDescent="0.25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7">
        <v>3.9771999999999998</v>
      </c>
      <c r="BB15" s="117">
        <v>2.4581</v>
      </c>
      <c r="BC15" s="117">
        <v>22.829000000000001</v>
      </c>
    </row>
    <row r="16" spans="1:55" x14ac:dyDescent="0.25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7">
        <v>20.748699999999999</v>
      </c>
      <c r="BB16" s="117">
        <v>13.8735</v>
      </c>
      <c r="BC16" s="117">
        <v>4.7869000000000002</v>
      </c>
    </row>
    <row r="17" spans="1:55" x14ac:dyDescent="0.25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9">
        <f>3.7*4</f>
        <v>14.8</v>
      </c>
      <c r="AO17">
        <v>0</v>
      </c>
      <c r="AP17">
        <v>1.4</v>
      </c>
      <c r="AQ17" s="119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7">
        <v>17.9512</v>
      </c>
      <c r="BB17" s="117">
        <v>13.892799999999999</v>
      </c>
      <c r="BC17" s="117">
        <v>2.4581</v>
      </c>
    </row>
    <row r="18" spans="1:55" x14ac:dyDescent="0.25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7">
        <v>18.630800000000001</v>
      </c>
      <c r="BB18" s="117">
        <v>13.7066</v>
      </c>
      <c r="BC18" s="117">
        <v>13.8735</v>
      </c>
    </row>
    <row r="19" spans="1:55" x14ac:dyDescent="0.25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7">
        <v>17.137799999999999</v>
      </c>
      <c r="BB19" s="117">
        <v>11.052199999999999</v>
      </c>
      <c r="BC19" s="117">
        <v>13.892799999999999</v>
      </c>
    </row>
    <row r="20" spans="1:55" x14ac:dyDescent="0.25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7">
        <v>11.606199999999999</v>
      </c>
      <c r="BB20" s="117">
        <v>13.6813</v>
      </c>
      <c r="BC20" s="117">
        <v>10.1716</v>
      </c>
    </row>
    <row r="21" spans="1:55" x14ac:dyDescent="0.25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7">
        <v>130.9682</v>
      </c>
      <c r="BB21" s="117">
        <v>18.7319</v>
      </c>
      <c r="BC21" s="117">
        <v>15.8619</v>
      </c>
    </row>
    <row r="22" spans="1:55" x14ac:dyDescent="0.25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7">
        <v>32.86</v>
      </c>
      <c r="BB22" s="117">
        <v>25.372</v>
      </c>
      <c r="BC22" s="117">
        <v>15.8619</v>
      </c>
    </row>
    <row r="23" spans="1:55" x14ac:dyDescent="0.25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7">
        <v>12.6775</v>
      </c>
      <c r="BB23" s="117">
        <v>25.48</v>
      </c>
      <c r="BC23" s="117">
        <v>24.783000000000001</v>
      </c>
    </row>
    <row r="24" spans="1:55" x14ac:dyDescent="0.25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7">
        <v>14.3811</v>
      </c>
      <c r="BB24" s="117">
        <v>13.751200000000001</v>
      </c>
      <c r="BC24" s="117">
        <v>24.890899999999998</v>
      </c>
    </row>
    <row r="25" spans="1:55" x14ac:dyDescent="0.25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7">
        <v>14.3811</v>
      </c>
      <c r="BB25" s="117">
        <v>38.453699999999998</v>
      </c>
      <c r="BC25" s="117">
        <v>13.6813</v>
      </c>
    </row>
    <row r="26" spans="1:55" x14ac:dyDescent="0.25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7">
        <v>14.435600000000001</v>
      </c>
      <c r="BB26" s="117">
        <v>25.372</v>
      </c>
      <c r="BC26" s="117">
        <v>13.751200000000001</v>
      </c>
    </row>
    <row r="27" spans="1:55" x14ac:dyDescent="0.25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7">
        <v>14.435600000000001</v>
      </c>
      <c r="BB27" s="117">
        <v>25.48</v>
      </c>
      <c r="BC27" s="117">
        <v>16.011199999999999</v>
      </c>
    </row>
    <row r="28" spans="1:55" x14ac:dyDescent="0.25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7">
        <v>5.4874999999999998</v>
      </c>
      <c r="BB28" s="117">
        <v>13.751200000000001</v>
      </c>
      <c r="BC28" s="117">
        <v>16.011199999999999</v>
      </c>
    </row>
    <row r="29" spans="1:55" x14ac:dyDescent="0.25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7">
        <v>5.51</v>
      </c>
      <c r="BB29" s="117">
        <v>13.751200000000001</v>
      </c>
      <c r="BC29" s="117">
        <v>13.751200000000001</v>
      </c>
    </row>
    <row r="30" spans="1:55" x14ac:dyDescent="0.25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7">
        <v>5.6363000000000003</v>
      </c>
      <c r="BB30" s="117">
        <v>21.361599999999999</v>
      </c>
      <c r="BC30" s="117">
        <v>13.751200000000001</v>
      </c>
    </row>
    <row r="31" spans="1:55" x14ac:dyDescent="0.25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7">
        <v>5.5202999999999998</v>
      </c>
      <c r="BB31" s="117">
        <v>31.438800000000001</v>
      </c>
      <c r="BC31" s="117">
        <v>23.482900000000001</v>
      </c>
    </row>
    <row r="32" spans="1:55" x14ac:dyDescent="0.25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7">
        <v>9.1492000000000004</v>
      </c>
      <c r="BB32" s="117">
        <v>34.986199999999997</v>
      </c>
      <c r="BC32" s="117">
        <v>10.757199999999999</v>
      </c>
    </row>
    <row r="33" spans="1:55" x14ac:dyDescent="0.25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7">
        <v>4.9522000000000004</v>
      </c>
      <c r="BB33" s="117">
        <v>5.4111000000000002</v>
      </c>
      <c r="BC33" s="117">
        <v>11.315</v>
      </c>
    </row>
    <row r="34" spans="1:55" x14ac:dyDescent="0.25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7">
        <v>25.253799999999998</v>
      </c>
      <c r="BB34" s="117">
        <v>25.7486</v>
      </c>
      <c r="BC34" s="117">
        <v>13.308299999999999</v>
      </c>
    </row>
    <row r="35" spans="1:55" x14ac:dyDescent="0.25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7">
        <v>14.3811</v>
      </c>
      <c r="BB35" s="117">
        <v>16.799399999999999</v>
      </c>
      <c r="BC35" s="117">
        <v>11.087199999999999</v>
      </c>
    </row>
    <row r="36" spans="1:55" x14ac:dyDescent="0.25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7">
        <v>14.3811</v>
      </c>
      <c r="BB36" s="117">
        <v>16.799900000000001</v>
      </c>
      <c r="BC36" s="117">
        <v>8.2750000000000004</v>
      </c>
    </row>
    <row r="37" spans="1:55" x14ac:dyDescent="0.25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7">
        <v>10.417999999999999</v>
      </c>
      <c r="BB37" s="117">
        <v>10.2258</v>
      </c>
      <c r="BC37" s="117">
        <v>13.467499999999999</v>
      </c>
    </row>
    <row r="38" spans="1:55" x14ac:dyDescent="0.25">
      <c r="A38" s="190" t="s">
        <v>98</v>
      </c>
      <c r="B38" s="190"/>
      <c r="C38" s="190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7">
        <v>9.9804999999999993</v>
      </c>
      <c r="BB38" s="117">
        <v>19.000699999999998</v>
      </c>
      <c r="BC38" s="117">
        <v>183.94380000000001</v>
      </c>
    </row>
    <row r="39" spans="1:55" x14ac:dyDescent="0.25">
      <c r="A39" s="190" t="s">
        <v>97</v>
      </c>
      <c r="B39" s="190"/>
      <c r="C39" s="190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9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7">
        <v>14.435600000000001</v>
      </c>
      <c r="BB39" s="117">
        <v>14.987500000000001</v>
      </c>
      <c r="BC39" s="117">
        <v>58.860100000000003</v>
      </c>
    </row>
    <row r="40" spans="1:55" x14ac:dyDescent="0.25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9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7">
        <v>14.435600000000001</v>
      </c>
      <c r="BB40" s="117">
        <v>21.6006</v>
      </c>
      <c r="BC40" s="117">
        <v>17.4452</v>
      </c>
    </row>
    <row r="41" spans="1:55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7">
        <v>656.17899999999997</v>
      </c>
      <c r="BB41" s="117">
        <v>23.600300000000001</v>
      </c>
      <c r="BC41" s="117">
        <v>17.480599999999999</v>
      </c>
    </row>
    <row r="42" spans="1:55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7">
        <v>8.4309999999999992</v>
      </c>
      <c r="BB42" s="117">
        <v>35.042499999999997</v>
      </c>
      <c r="BC42" s="117">
        <v>43.5914</v>
      </c>
    </row>
    <row r="43" spans="1:55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7">
        <v>8.3137000000000008</v>
      </c>
      <c r="BB43" s="117">
        <v>5.6912000000000003</v>
      </c>
      <c r="BC43" s="117">
        <v>10.900600000000001</v>
      </c>
    </row>
    <row r="44" spans="1:55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8">
        <v>0.8</v>
      </c>
      <c r="AX44" s="85">
        <v>1.2</v>
      </c>
      <c r="AY44" s="85">
        <v>1.2</v>
      </c>
      <c r="BA44" s="117">
        <v>8.4375</v>
      </c>
      <c r="BB44" s="117">
        <v>4.1337999999999999</v>
      </c>
      <c r="BC44" s="117">
        <v>10.783099999999999</v>
      </c>
    </row>
    <row r="45" spans="1:55" x14ac:dyDescent="0.25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8">
        <v>0.9</v>
      </c>
      <c r="AX45" s="85">
        <v>0.7</v>
      </c>
      <c r="AY45" s="85">
        <v>0.7</v>
      </c>
      <c r="BA45" s="117">
        <v>13.606999999999999</v>
      </c>
      <c r="BB45" s="117">
        <v>12.91</v>
      </c>
      <c r="BC45" s="117">
        <v>9.4162999999999997</v>
      </c>
    </row>
    <row r="46" spans="1:55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7">
        <v>17.259899999999998</v>
      </c>
      <c r="BB46" s="117">
        <v>7.4783999999999997</v>
      </c>
      <c r="BC46" s="117">
        <v>26.995799999999999</v>
      </c>
    </row>
    <row r="47" spans="1:55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7">
        <v>17.1267</v>
      </c>
      <c r="BB47" s="117">
        <v>17.520700000000001</v>
      </c>
      <c r="BC47" s="117">
        <v>808.0077</v>
      </c>
    </row>
    <row r="48" spans="1:55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7">
        <v>8.5710999999999995</v>
      </c>
      <c r="BB48" s="117">
        <v>2.8</v>
      </c>
    </row>
    <row r="49" spans="1:54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7">
        <v>13.5984</v>
      </c>
      <c r="BB49" s="117">
        <v>2.8</v>
      </c>
    </row>
    <row r="50" spans="1:54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7">
        <v>17.0428</v>
      </c>
      <c r="BB50" s="117">
        <v>2.8</v>
      </c>
    </row>
    <row r="51" spans="1:54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7">
        <v>10.441700000000001</v>
      </c>
      <c r="BB51" s="117">
        <v>41.302100000000003</v>
      </c>
    </row>
    <row r="52" spans="1:54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7">
        <v>11.591900000000001</v>
      </c>
      <c r="BB52" s="117">
        <v>46.974200000000003</v>
      </c>
    </row>
    <row r="53" spans="1:54" x14ac:dyDescent="0.25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7">
        <v>19.076899999999998</v>
      </c>
      <c r="BB53" s="123">
        <v>684.91673000000003</v>
      </c>
    </row>
    <row r="54" spans="1:54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7">
        <v>34.215200000000003</v>
      </c>
    </row>
    <row r="55" spans="1:54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7">
        <v>2.5941000000000001</v>
      </c>
    </row>
    <row r="56" spans="1:54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9">
        <v>0</v>
      </c>
      <c r="AH56" s="119">
        <v>0</v>
      </c>
      <c r="AI56" s="119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7">
        <v>1.9624999999999999</v>
      </c>
    </row>
    <row r="57" spans="1:54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7">
        <v>5.7183999999999999</v>
      </c>
    </row>
    <row r="58" spans="1:54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7">
        <v>9.2249999999999996</v>
      </c>
    </row>
    <row r="59" spans="1:54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7">
        <v>38.032499999999999</v>
      </c>
    </row>
    <row r="60" spans="1:54" x14ac:dyDescent="0.25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8">
        <v>2</v>
      </c>
      <c r="AX60" s="85">
        <v>0.9</v>
      </c>
      <c r="AY60" s="85">
        <v>1.6</v>
      </c>
      <c r="BA60" s="117">
        <v>50.888100000000001</v>
      </c>
    </row>
    <row r="61" spans="1:54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7">
        <v>27.005600000000001</v>
      </c>
    </row>
    <row r="62" spans="1:54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7">
        <v>181.69919999999999</v>
      </c>
    </row>
    <row r="63" spans="1:54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25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25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25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25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25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25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25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25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25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25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25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25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25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25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25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25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25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25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25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25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25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25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25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25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25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25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25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25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25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25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25">
      <c r="AK98">
        <v>0.8</v>
      </c>
      <c r="AL98">
        <v>0</v>
      </c>
      <c r="AM98">
        <f>2.88*4</f>
        <v>11.52</v>
      </c>
    </row>
    <row r="99" spans="37:43" x14ac:dyDescent="0.25">
      <c r="AK99">
        <v>0</v>
      </c>
      <c r="AL99">
        <v>2</v>
      </c>
      <c r="AM99">
        <f>2.25*4</f>
        <v>9</v>
      </c>
    </row>
    <row r="100" spans="37:43" x14ac:dyDescent="0.25">
      <c r="AK100">
        <v>0</v>
      </c>
      <c r="AL100">
        <v>1.4</v>
      </c>
      <c r="AM100">
        <f>4.55*4</f>
        <v>18.2</v>
      </c>
    </row>
    <row r="101" spans="37:43" x14ac:dyDescent="0.25">
      <c r="AK101">
        <v>0</v>
      </c>
      <c r="AL101">
        <v>1.6</v>
      </c>
      <c r="AM101">
        <f>2.88*4</f>
        <v>11.52</v>
      </c>
    </row>
    <row r="102" spans="37:43" x14ac:dyDescent="0.25">
      <c r="AK102">
        <v>0.8</v>
      </c>
      <c r="AL102">
        <v>1.8</v>
      </c>
      <c r="AM102">
        <f>6.28*4</f>
        <v>25.12</v>
      </c>
    </row>
    <row r="103" spans="37:43" x14ac:dyDescent="0.25">
      <c r="AK103">
        <v>0</v>
      </c>
      <c r="AL103">
        <v>1.2</v>
      </c>
      <c r="AM103">
        <f>1.55*4</f>
        <v>6.2</v>
      </c>
    </row>
    <row r="104" spans="37:43" x14ac:dyDescent="0.25">
      <c r="AK104">
        <v>0</v>
      </c>
      <c r="AL104">
        <v>1.2</v>
      </c>
      <c r="AM104">
        <f>1.55*4</f>
        <v>6.2</v>
      </c>
    </row>
    <row r="105" spans="37:43" x14ac:dyDescent="0.25">
      <c r="AK105">
        <v>0</v>
      </c>
      <c r="AL105">
        <v>1.2</v>
      </c>
      <c r="AM105">
        <f>6.05*4</f>
        <v>24.2</v>
      </c>
    </row>
    <row r="106" spans="37:43" x14ac:dyDescent="0.25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1"/>
  <sheetViews>
    <sheetView topLeftCell="A75" workbookViewId="0">
      <selection activeCell="I93" sqref="I93"/>
    </sheetView>
  </sheetViews>
  <sheetFormatPr defaultRowHeight="15" x14ac:dyDescent="0.25"/>
  <cols>
    <col min="1" max="1" width="38" customWidth="1"/>
    <col min="2" max="2" width="12.28515625" customWidth="1"/>
    <col min="10" max="11" width="9.28515625" customWidth="1"/>
  </cols>
  <sheetData>
    <row r="1" spans="1:20" ht="23.25" x14ac:dyDescent="0.25">
      <c r="A1" s="180" t="s">
        <v>11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20" ht="24" thickBot="1" x14ac:dyDescent="0.4">
      <c r="A2" s="179" t="s">
        <v>160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</row>
    <row r="3" spans="1:20" ht="15.75" thickBot="1" x14ac:dyDescent="0.3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181" t="s">
        <v>539</v>
      </c>
      <c r="P3" s="181"/>
      <c r="Q3" s="181"/>
      <c r="R3" s="181"/>
      <c r="S3" s="181"/>
      <c r="T3" s="181"/>
    </row>
    <row r="4" spans="1:20" ht="15.75" thickBot="1" x14ac:dyDescent="0.3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182"/>
      <c r="P4" s="182"/>
      <c r="Q4" s="182"/>
      <c r="R4" s="133" t="s">
        <v>541</v>
      </c>
      <c r="S4" s="133" t="s">
        <v>542</v>
      </c>
      <c r="T4" s="133" t="s">
        <v>430</v>
      </c>
    </row>
    <row r="5" spans="1:20" ht="15.75" thickBot="1" x14ac:dyDescent="0.3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183" t="s">
        <v>160</v>
      </c>
      <c r="P5" s="183"/>
      <c r="Q5" s="183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.75" thickBot="1" x14ac:dyDescent="0.3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183" t="s">
        <v>41</v>
      </c>
      <c r="P6" s="183"/>
      <c r="Q6" s="183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.75" thickBot="1" x14ac:dyDescent="0.3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183" t="s">
        <v>59</v>
      </c>
      <c r="P7" s="183"/>
      <c r="Q7" s="183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.75" thickBot="1" x14ac:dyDescent="0.3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184" t="s">
        <v>540</v>
      </c>
      <c r="P8" s="184"/>
      <c r="Q8" s="184"/>
      <c r="R8" s="185">
        <f>SUM(R5:R7)</f>
        <v>38633.611499999999</v>
      </c>
      <c r="S8" s="185">
        <f>SUM(S5:S7)</f>
        <v>5763.8469070000001</v>
      </c>
      <c r="T8" s="185">
        <f>T5+T6+T7</f>
        <v>44397.458406999998</v>
      </c>
    </row>
    <row r="9" spans="1:20" ht="15.75" thickBot="1" x14ac:dyDescent="0.3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184"/>
      <c r="P9" s="184"/>
      <c r="Q9" s="184"/>
      <c r="R9" s="186"/>
      <c r="S9" s="186"/>
      <c r="T9" s="186"/>
    </row>
    <row r="10" spans="1:20" ht="15.75" thickBot="1" x14ac:dyDescent="0.3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.75" thickBot="1" x14ac:dyDescent="0.3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.75" thickBot="1" x14ac:dyDescent="0.3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.75" thickBot="1" x14ac:dyDescent="0.3">
      <c r="A13" s="8" t="s">
        <v>64</v>
      </c>
      <c r="B13" s="6" t="s">
        <v>48</v>
      </c>
      <c r="C13" s="6">
        <v>2.8721999999999999</v>
      </c>
      <c r="D13" s="6">
        <v>34.5</v>
      </c>
      <c r="E13" s="6">
        <v>28</v>
      </c>
      <c r="F13" s="6">
        <f>References!E14*References!F14</f>
        <v>2.75</v>
      </c>
      <c r="G13" s="6">
        <f t="shared" si="1"/>
        <v>685</v>
      </c>
      <c r="H13" s="6">
        <f t="shared" si="2"/>
        <v>0.82</v>
      </c>
      <c r="I13" s="6">
        <v>0.55000000000000004</v>
      </c>
      <c r="J13" s="6">
        <f t="shared" si="3"/>
        <v>849.57124999999996</v>
      </c>
      <c r="K13" s="15">
        <f t="shared" si="0"/>
        <v>51.340574999999994</v>
      </c>
    </row>
    <row r="14" spans="1:20" ht="15.75" thickBot="1" x14ac:dyDescent="0.3">
      <c r="A14" s="8" t="s">
        <v>64</v>
      </c>
      <c r="B14" s="6" t="s">
        <v>48</v>
      </c>
      <c r="C14" s="6">
        <v>2.8210999999999999</v>
      </c>
      <c r="D14" s="6">
        <v>34.5</v>
      </c>
      <c r="E14" s="6">
        <v>28</v>
      </c>
      <c r="F14" s="6">
        <f>References!E15*References!F15</f>
        <v>9</v>
      </c>
      <c r="G14" s="6">
        <f t="shared" si="1"/>
        <v>685</v>
      </c>
      <c r="H14" s="6">
        <f t="shared" si="2"/>
        <v>0.82</v>
      </c>
      <c r="I14" s="6">
        <v>0.55000000000000004</v>
      </c>
      <c r="J14" s="6">
        <f t="shared" si="3"/>
        <v>2780.415</v>
      </c>
      <c r="K14" s="15">
        <f t="shared" si="0"/>
        <v>165.03435000000002</v>
      </c>
    </row>
    <row r="15" spans="1:20" ht="15.75" thickBot="1" x14ac:dyDescent="0.3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.75" thickBot="1" x14ac:dyDescent="0.3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.75" thickBot="1" x14ac:dyDescent="0.3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19" t="s">
        <v>99</v>
      </c>
      <c r="N17" s="119"/>
      <c r="O17" s="119">
        <v>2.8721999999999999</v>
      </c>
    </row>
    <row r="18" spans="1:15" ht="15.75" thickBot="1" x14ac:dyDescent="0.3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19" t="s">
        <v>100</v>
      </c>
      <c r="N18" s="119"/>
      <c r="O18" s="119">
        <v>2.8210999999999999</v>
      </c>
    </row>
    <row r="19" spans="1:15" ht="15.75" thickBot="1" x14ac:dyDescent="0.3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.75" thickBot="1" x14ac:dyDescent="0.3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.75" thickBot="1" x14ac:dyDescent="0.3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.75" thickBot="1" x14ac:dyDescent="0.3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.75" thickBot="1" x14ac:dyDescent="0.3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.75" thickBot="1" x14ac:dyDescent="0.3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.75" thickBot="1" x14ac:dyDescent="0.3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.75" thickBot="1" x14ac:dyDescent="0.3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.75" thickBot="1" x14ac:dyDescent="0.3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151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.75" thickBot="1" x14ac:dyDescent="0.3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.75" thickBot="1" x14ac:dyDescent="0.3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.75" thickBot="1" x14ac:dyDescent="0.3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.75" thickBot="1" x14ac:dyDescent="0.3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.75" thickBot="1" x14ac:dyDescent="0.3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.75" thickBot="1" x14ac:dyDescent="0.3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19" customFormat="1" ht="15.75" thickBot="1" x14ac:dyDescent="0.3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ht="15.75" thickBot="1" x14ac:dyDescent="0.3">
      <c r="H35" s="187" t="s">
        <v>122</v>
      </c>
      <c r="I35" s="187"/>
      <c r="J35" s="41">
        <f>SUM(J4:J33)</f>
        <v>14479.770250000001</v>
      </c>
      <c r="K35" s="41">
        <f>SUM(K4:K33)</f>
        <v>2026.92127</v>
      </c>
    </row>
    <row r="36" spans="1:11" ht="15.75" thickBot="1" x14ac:dyDescent="0.3">
      <c r="H36" s="187" t="s">
        <v>166</v>
      </c>
      <c r="I36" s="187"/>
      <c r="J36" s="188">
        <f>J35+K35</f>
        <v>16506.69152</v>
      </c>
      <c r="K36" s="189"/>
    </row>
    <row r="37" spans="1:11" x14ac:dyDescent="0.25">
      <c r="H37" s="3"/>
      <c r="I37" s="3"/>
      <c r="J37" s="3"/>
      <c r="K37" s="3"/>
    </row>
    <row r="38" spans="1:11" ht="23.25" x14ac:dyDescent="0.35">
      <c r="A38" s="179" t="s">
        <v>41</v>
      </c>
      <c r="B38" s="179"/>
      <c r="C38" s="179"/>
      <c r="D38" s="179"/>
      <c r="E38" s="179"/>
      <c r="F38" s="179"/>
      <c r="G38" s="179"/>
      <c r="H38" s="179"/>
      <c r="I38" s="179"/>
      <c r="J38" s="179"/>
      <c r="K38" s="179"/>
    </row>
    <row r="39" spans="1:11" ht="15.75" thickBot="1" x14ac:dyDescent="0.3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ht="15.75" thickBot="1" x14ac:dyDescent="0.3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.75" thickBot="1" x14ac:dyDescent="0.3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.75" thickBot="1" x14ac:dyDescent="0.3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.75" thickBot="1" x14ac:dyDescent="0.3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.75" thickBot="1" x14ac:dyDescent="0.3">
      <c r="A44" s="8" t="s">
        <v>64</v>
      </c>
      <c r="B44" s="6" t="s">
        <v>48</v>
      </c>
      <c r="C44" s="6">
        <v>2.8210999999999999</v>
      </c>
      <c r="D44" s="6">
        <v>34.5</v>
      </c>
      <c r="E44" s="6">
        <v>28</v>
      </c>
      <c r="F44" s="6">
        <v>2.7</v>
      </c>
      <c r="G44" s="6">
        <f t="shared" si="7"/>
        <v>685</v>
      </c>
      <c r="H44" s="6">
        <f t="shared" si="5"/>
        <v>0.82</v>
      </c>
      <c r="I44" s="6">
        <v>0.55000000000000004</v>
      </c>
      <c r="J44" s="6">
        <f t="shared" si="6"/>
        <v>834.12450000000001</v>
      </c>
      <c r="K44" s="15">
        <f t="shared" si="4"/>
        <v>49.510305000000002</v>
      </c>
    </row>
    <row r="45" spans="1:11" ht="15.75" thickBot="1" x14ac:dyDescent="0.3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.75" thickBot="1" x14ac:dyDescent="0.3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.75" thickBot="1" x14ac:dyDescent="0.3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.75" thickBot="1" x14ac:dyDescent="0.3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.75" thickBot="1" x14ac:dyDescent="0.3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.75" thickBot="1" x14ac:dyDescent="0.3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.75" thickBot="1" x14ac:dyDescent="0.3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.75" thickBot="1" x14ac:dyDescent="0.3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.75" thickBot="1" x14ac:dyDescent="0.3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.75" thickBot="1" x14ac:dyDescent="0.3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.75" thickBot="1" x14ac:dyDescent="0.3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.75" thickBot="1" x14ac:dyDescent="0.3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.75" thickBot="1" x14ac:dyDescent="0.3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.75" thickBot="1" x14ac:dyDescent="0.3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.75" thickBot="1" x14ac:dyDescent="0.3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.75" thickBot="1" x14ac:dyDescent="0.3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.75" thickBot="1" x14ac:dyDescent="0.3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.75" thickBot="1" x14ac:dyDescent="0.3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.75" thickBot="1" x14ac:dyDescent="0.3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.75" thickBot="1" x14ac:dyDescent="0.3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.75" thickBot="1" x14ac:dyDescent="0.3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.75" thickBot="1" x14ac:dyDescent="0.3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.75" thickBot="1" x14ac:dyDescent="0.3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.75" thickBot="1" x14ac:dyDescent="0.3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.75" thickBot="1" x14ac:dyDescent="0.3">
      <c r="H69" s="187" t="s">
        <v>122</v>
      </c>
      <c r="I69" s="187"/>
      <c r="J69" s="41">
        <f>SUM(J40:J68)</f>
        <v>12911.636650000004</v>
      </c>
      <c r="K69" s="41">
        <f>SUM(K40:K68)</f>
        <v>2185.8239429999999</v>
      </c>
    </row>
    <row r="70" spans="1:11" ht="15.75" thickBot="1" x14ac:dyDescent="0.3">
      <c r="H70" s="187" t="s">
        <v>167</v>
      </c>
      <c r="I70" s="187"/>
      <c r="J70" s="188">
        <f>J69+K69</f>
        <v>15097.460593000003</v>
      </c>
      <c r="K70" s="189"/>
    </row>
    <row r="72" spans="1:11" ht="23.25" x14ac:dyDescent="0.35">
      <c r="A72" s="179" t="s">
        <v>59</v>
      </c>
      <c r="B72" s="179"/>
      <c r="C72" s="179"/>
      <c r="D72" s="179"/>
      <c r="E72" s="179"/>
      <c r="F72" s="179"/>
      <c r="G72" s="179"/>
      <c r="H72" s="179"/>
      <c r="I72" s="179"/>
      <c r="J72" s="179"/>
      <c r="K72" s="179"/>
    </row>
    <row r="73" spans="1:11" ht="15.75" thickBot="1" x14ac:dyDescent="0.3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ht="15.75" thickBot="1" x14ac:dyDescent="0.3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>
        <f>_xlfn.IFS(B74="E",685,B74="N",120,B74="W",685,B74="S",230)</f>
        <v>120</v>
      </c>
      <c r="H74" s="34">
        <f>_xlfn.IFS(B74="E",0.8,B74="N",0.91,B74="W",0.82,B74="S",0.83)</f>
        <v>0.91</v>
      </c>
      <c r="I74" s="34">
        <v>0.55000000000000004</v>
      </c>
      <c r="J74" s="34">
        <f>G74*H74*F74*I74</f>
        <v>138.73860000000002</v>
      </c>
      <c r="K74" s="35">
        <f t="shared" ref="K74:K99" si="8">ABS((C74*F74)*(D74-E74))</f>
        <v>79.617383999999987</v>
      </c>
    </row>
    <row r="75" spans="1:11" ht="15.75" thickBot="1" x14ac:dyDescent="0.3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>
        <f t="shared" ref="G75:G98" si="9">_xlfn.IFS(B75="E",685,B75="N",120,B75="W",685,B75="S",230)</f>
        <v>120</v>
      </c>
      <c r="H75" s="34">
        <f t="shared" ref="H75:H98" si="10">_xlfn.IFS(B75="E",0.8,B75="N",0.91,B75="W",0.82,B75="S",0.83)</f>
        <v>0.91</v>
      </c>
      <c r="I75" s="34">
        <v>0.55000000000000004</v>
      </c>
      <c r="J75" s="34">
        <f t="shared" ref="J75:J99" si="11">G75*H75*F75*I75</f>
        <v>138.73860000000002</v>
      </c>
      <c r="K75" s="35">
        <f t="shared" si="8"/>
        <v>79.617383999999987</v>
      </c>
    </row>
    <row r="76" spans="1:11" ht="15.75" thickBot="1" x14ac:dyDescent="0.3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>
        <f t="shared" si="9"/>
        <v>120</v>
      </c>
      <c r="H76" s="34">
        <f t="shared" si="10"/>
        <v>0.91</v>
      </c>
      <c r="I76" s="34">
        <v>0.55000000000000004</v>
      </c>
      <c r="J76" s="34">
        <f t="shared" si="11"/>
        <v>138.73860000000002</v>
      </c>
      <c r="K76" s="35">
        <f t="shared" si="8"/>
        <v>79.617383999999987</v>
      </c>
    </row>
    <row r="77" spans="1:11" ht="15.75" thickBot="1" x14ac:dyDescent="0.3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>
        <f t="shared" si="9"/>
        <v>120</v>
      </c>
      <c r="H77" s="34">
        <f t="shared" si="10"/>
        <v>0.91</v>
      </c>
      <c r="I77" s="34">
        <v>0.55000000000000004</v>
      </c>
      <c r="J77" s="34">
        <f t="shared" si="11"/>
        <v>138.73860000000002</v>
      </c>
      <c r="K77" s="35">
        <f t="shared" si="8"/>
        <v>79.617383999999987</v>
      </c>
    </row>
    <row r="78" spans="1:11" ht="15.75" thickBot="1" x14ac:dyDescent="0.3">
      <c r="A78" s="8" t="s">
        <v>64</v>
      </c>
      <c r="B78" s="6" t="s">
        <v>48</v>
      </c>
      <c r="C78" s="6">
        <v>2.8721999999999999</v>
      </c>
      <c r="D78" s="6">
        <v>34.5</v>
      </c>
      <c r="E78" s="6">
        <v>28</v>
      </c>
      <c r="F78" s="6">
        <f>References!E45*References!F45</f>
        <v>2.7</v>
      </c>
      <c r="G78" s="34">
        <f t="shared" si="9"/>
        <v>685</v>
      </c>
      <c r="H78" s="34">
        <f t="shared" si="10"/>
        <v>0.82</v>
      </c>
      <c r="I78" s="34">
        <v>0.55000000000000004</v>
      </c>
      <c r="J78" s="34">
        <f t="shared" si="11"/>
        <v>834.12450000000001</v>
      </c>
      <c r="K78" s="35">
        <f t="shared" si="8"/>
        <v>50.407110000000003</v>
      </c>
    </row>
    <row r="79" spans="1:11" ht="15.75" thickBot="1" x14ac:dyDescent="0.3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>
        <f t="shared" si="9"/>
        <v>685</v>
      </c>
      <c r="H79" s="34">
        <f t="shared" si="10"/>
        <v>0.82</v>
      </c>
      <c r="I79" s="34">
        <v>0.55000000000000004</v>
      </c>
      <c r="J79" s="34">
        <f t="shared" si="11"/>
        <v>432.50899999999996</v>
      </c>
      <c r="K79" s="35">
        <f t="shared" si="8"/>
        <v>48.252959999999995</v>
      </c>
    </row>
    <row r="80" spans="1:11" ht="15.75" thickBot="1" x14ac:dyDescent="0.3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>
        <f t="shared" si="9"/>
        <v>685</v>
      </c>
      <c r="H80" s="34">
        <f t="shared" si="10"/>
        <v>0.82</v>
      </c>
      <c r="I80" s="34">
        <v>0.55000000000000004</v>
      </c>
      <c r="J80" s="34">
        <f t="shared" si="11"/>
        <v>432.50899999999996</v>
      </c>
      <c r="K80" s="35">
        <f t="shared" si="8"/>
        <v>48.252959999999995</v>
      </c>
    </row>
    <row r="81" spans="1:11" ht="15.75" thickBot="1" x14ac:dyDescent="0.3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>
        <f t="shared" si="9"/>
        <v>685</v>
      </c>
      <c r="H81" s="34">
        <f t="shared" si="10"/>
        <v>0.82</v>
      </c>
      <c r="I81" s="34">
        <v>0.55000000000000004</v>
      </c>
      <c r="J81" s="34">
        <f t="shared" si="11"/>
        <v>432.50899999999996</v>
      </c>
      <c r="K81" s="35">
        <f t="shared" si="8"/>
        <v>48.252959999999995</v>
      </c>
    </row>
    <row r="82" spans="1:11" ht="15.75" thickBot="1" x14ac:dyDescent="0.3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>
        <f t="shared" si="9"/>
        <v>685</v>
      </c>
      <c r="H82" s="34">
        <f t="shared" si="10"/>
        <v>0.82</v>
      </c>
      <c r="I82" s="34">
        <v>0.55000000000000004</v>
      </c>
      <c r="J82" s="34">
        <f t="shared" si="11"/>
        <v>432.50899999999996</v>
      </c>
      <c r="K82" s="35">
        <f t="shared" si="8"/>
        <v>48.252959999999995</v>
      </c>
    </row>
    <row r="83" spans="1:11" ht="15.75" thickBot="1" x14ac:dyDescent="0.3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>
        <f t="shared" si="9"/>
        <v>685</v>
      </c>
      <c r="H83" s="34">
        <f t="shared" si="10"/>
        <v>0.82</v>
      </c>
      <c r="I83" s="34">
        <v>0.55000000000000004</v>
      </c>
      <c r="J83" s="34">
        <f t="shared" si="11"/>
        <v>432.50899999999996</v>
      </c>
      <c r="K83" s="35">
        <f t="shared" si="8"/>
        <v>48.252959999999995</v>
      </c>
    </row>
    <row r="84" spans="1:11" ht="15.75" thickBot="1" x14ac:dyDescent="0.3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>
        <f t="shared" si="9"/>
        <v>685</v>
      </c>
      <c r="H84" s="34">
        <f t="shared" si="10"/>
        <v>0.82</v>
      </c>
      <c r="I84" s="34">
        <v>0.55000000000000004</v>
      </c>
      <c r="J84" s="34">
        <f t="shared" si="11"/>
        <v>1034.9322499999998</v>
      </c>
      <c r="K84" s="35">
        <f t="shared" si="8"/>
        <v>113.40822</v>
      </c>
    </row>
    <row r="85" spans="1:11" ht="15.75" thickBot="1" x14ac:dyDescent="0.3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>
        <f t="shared" si="9"/>
        <v>685</v>
      </c>
      <c r="H85" s="34">
        <f t="shared" si="10"/>
        <v>0.82</v>
      </c>
      <c r="I85" s="34">
        <v>0.55000000000000004</v>
      </c>
      <c r="J85" s="34">
        <f t="shared" si="11"/>
        <v>741.44399999999985</v>
      </c>
      <c r="K85" s="35">
        <f t="shared" si="8"/>
        <v>82.719359999999995</v>
      </c>
    </row>
    <row r="86" spans="1:11" ht="15.75" thickBot="1" x14ac:dyDescent="0.3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>
        <f t="shared" si="9"/>
        <v>685</v>
      </c>
      <c r="H86" s="34">
        <f t="shared" si="10"/>
        <v>0.82</v>
      </c>
      <c r="I86" s="34">
        <v>0.55000000000000004</v>
      </c>
      <c r="J86" s="34">
        <f t="shared" si="11"/>
        <v>741.44399999999985</v>
      </c>
      <c r="K86" s="35">
        <f t="shared" si="8"/>
        <v>82.719359999999995</v>
      </c>
    </row>
    <row r="87" spans="1:11" ht="15.75" thickBot="1" x14ac:dyDescent="0.3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>
        <f t="shared" si="9"/>
        <v>685</v>
      </c>
      <c r="H87" s="34">
        <f t="shared" si="10"/>
        <v>0.82</v>
      </c>
      <c r="I87" s="34">
        <v>0.55000000000000004</v>
      </c>
      <c r="J87" s="34">
        <f t="shared" si="11"/>
        <v>741.44399999999985</v>
      </c>
      <c r="K87" s="35">
        <f t="shared" si="8"/>
        <v>82.719359999999995</v>
      </c>
    </row>
    <row r="88" spans="1:11" ht="15.75" thickBot="1" x14ac:dyDescent="0.3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>
        <f t="shared" si="9"/>
        <v>685</v>
      </c>
      <c r="H88" s="34">
        <f t="shared" si="10"/>
        <v>0.82</v>
      </c>
      <c r="I88" s="34">
        <v>0.55000000000000004</v>
      </c>
      <c r="J88" s="34">
        <f t="shared" si="11"/>
        <v>688.92504999999994</v>
      </c>
      <c r="K88" s="35">
        <f t="shared" si="8"/>
        <v>76.860071999999988</v>
      </c>
    </row>
    <row r="89" spans="1:11" ht="15.75" thickBot="1" x14ac:dyDescent="0.3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>
        <f t="shared" si="9"/>
        <v>685</v>
      </c>
      <c r="H89" s="34">
        <f t="shared" si="10"/>
        <v>0.82</v>
      </c>
      <c r="I89" s="34">
        <v>0.55000000000000004</v>
      </c>
      <c r="J89" s="34">
        <f t="shared" si="11"/>
        <v>111.21659999999999</v>
      </c>
      <c r="K89" s="35">
        <f t="shared" si="8"/>
        <v>10.856916</v>
      </c>
    </row>
    <row r="90" spans="1:11" ht="15.75" thickBot="1" x14ac:dyDescent="0.3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>
        <f t="shared" si="9"/>
        <v>230</v>
      </c>
      <c r="H90" s="34">
        <f t="shared" si="10"/>
        <v>0.83</v>
      </c>
      <c r="I90" s="34">
        <v>0.55000000000000004</v>
      </c>
      <c r="J90" s="34">
        <f t="shared" si="11"/>
        <v>251.98799999999997</v>
      </c>
      <c r="K90" s="35">
        <f t="shared" si="8"/>
        <v>82.719359999999995</v>
      </c>
    </row>
    <row r="91" spans="1:11" ht="15.75" thickBot="1" x14ac:dyDescent="0.3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>
        <f t="shared" si="9"/>
        <v>230</v>
      </c>
      <c r="H91" s="34">
        <f t="shared" si="10"/>
        <v>0.83</v>
      </c>
      <c r="I91" s="34">
        <v>0.55000000000000004</v>
      </c>
      <c r="J91" s="34">
        <f t="shared" si="11"/>
        <v>75.596399999999988</v>
      </c>
      <c r="K91" s="35">
        <f t="shared" si="8"/>
        <v>21.713832</v>
      </c>
    </row>
    <row r="92" spans="1:11" ht="15.75" thickBot="1" x14ac:dyDescent="0.3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>
        <f t="shared" si="9"/>
        <v>230</v>
      </c>
      <c r="H92" s="34">
        <f t="shared" si="10"/>
        <v>0.83</v>
      </c>
      <c r="I92" s="34">
        <v>0.55000000000000004</v>
      </c>
      <c r="J92" s="34">
        <f t="shared" si="11"/>
        <v>75.596399999999988</v>
      </c>
      <c r="K92" s="35">
        <f t="shared" si="8"/>
        <v>21.713832</v>
      </c>
    </row>
    <row r="93" spans="1:11" ht="15.75" thickBot="1" x14ac:dyDescent="0.3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>
        <f t="shared" si="9"/>
        <v>685</v>
      </c>
      <c r="H93" s="34">
        <f t="shared" si="10"/>
        <v>0.8</v>
      </c>
      <c r="I93" s="34">
        <v>0.55000000000000004</v>
      </c>
      <c r="J93" s="34">
        <f t="shared" si="11"/>
        <v>1009.69</v>
      </c>
      <c r="K93" s="35">
        <f t="shared" si="8"/>
        <v>113.40822</v>
      </c>
    </row>
    <row r="94" spans="1:11" ht="15.75" thickBot="1" x14ac:dyDescent="0.3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>
        <f t="shared" si="9"/>
        <v>685</v>
      </c>
      <c r="H94" s="34">
        <f t="shared" si="10"/>
        <v>0.8</v>
      </c>
      <c r="I94" s="34">
        <v>0.55000000000000004</v>
      </c>
      <c r="J94" s="34">
        <f t="shared" si="11"/>
        <v>421.96</v>
      </c>
      <c r="K94" s="35">
        <f t="shared" si="8"/>
        <v>48.252959999999995</v>
      </c>
    </row>
    <row r="95" spans="1:11" ht="15.75" thickBot="1" x14ac:dyDescent="0.3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>
        <f t="shared" si="9"/>
        <v>685</v>
      </c>
      <c r="H95" s="34">
        <f t="shared" si="10"/>
        <v>0.8</v>
      </c>
      <c r="I95" s="34">
        <v>0.55000000000000004</v>
      </c>
      <c r="J95" s="34">
        <f t="shared" si="11"/>
        <v>421.96</v>
      </c>
      <c r="K95" s="35">
        <f t="shared" si="8"/>
        <v>48.252959999999995</v>
      </c>
    </row>
    <row r="96" spans="1:11" ht="15.75" thickBot="1" x14ac:dyDescent="0.3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>
        <f t="shared" si="9"/>
        <v>685</v>
      </c>
      <c r="H96" s="34">
        <f t="shared" si="10"/>
        <v>0.8</v>
      </c>
      <c r="I96" s="34">
        <v>0.55000000000000004</v>
      </c>
      <c r="J96" s="34">
        <f t="shared" si="11"/>
        <v>421.96</v>
      </c>
      <c r="K96" s="35">
        <f t="shared" si="8"/>
        <v>48.252959999999995</v>
      </c>
    </row>
    <row r="97" spans="1:11" ht="15.75" thickBot="1" x14ac:dyDescent="0.3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>
        <f t="shared" si="9"/>
        <v>685</v>
      </c>
      <c r="H97" s="34">
        <f t="shared" si="10"/>
        <v>0.8</v>
      </c>
      <c r="I97" s="34">
        <v>0.55000000000000004</v>
      </c>
      <c r="J97" s="34">
        <f t="shared" si="11"/>
        <v>421.96</v>
      </c>
      <c r="K97" s="35">
        <f t="shared" si="8"/>
        <v>48.252959999999995</v>
      </c>
    </row>
    <row r="98" spans="1:11" ht="15.75" thickBot="1" x14ac:dyDescent="0.3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>
        <f t="shared" si="9"/>
        <v>685</v>
      </c>
      <c r="H98" s="34">
        <f t="shared" si="10"/>
        <v>0.8</v>
      </c>
      <c r="I98" s="34">
        <v>0.55000000000000004</v>
      </c>
      <c r="J98" s="34">
        <f>G98*H98*F98*I98</f>
        <v>421.96</v>
      </c>
      <c r="K98" s="35">
        <f t="shared" si="8"/>
        <v>48.252959999999995</v>
      </c>
    </row>
    <row r="99" spans="1:11" ht="15.75" thickBot="1" x14ac:dyDescent="0.3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>
        <f t="shared" ref="G99" si="12">_xlfn.IFS(B99="E",685,B99="N",120,B99="W",685,B99="S",230)</f>
        <v>685</v>
      </c>
      <c r="H99" s="36">
        <f t="shared" ref="H99" si="13">_xlfn.IFS(B99="E",0.8,B99="N",0.91,B99="W",0.82,B99="S",0.83)</f>
        <v>0.8</v>
      </c>
      <c r="I99" s="36">
        <v>0.55000000000000004</v>
      </c>
      <c r="J99" s="36">
        <f t="shared" si="11"/>
        <v>108.504</v>
      </c>
      <c r="K99" s="37">
        <f t="shared" si="8"/>
        <v>10.856916</v>
      </c>
    </row>
    <row r="100" spans="1:11" ht="15.75" thickBot="1" x14ac:dyDescent="0.3">
      <c r="H100" s="187" t="s">
        <v>122</v>
      </c>
      <c r="I100" s="187"/>
      <c r="J100" s="41">
        <f>SUM(J74:J99)</f>
        <v>11242.204599999995</v>
      </c>
      <c r="K100" s="41">
        <f>SUM(K74:K99)</f>
        <v>1551.101694</v>
      </c>
    </row>
    <row r="101" spans="1:11" ht="15.75" thickBot="1" x14ac:dyDescent="0.3">
      <c r="H101" s="187" t="s">
        <v>167</v>
      </c>
      <c r="I101" s="187"/>
      <c r="J101" s="188">
        <f>J100+K100</f>
        <v>12793.306293999995</v>
      </c>
      <c r="K101" s="189"/>
    </row>
  </sheetData>
  <mergeCells count="22"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  <mergeCell ref="O6:Q6"/>
    <mergeCell ref="O7:Q7"/>
    <mergeCell ref="O8:Q9"/>
    <mergeCell ref="O3:T3"/>
    <mergeCell ref="O4:Q4"/>
    <mergeCell ref="O5:Q5"/>
    <mergeCell ref="T8:T9"/>
    <mergeCell ref="S8:S9"/>
    <mergeCell ref="R8:R9"/>
  </mergeCells>
  <conditionalFormatting sqref="A73:K99">
    <cfRule type="cellIs" dxfId="339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38"/>
  <sheetViews>
    <sheetView tabSelected="1" topLeftCell="A124" zoomScale="85" zoomScaleNormal="85" workbookViewId="0">
      <selection activeCell="K132" sqref="K132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6.42578125" customWidth="1"/>
    <col min="10" max="10" width="21.140625" customWidth="1"/>
    <col min="11" max="13" width="9.14062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19" ht="23.25" x14ac:dyDescent="0.25">
      <c r="A1" s="180" t="s">
        <v>18</v>
      </c>
      <c r="B1" s="180"/>
      <c r="C1" s="180"/>
      <c r="D1" s="180"/>
      <c r="E1" s="180"/>
      <c r="F1" s="180"/>
      <c r="G1" s="180"/>
      <c r="H1" s="180"/>
      <c r="I1" s="180"/>
      <c r="J1" s="127"/>
      <c r="K1" s="127"/>
    </row>
    <row r="2" spans="1:19" ht="24" thickBot="1" x14ac:dyDescent="0.4">
      <c r="A2" s="179" t="s">
        <v>160</v>
      </c>
      <c r="B2" s="179"/>
      <c r="C2" s="179"/>
      <c r="D2" s="179"/>
      <c r="E2" s="179"/>
      <c r="F2" s="179"/>
      <c r="G2" s="179"/>
      <c r="H2" s="179"/>
      <c r="I2" s="179"/>
      <c r="J2" s="106"/>
      <c r="K2" s="106"/>
    </row>
    <row r="3" spans="1:19" ht="15.75" thickBot="1" x14ac:dyDescent="0.3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J3" s="39" t="s">
        <v>558</v>
      </c>
      <c r="L3" s="181" t="s">
        <v>539</v>
      </c>
      <c r="M3" s="181"/>
      <c r="N3" s="181"/>
      <c r="O3" s="181"/>
      <c r="P3" s="181"/>
      <c r="Q3" s="181"/>
    </row>
    <row r="4" spans="1:19" ht="15.75" thickBot="1" x14ac:dyDescent="0.3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J4" s="33"/>
      <c r="L4" s="182"/>
      <c r="M4" s="182"/>
      <c r="N4" s="182"/>
      <c r="O4" s="133" t="s">
        <v>541</v>
      </c>
      <c r="P4" s="133" t="s">
        <v>542</v>
      </c>
      <c r="Q4" s="133" t="s">
        <v>430</v>
      </c>
    </row>
    <row r="5" spans="1:19" ht="15.75" thickBot="1" x14ac:dyDescent="0.3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J5" s="6"/>
      <c r="L5" s="183" t="s">
        <v>160</v>
      </c>
      <c r="M5" s="183"/>
      <c r="N5" s="183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.75" thickBot="1" x14ac:dyDescent="0.3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J6" s="175">
        <v>7.8174999999999999</v>
      </c>
      <c r="L6" s="183" t="s">
        <v>41</v>
      </c>
      <c r="M6" s="183"/>
      <c r="N6" s="183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.75" thickBot="1" x14ac:dyDescent="0.3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J7" s="6"/>
      <c r="L7" s="183" t="s">
        <v>59</v>
      </c>
      <c r="M7" s="183"/>
      <c r="N7" s="183"/>
      <c r="O7" s="6">
        <f>H237</f>
        <v>5262.10371996711</v>
      </c>
      <c r="P7" s="6">
        <f>I237</f>
        <v>11319.931684291781</v>
      </c>
      <c r="Q7" s="7">
        <f>O7+P7</f>
        <v>16582.035404258892</v>
      </c>
    </row>
    <row r="8" spans="1:19" ht="15.75" thickBot="1" x14ac:dyDescent="0.3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J8" s="6"/>
      <c r="L8" s="184" t="s">
        <v>540</v>
      </c>
      <c r="M8" s="184"/>
      <c r="N8" s="184"/>
      <c r="O8" s="185">
        <f>SUM(O5:O7)</f>
        <v>17243.796313248808</v>
      </c>
      <c r="P8" s="185">
        <f>SUM(P5:P7)</f>
        <v>36486.734712379381</v>
      </c>
      <c r="Q8" s="185">
        <f>Q5+Q6+Q7</f>
        <v>53730.531025628181</v>
      </c>
    </row>
    <row r="9" spans="1:19" ht="15.75" thickBot="1" x14ac:dyDescent="0.3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J9" s="6"/>
      <c r="L9" s="184"/>
      <c r="M9" s="184"/>
      <c r="N9" s="184"/>
      <c r="O9" s="186"/>
      <c r="P9" s="186"/>
      <c r="Q9" s="186"/>
      <c r="R9" s="1"/>
      <c r="S9" s="1"/>
    </row>
    <row r="10" spans="1:19" ht="15.75" thickBot="1" x14ac:dyDescent="0.3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J10" s="6"/>
      <c r="P10" s="1"/>
      <c r="Q10" s="1"/>
      <c r="R10" s="1"/>
      <c r="S10" s="1"/>
    </row>
    <row r="11" spans="1:19" ht="15.75" thickBot="1" x14ac:dyDescent="0.3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J11" s="6"/>
      <c r="P11" s="1"/>
      <c r="Q11" s="1"/>
      <c r="R11" s="1"/>
      <c r="S11" s="1"/>
    </row>
    <row r="12" spans="1:19" ht="15.75" thickBot="1" x14ac:dyDescent="0.3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J12" s="175">
        <v>5.61</v>
      </c>
      <c r="P12" s="1"/>
      <c r="Q12" s="1"/>
      <c r="R12" s="1"/>
      <c r="S12" s="1"/>
    </row>
    <row r="13" spans="1:19" ht="15.75" thickBot="1" x14ac:dyDescent="0.3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J13" s="6"/>
      <c r="M13" s="44"/>
      <c r="N13" s="44"/>
    </row>
    <row r="14" spans="1:19" ht="15.75" thickBot="1" x14ac:dyDescent="0.3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  <c r="J14" s="6"/>
    </row>
    <row r="15" spans="1:19" ht="15.75" thickBot="1" x14ac:dyDescent="0.3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  <c r="J15" s="6"/>
    </row>
    <row r="16" spans="1:19" ht="15.75" thickBot="1" x14ac:dyDescent="0.3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  <c r="J16" s="6"/>
    </row>
    <row r="17" spans="1:19" ht="15.75" thickBot="1" x14ac:dyDescent="0.3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  <c r="J17" s="175">
        <v>3.9771999999999998</v>
      </c>
    </row>
    <row r="18" spans="1:19" ht="15.75" thickBot="1" x14ac:dyDescent="0.3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J18" s="6"/>
      <c r="O18" s="1"/>
      <c r="P18" s="1"/>
    </row>
    <row r="19" spans="1:19" ht="15.75" thickBot="1" x14ac:dyDescent="0.3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J19" s="6"/>
      <c r="O19" s="1"/>
      <c r="P19" s="1"/>
    </row>
    <row r="20" spans="1:19" ht="15.75" thickBot="1" x14ac:dyDescent="0.3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  <c r="J20" s="6"/>
    </row>
    <row r="21" spans="1:19" ht="15.75" thickBot="1" x14ac:dyDescent="0.3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  <c r="J21" s="6"/>
    </row>
    <row r="22" spans="1:19" ht="15.75" thickBot="1" x14ac:dyDescent="0.3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J22" s="6"/>
      <c r="P22" s="190"/>
      <c r="Q22" s="190"/>
    </row>
    <row r="23" spans="1:19" ht="15.75" thickBot="1" x14ac:dyDescent="0.3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J23" s="6"/>
      <c r="P23" s="2"/>
      <c r="Q23" s="1"/>
      <c r="R23" s="1"/>
      <c r="S23" s="1"/>
    </row>
    <row r="24" spans="1:19" ht="15.75" thickBot="1" x14ac:dyDescent="0.3">
      <c r="A24" s="13" t="s">
        <v>28</v>
      </c>
      <c r="B24" s="6">
        <f>References!Z25*4</f>
        <v>2624.7159999999999</v>
      </c>
      <c r="C24" s="6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J24" s="6"/>
      <c r="P24" s="2"/>
      <c r="Q24" s="1"/>
      <c r="R24" s="1"/>
      <c r="S24" s="1"/>
    </row>
    <row r="25" spans="1:19" ht="15.75" thickBot="1" x14ac:dyDescent="0.3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  <c r="J25" s="6"/>
    </row>
    <row r="26" spans="1:19" ht="15.75" thickBot="1" x14ac:dyDescent="0.3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J26" s="6"/>
      <c r="O26" s="1"/>
      <c r="P26" s="1"/>
      <c r="Q26" s="1"/>
      <c r="R26" s="1"/>
    </row>
    <row r="27" spans="1:19" ht="15.75" thickBot="1" x14ac:dyDescent="0.3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J27" s="6"/>
      <c r="O27" s="1"/>
      <c r="P27" s="1"/>
      <c r="Q27" s="1"/>
      <c r="R27" s="1"/>
    </row>
    <row r="28" spans="1:19" ht="15.75" thickBot="1" x14ac:dyDescent="0.3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  <c r="J28" s="6"/>
    </row>
    <row r="29" spans="1:19" ht="15.75" thickBot="1" x14ac:dyDescent="0.3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  <c r="J29" s="6"/>
    </row>
    <row r="30" spans="1:19" ht="15.75" thickBot="1" x14ac:dyDescent="0.3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  <c r="J30" s="6"/>
    </row>
    <row r="31" spans="1:19" ht="15.75" thickBot="1" x14ac:dyDescent="0.3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  <c r="J31" s="6"/>
    </row>
    <row r="32" spans="1:19" ht="15.75" thickBot="1" x14ac:dyDescent="0.3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  <c r="J32" s="6"/>
    </row>
    <row r="33" spans="1:10" ht="15.75" thickBot="1" x14ac:dyDescent="0.3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  <c r="J33" s="6"/>
    </row>
    <row r="34" spans="1:10" ht="15.75" thickBot="1" x14ac:dyDescent="0.3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  <c r="J34" s="6"/>
    </row>
    <row r="35" spans="1:10" ht="15.75" thickBot="1" x14ac:dyDescent="0.3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  <c r="J35" s="6"/>
    </row>
    <row r="36" spans="1:10" ht="15.75" thickBot="1" x14ac:dyDescent="0.3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  <c r="J36" s="175">
        <v>5.5202999999999998</v>
      </c>
    </row>
    <row r="37" spans="1:10" ht="15.75" thickBot="1" x14ac:dyDescent="0.3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  <c r="J37" s="6"/>
    </row>
    <row r="38" spans="1:10" ht="15.75" thickBot="1" x14ac:dyDescent="0.3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  <c r="J38" s="6"/>
    </row>
    <row r="39" spans="1:10" ht="15.75" thickBot="1" x14ac:dyDescent="0.3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  <c r="J39" s="6"/>
    </row>
    <row r="40" spans="1:10" ht="15.75" thickBot="1" x14ac:dyDescent="0.3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  <c r="J40" s="6"/>
    </row>
    <row r="41" spans="1:10" ht="15.75" thickBot="1" x14ac:dyDescent="0.3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  <c r="J41" s="6"/>
    </row>
    <row r="42" spans="1:10" ht="15.75" thickBot="1" x14ac:dyDescent="0.3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  <c r="J42" s="6"/>
    </row>
    <row r="43" spans="1:10" ht="15.75" thickBot="1" x14ac:dyDescent="0.3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  <c r="J43" s="6"/>
    </row>
    <row r="44" spans="1:10" ht="15.75" thickBot="1" x14ac:dyDescent="0.3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  <c r="J44" s="6"/>
    </row>
    <row r="45" spans="1:10" ht="15.75" thickBot="1" x14ac:dyDescent="0.3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  <c r="J45" s="6"/>
    </row>
    <row r="46" spans="1:10" ht="15.75" thickBot="1" x14ac:dyDescent="0.3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  <c r="J46" s="6"/>
    </row>
    <row r="47" spans="1:10" ht="15.75" thickBot="1" x14ac:dyDescent="0.3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  <c r="J47" s="175">
        <v>8.3137000000000008</v>
      </c>
    </row>
    <row r="48" spans="1:10" ht="15.75" thickBot="1" x14ac:dyDescent="0.3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  <c r="J48" s="175"/>
    </row>
    <row r="49" spans="1:10" ht="15.75" thickBot="1" x14ac:dyDescent="0.3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  <c r="J49" s="6"/>
    </row>
    <row r="50" spans="1:10" ht="15.75" thickBot="1" x14ac:dyDescent="0.3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  <c r="J50" s="6"/>
    </row>
    <row r="51" spans="1:10" ht="15.75" thickBot="1" x14ac:dyDescent="0.3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  <c r="J51" s="6"/>
    </row>
    <row r="52" spans="1:10" ht="15.75" thickBot="1" x14ac:dyDescent="0.3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  <c r="J52" s="6"/>
    </row>
    <row r="53" spans="1:10" ht="15.75" thickBot="1" x14ac:dyDescent="0.3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  <c r="J53" s="6"/>
    </row>
    <row r="54" spans="1:10" ht="15.75" thickBot="1" x14ac:dyDescent="0.3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  <c r="J54" s="6"/>
    </row>
    <row r="55" spans="1:10" ht="15.75" thickBot="1" x14ac:dyDescent="0.3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  <c r="J55" s="6"/>
    </row>
    <row r="56" spans="1:10" ht="15.75" thickBot="1" x14ac:dyDescent="0.3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  <c r="J56" s="6"/>
    </row>
    <row r="57" spans="1:10" ht="15.75" thickBot="1" x14ac:dyDescent="0.3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  <c r="J57" s="6"/>
    </row>
    <row r="58" spans="1:10" ht="15.75" thickBot="1" x14ac:dyDescent="0.3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  <c r="J58" s="6"/>
    </row>
    <row r="59" spans="1:10" ht="15.75" thickBot="1" x14ac:dyDescent="0.3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  <c r="J59" s="6"/>
    </row>
    <row r="60" spans="1:10" ht="15.75" thickBot="1" x14ac:dyDescent="0.3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  <c r="J60" s="175">
        <v>34.215200000000003</v>
      </c>
    </row>
    <row r="61" spans="1:10" ht="15.75" thickBot="1" x14ac:dyDescent="0.3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  <c r="J61" s="175"/>
    </row>
    <row r="62" spans="1:10" ht="15.75" thickBot="1" x14ac:dyDescent="0.3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  <c r="J62" s="175"/>
    </row>
    <row r="63" spans="1:10" ht="15.75" thickBot="1" x14ac:dyDescent="0.3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  <c r="J63" s="6"/>
    </row>
    <row r="64" spans="1:10" ht="15.75" thickBot="1" x14ac:dyDescent="0.3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  <c r="J64" s="6"/>
    </row>
    <row r="65" spans="1:10" ht="15.75" thickBot="1" x14ac:dyDescent="0.3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  <c r="J65" s="6"/>
    </row>
    <row r="66" spans="1:10" ht="15.75" thickBot="1" x14ac:dyDescent="0.3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  <c r="J66" s="6"/>
    </row>
    <row r="67" spans="1:10" ht="15.75" thickBot="1" x14ac:dyDescent="0.3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  <c r="J67" s="175"/>
    </row>
    <row r="68" spans="1:10" ht="15.75" thickBot="1" x14ac:dyDescent="0.3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  <c r="J68" s="6"/>
    </row>
    <row r="69" spans="1:10" ht="15.75" thickBot="1" x14ac:dyDescent="0.3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  <c r="J69" s="6"/>
    </row>
    <row r="70" spans="1:10" ht="15.75" thickBot="1" x14ac:dyDescent="0.3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  <c r="J70" s="175"/>
    </row>
    <row r="71" spans="1:10" s="119" customFormat="1" ht="15.75" thickBot="1" x14ac:dyDescent="0.3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  <c r="J71" s="6"/>
    </row>
    <row r="72" spans="1:10" s="119" customFormat="1" ht="15.75" thickBot="1" x14ac:dyDescent="0.3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  <c r="J72" s="21"/>
    </row>
    <row r="73" spans="1:10" ht="15.75" thickBot="1" x14ac:dyDescent="0.3">
      <c r="F73" s="187" t="s">
        <v>333</v>
      </c>
      <c r="G73" s="187"/>
      <c r="H73" s="41">
        <f>SUM(H4:H72)</f>
        <v>6335.2156108951121</v>
      </c>
      <c r="I73" s="147">
        <f>SUM(I4:I72)</f>
        <v>13463.221743267075</v>
      </c>
    </row>
    <row r="74" spans="1:10" ht="15.75" thickBot="1" x14ac:dyDescent="0.3">
      <c r="F74" s="187" t="s">
        <v>161</v>
      </c>
      <c r="G74" s="187"/>
      <c r="H74" s="188">
        <f>H73+I73</f>
        <v>19798.437354162186</v>
      </c>
      <c r="I74" s="189"/>
    </row>
    <row r="76" spans="1:10" ht="23.25" x14ac:dyDescent="0.35">
      <c r="A76" s="191" t="s">
        <v>41</v>
      </c>
      <c r="B76" s="191"/>
      <c r="C76" s="191"/>
      <c r="D76" s="191"/>
      <c r="E76" s="191"/>
      <c r="F76" s="191"/>
      <c r="G76" s="191"/>
      <c r="H76" s="191"/>
      <c r="I76" s="191"/>
    </row>
    <row r="77" spans="1:10" ht="15.75" thickBot="1" x14ac:dyDescent="0.3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10" ht="15.75" thickBot="1" x14ac:dyDescent="0.3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10" ht="15.75" thickBot="1" x14ac:dyDescent="0.3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10" ht="15.75" thickBot="1" x14ac:dyDescent="0.3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9" ht="15.75" thickBot="1" x14ac:dyDescent="0.3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9" ht="15.75" thickBot="1" x14ac:dyDescent="0.3">
      <c r="A82" s="6" t="s">
        <v>230</v>
      </c>
      <c r="B82" s="6">
        <f>References!AB8*4</f>
        <v>881.32960000000003</v>
      </c>
      <c r="C82" s="6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</row>
    <row r="83" spans="1:9" ht="15.75" thickBot="1" x14ac:dyDescent="0.3">
      <c r="A83" s="6" t="s">
        <v>231</v>
      </c>
      <c r="B83" s="6">
        <f>References!AB9*4</f>
        <v>573.16452000000004</v>
      </c>
      <c r="C83" s="6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9" ht="15.75" thickBot="1" x14ac:dyDescent="0.3">
      <c r="A84" s="6" t="s">
        <v>232</v>
      </c>
      <c r="B84" s="6">
        <f>References!AB10*4</f>
        <v>315.02960000000002</v>
      </c>
      <c r="C84" s="6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9" ht="15.75" thickBot="1" x14ac:dyDescent="0.3">
      <c r="A85" s="107" t="s">
        <v>233</v>
      </c>
      <c r="B85" s="6">
        <f>References!AB11*4</f>
        <v>398.61880000000002</v>
      </c>
      <c r="C85" s="6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9" ht="15.75" thickBot="1" x14ac:dyDescent="0.3">
      <c r="A86" s="107" t="s">
        <v>234</v>
      </c>
      <c r="B86" s="6">
        <f>References!AB12*4</f>
        <v>571.5204</v>
      </c>
      <c r="C86" s="6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9" ht="15.75" thickBot="1" x14ac:dyDescent="0.3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9" ht="15.75" thickBot="1" x14ac:dyDescent="0.3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9" ht="15.75" thickBot="1" x14ac:dyDescent="0.3">
      <c r="A89" s="6" t="s">
        <v>125</v>
      </c>
      <c r="B89" s="6">
        <f>References!AB15*4</f>
        <v>136.47</v>
      </c>
      <c r="C89" s="6">
        <f t="shared" si="4"/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9" ht="15.75" thickBot="1" x14ac:dyDescent="0.3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9" ht="15.75" thickBot="1" x14ac:dyDescent="0.3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9" ht="15.75" thickBot="1" x14ac:dyDescent="0.3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9" ht="15.75" thickBot="1" x14ac:dyDescent="0.3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9" ht="15.75" thickBot="1" x14ac:dyDescent="0.3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9" ht="15.75" thickBot="1" x14ac:dyDescent="0.3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9" ht="15.75" thickBot="1" x14ac:dyDescent="0.3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.75" thickBot="1" x14ac:dyDescent="0.3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.75" thickBot="1" x14ac:dyDescent="0.3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.75" thickBot="1" x14ac:dyDescent="0.3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.75" thickBot="1" x14ac:dyDescent="0.3">
      <c r="A100" s="6" t="s">
        <v>64</v>
      </c>
      <c r="B100" s="6">
        <f>References!AB26*4</f>
        <v>91.316000000000003</v>
      </c>
      <c r="C100" s="6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.75" thickBot="1" x14ac:dyDescent="0.3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.75" thickBot="1" x14ac:dyDescent="0.3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.75" thickBot="1" x14ac:dyDescent="0.3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.75" thickBot="1" x14ac:dyDescent="0.3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.75" thickBot="1" x14ac:dyDescent="0.3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.75" thickBot="1" x14ac:dyDescent="0.3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.75" thickBot="1" x14ac:dyDescent="0.3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.75" thickBot="1" x14ac:dyDescent="0.3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.75" thickBot="1" x14ac:dyDescent="0.3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.75" thickBot="1" x14ac:dyDescent="0.3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.75" thickBot="1" x14ac:dyDescent="0.3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.75" thickBot="1" x14ac:dyDescent="0.3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.75" thickBot="1" x14ac:dyDescent="0.3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.75" thickBot="1" x14ac:dyDescent="0.3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.75" thickBot="1" x14ac:dyDescent="0.3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.75" thickBot="1" x14ac:dyDescent="0.3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.75" thickBot="1" x14ac:dyDescent="0.3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.75" thickBot="1" x14ac:dyDescent="0.3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.75" thickBot="1" x14ac:dyDescent="0.3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.75" thickBot="1" x14ac:dyDescent="0.3">
      <c r="A120" s="6" t="s">
        <v>186</v>
      </c>
      <c r="B120" s="6">
        <f>References!AB46*4</f>
        <v>55.004800000000003</v>
      </c>
      <c r="C120" s="6">
        <f t="shared" si="8"/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.75" thickBot="1" x14ac:dyDescent="0.3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.75" thickBot="1" x14ac:dyDescent="0.3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.75" thickBot="1" x14ac:dyDescent="0.3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.75" thickBot="1" x14ac:dyDescent="0.3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.75" thickBot="1" x14ac:dyDescent="0.3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.75" thickBot="1" x14ac:dyDescent="0.3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.75" thickBot="1" x14ac:dyDescent="0.3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.75" thickBot="1" x14ac:dyDescent="0.3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9" ht="15.75" thickBot="1" x14ac:dyDescent="0.3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9" ht="15.75" thickBot="1" x14ac:dyDescent="0.3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9" ht="15.75" thickBot="1" x14ac:dyDescent="0.3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9" ht="15.75" thickBot="1" x14ac:dyDescent="0.3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9" ht="15.75" thickBot="1" x14ac:dyDescent="0.3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</row>
    <row r="134" spans="1:9" ht="15.75" thickBot="1" x14ac:dyDescent="0.3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9" ht="15.75" thickBot="1" x14ac:dyDescent="0.3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9" ht="15.75" thickBot="1" x14ac:dyDescent="0.3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9" ht="15.75" thickBot="1" x14ac:dyDescent="0.3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9" ht="15.75" thickBot="1" x14ac:dyDescent="0.3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9" ht="15.75" thickBot="1" x14ac:dyDescent="0.3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9" ht="15.75" thickBot="1" x14ac:dyDescent="0.3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9" ht="15.75" thickBot="1" x14ac:dyDescent="0.3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9" ht="15.75" thickBot="1" x14ac:dyDescent="0.3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9" ht="15.75" thickBot="1" x14ac:dyDescent="0.3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9" ht="15.75" thickBot="1" x14ac:dyDescent="0.3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.75" thickBot="1" x14ac:dyDescent="0.3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.75" thickBot="1" x14ac:dyDescent="0.3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.75" thickBot="1" x14ac:dyDescent="0.3">
      <c r="A147" s="6" t="s">
        <v>201</v>
      </c>
      <c r="B147" s="6">
        <f>References!AB73*4</f>
        <v>22.764800000000001</v>
      </c>
      <c r="C147" s="6">
        <f t="shared" si="12"/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.75" thickBot="1" x14ac:dyDescent="0.3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.75" thickBot="1" x14ac:dyDescent="0.3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.75" thickBot="1" x14ac:dyDescent="0.3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.75" thickBot="1" x14ac:dyDescent="0.3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.75" thickBot="1" x14ac:dyDescent="0.3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.75" thickBot="1" x14ac:dyDescent="0.3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.75" thickBot="1" x14ac:dyDescent="0.3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.75" thickBot="1" x14ac:dyDescent="0.3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.75" thickBot="1" x14ac:dyDescent="0.3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.75" thickBot="1" x14ac:dyDescent="0.3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.75" thickBot="1" x14ac:dyDescent="0.3">
      <c r="F158" s="192" t="s">
        <v>122</v>
      </c>
      <c r="G158" s="192"/>
      <c r="H158" s="148">
        <f>SUM(H78:H157)</f>
        <v>5646.4769823865836</v>
      </c>
      <c r="I158" s="148">
        <f>SUM(I78:I157)</f>
        <v>11703.581284820526</v>
      </c>
    </row>
    <row r="159" spans="1:9" ht="15.75" thickBot="1" x14ac:dyDescent="0.3">
      <c r="F159" s="187" t="s">
        <v>167</v>
      </c>
      <c r="G159" s="187"/>
      <c r="H159" s="188">
        <f>I158+H158</f>
        <v>17350.05826720711</v>
      </c>
      <c r="I159" s="189"/>
    </row>
    <row r="161" spans="1:15" ht="23.25" x14ac:dyDescent="0.35">
      <c r="A161" s="179" t="s">
        <v>59</v>
      </c>
      <c r="B161" s="179"/>
      <c r="C161" s="179"/>
      <c r="D161" s="179"/>
      <c r="E161" s="179"/>
      <c r="F161" s="179"/>
      <c r="G161" s="179"/>
      <c r="H161" s="179"/>
      <c r="I161" s="179"/>
      <c r="J161" s="106"/>
      <c r="K161" s="106"/>
    </row>
    <row r="162" spans="1:15" ht="15.75" thickBot="1" x14ac:dyDescent="0.3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5" ht="15.75" thickBot="1" x14ac:dyDescent="0.3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5" ht="15.75" thickBot="1" x14ac:dyDescent="0.3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5" ht="15.75" thickBot="1" x14ac:dyDescent="0.3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5" ht="15.75" thickBot="1" x14ac:dyDescent="0.3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5" ht="15.75" thickBot="1" x14ac:dyDescent="0.3">
      <c r="A167" s="8" t="s">
        <v>302</v>
      </c>
      <c r="B167" s="6">
        <f>References!AE8*4</f>
        <v>149.63480000000001</v>
      </c>
      <c r="C167" s="6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5" ht="15.75" thickBot="1" x14ac:dyDescent="0.3">
      <c r="A168" s="8" t="s">
        <v>303</v>
      </c>
      <c r="B168" s="6">
        <f>References!AE9*4</f>
        <v>149.63480000000001</v>
      </c>
      <c r="C168" s="6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5" ht="15.75" thickBot="1" x14ac:dyDescent="0.3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5" ht="15.75" thickBot="1" x14ac:dyDescent="0.3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5" ht="15.75" thickBot="1" x14ac:dyDescent="0.3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5" ht="15.75" thickBot="1" x14ac:dyDescent="0.3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5" ht="15.75" thickBot="1" x14ac:dyDescent="0.3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  <c r="K173">
        <v>28</v>
      </c>
      <c r="N173">
        <v>24</v>
      </c>
      <c r="O173">
        <v>22.5</v>
      </c>
    </row>
    <row r="174" spans="1:15" ht="15.75" thickBot="1" x14ac:dyDescent="0.3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  <c r="K174">
        <f>SUM(I167,I168,I182,I219,I220,I223,I232)</f>
        <v>3819.2113385334228</v>
      </c>
      <c r="N174">
        <f>SUM(I164,I170,I172,I174,I176,I178,I180,I183:I185,I187,I189,I191,I193,I195,I197,I199,I201,I203,I205,I207,I210,I212,I215,I217,I222,I224:I225,I230:I231,I234,I236)</f>
        <v>2401.3595459968333</v>
      </c>
    </row>
    <row r="175" spans="1:15" ht="15.75" thickBot="1" x14ac:dyDescent="0.3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5" ht="15.75" thickBot="1" x14ac:dyDescent="0.3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14" ht="15.75" thickBot="1" x14ac:dyDescent="0.3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  <c r="K177">
        <f>SUM(H167,H168,H182,H219,H220,H223,H232)</f>
        <v>1612.9581779422217</v>
      </c>
      <c r="N177">
        <f>SUM(H164,H170,H172,H174,H176,H178,H180,H183:H184,H185,H187,H189,H191,H193,H195,H197,H199,H201,H203,H205,H207,H210,H212,H215,H217,H222,H224,H225,H230,H231,H234,H236)</f>
        <v>1170.8760623560001</v>
      </c>
    </row>
    <row r="178" spans="1:14" ht="15.75" thickBot="1" x14ac:dyDescent="0.3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14" ht="15.75" thickBot="1" x14ac:dyDescent="0.3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14" ht="15.75" thickBot="1" x14ac:dyDescent="0.3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14" ht="15.75" thickBot="1" x14ac:dyDescent="0.3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14" ht="15.75" thickBot="1" x14ac:dyDescent="0.3">
      <c r="A182" s="8" t="s">
        <v>64</v>
      </c>
      <c r="B182" s="6">
        <f>References!AE23*4</f>
        <v>91.316000000000003</v>
      </c>
      <c r="C182" s="6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14" ht="15.75" thickBot="1" x14ac:dyDescent="0.3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14" ht="15.75" thickBot="1" x14ac:dyDescent="0.3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  <c r="J184" s="176"/>
    </row>
    <row r="185" spans="1:14" ht="15.75" thickBot="1" x14ac:dyDescent="0.3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  <c r="J185" s="176"/>
    </row>
    <row r="186" spans="1:14" ht="15.75" thickBot="1" x14ac:dyDescent="0.3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14" ht="15.75" thickBot="1" x14ac:dyDescent="0.3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14" ht="15.75" thickBot="1" x14ac:dyDescent="0.3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14" ht="15.75" thickBot="1" x14ac:dyDescent="0.3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14" ht="15.75" thickBot="1" x14ac:dyDescent="0.3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14" ht="15.75" thickBot="1" x14ac:dyDescent="0.3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14" ht="15.75" thickBot="1" x14ac:dyDescent="0.3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.75" thickBot="1" x14ac:dyDescent="0.3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.75" thickBot="1" x14ac:dyDescent="0.3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.75" thickBot="1" x14ac:dyDescent="0.3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.75" thickBot="1" x14ac:dyDescent="0.3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.75" thickBot="1" x14ac:dyDescent="0.3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.75" thickBot="1" x14ac:dyDescent="0.3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.75" thickBot="1" x14ac:dyDescent="0.3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.75" thickBot="1" x14ac:dyDescent="0.3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.75" thickBot="1" x14ac:dyDescent="0.3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.75" thickBot="1" x14ac:dyDescent="0.3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.75" thickBot="1" x14ac:dyDescent="0.3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.75" thickBot="1" x14ac:dyDescent="0.3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.75" thickBot="1" x14ac:dyDescent="0.3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.75" thickBot="1" x14ac:dyDescent="0.3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.75" thickBot="1" x14ac:dyDescent="0.3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.75" thickBot="1" x14ac:dyDescent="0.3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.75" thickBot="1" x14ac:dyDescent="0.3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.75" thickBot="1" x14ac:dyDescent="0.3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.75" thickBot="1" x14ac:dyDescent="0.3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.75" thickBot="1" x14ac:dyDescent="0.3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.75" thickBot="1" x14ac:dyDescent="0.3">
      <c r="A213" s="8" t="s">
        <v>308</v>
      </c>
      <c r="B213" s="6">
        <f>References!AE54*4</f>
        <v>93.931600000000003</v>
      </c>
      <c r="C213" s="6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.75" thickBot="1" x14ac:dyDescent="0.3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.75" thickBot="1" x14ac:dyDescent="0.3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.75" thickBot="1" x14ac:dyDescent="0.3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.75" thickBot="1" x14ac:dyDescent="0.3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.75" thickBot="1" x14ac:dyDescent="0.3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.75" thickBot="1" x14ac:dyDescent="0.3">
      <c r="A219" s="8" t="s">
        <v>312</v>
      </c>
      <c r="B219" s="6">
        <f>References!AE60*4</f>
        <v>44.348799999999997</v>
      </c>
      <c r="C219" s="6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.75" thickBot="1" x14ac:dyDescent="0.3">
      <c r="A220" s="8" t="s">
        <v>313</v>
      </c>
      <c r="B220" s="6">
        <f>References!AE61*4</f>
        <v>33.1</v>
      </c>
      <c r="C220" s="6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.75" thickBot="1" x14ac:dyDescent="0.3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.75" thickBot="1" x14ac:dyDescent="0.3">
      <c r="A222" s="8" t="s">
        <v>315</v>
      </c>
      <c r="B222" s="6">
        <f>References!AE63*4</f>
        <v>735.77520000000004</v>
      </c>
      <c r="C222" s="6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.75" thickBot="1" x14ac:dyDescent="0.3">
      <c r="A223" s="8" t="s">
        <v>316</v>
      </c>
      <c r="B223" s="6">
        <f>References!AE64*4</f>
        <v>235.44040000000001</v>
      </c>
      <c r="C223" s="6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.75" thickBot="1" x14ac:dyDescent="0.3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10" ht="15.75" thickBot="1" x14ac:dyDescent="0.3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10" ht="15.75" thickBot="1" x14ac:dyDescent="0.3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10" ht="15.75" thickBot="1" x14ac:dyDescent="0.3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6" si="24">ABS(3000*C227*(F227-G227))</f>
        <v>92.629690265375999</v>
      </c>
    </row>
    <row r="228" spans="1:10" ht="15.75" thickBot="1" x14ac:dyDescent="0.3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10" ht="15.75" thickBot="1" x14ac:dyDescent="0.3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10" ht="15.75" thickBot="1" x14ac:dyDescent="0.3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  <c r="J230" s="176"/>
    </row>
    <row r="231" spans="1:10" ht="15.75" thickBot="1" x14ac:dyDescent="0.3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10" ht="15.75" thickBot="1" x14ac:dyDescent="0.3">
      <c r="A232" s="23" t="s">
        <v>28</v>
      </c>
      <c r="B232" s="21">
        <f>References!AE73*4</f>
        <v>2512.0731999999998</v>
      </c>
      <c r="C232" s="21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10" s="119" customFormat="1" ht="15.75" thickBot="1" x14ac:dyDescent="0.3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68">
        <f t="shared" ref="G233:G234" si="25">_xlfn.IFS(E233=22.5,0.00848031,E233=24,0.009293235,E233=22,0.00821976,E233=28,0.0118162235)</f>
        <v>8.4803099999999996E-3</v>
      </c>
      <c r="H233" s="168">
        <f t="shared" ref="H233:H234" si="26">ABS(1.232*(D233-E233)*C233)</f>
        <v>46.402047999999994</v>
      </c>
      <c r="I233" s="21">
        <f t="shared" si="24"/>
        <v>90.925057871999996</v>
      </c>
    </row>
    <row r="234" spans="1:10" s="119" customFormat="1" ht="15.75" thickBot="1" x14ac:dyDescent="0.3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68">
        <f t="shared" si="25"/>
        <v>9.2932350000000004E-3</v>
      </c>
      <c r="H234" s="168">
        <f t="shared" si="26"/>
        <v>9.4734639999999999</v>
      </c>
      <c r="I234" s="21">
        <f t="shared" si="24"/>
        <v>19.429206848999996</v>
      </c>
    </row>
    <row r="235" spans="1:10" s="119" customFormat="1" ht="15.75" thickBot="1" x14ac:dyDescent="0.3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68">
        <f t="shared" ref="G235:G236" si="27">_xlfn.IFS(E235=22.5,0.00848031,E235=24,0.009293235,E235=22,0.00821976,E235=28,0.0118162235)</f>
        <v>8.4803099999999996E-3</v>
      </c>
      <c r="H235" s="168">
        <f t="shared" ref="H235:H236" si="28">ABS(1.232*(D235-E235)*C235)</f>
        <v>48.570367999999995</v>
      </c>
      <c r="I235" s="21">
        <f t="shared" si="24"/>
        <v>95.173892351999982</v>
      </c>
    </row>
    <row r="236" spans="1:10" s="119" customFormat="1" ht="15.75" thickBot="1" x14ac:dyDescent="0.3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68">
        <f t="shared" si="27"/>
        <v>9.2932350000000004E-3</v>
      </c>
      <c r="H236" s="168">
        <f t="shared" si="28"/>
        <v>9.837828</v>
      </c>
      <c r="I236" s="21">
        <f t="shared" si="24"/>
        <v>20.176484035499996</v>
      </c>
    </row>
    <row r="237" spans="1:10" ht="15.75" thickBot="1" x14ac:dyDescent="0.3">
      <c r="F237" s="187" t="s">
        <v>333</v>
      </c>
      <c r="G237" s="187"/>
      <c r="H237" s="41">
        <f>SUM(H163:H232)</f>
        <v>5262.10371996711</v>
      </c>
      <c r="I237" s="147">
        <f>SUM(I163:I236)</f>
        <v>11319.931684291781</v>
      </c>
    </row>
    <row r="238" spans="1:10" ht="15.75" thickBot="1" x14ac:dyDescent="0.3">
      <c r="F238" s="187" t="s">
        <v>161</v>
      </c>
      <c r="G238" s="187"/>
      <c r="H238" s="188">
        <f>I237+H237</f>
        <v>16582.035404258892</v>
      </c>
      <c r="I238" s="189"/>
    </row>
  </sheetData>
  <mergeCells count="23"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  <mergeCell ref="P8:P9"/>
    <mergeCell ref="Q8:Q9"/>
    <mergeCell ref="L4:N4"/>
    <mergeCell ref="L5:N5"/>
    <mergeCell ref="L6:N6"/>
    <mergeCell ref="L7:N7"/>
    <mergeCell ref="L8:N9"/>
  </mergeCells>
  <phoneticPr fontId="15" type="noConversion"/>
  <pageMargins left="0.7" right="0.7" top="0.75" bottom="0.75" header="0.3" footer="0.3"/>
  <pageSetup orientation="portrait" r:id="rId1"/>
  <ignoredErrors>
    <ignoredError sqref="B57:C70 B71 B23:C23 C24 B25:C40 B24 B46:C56 B41:C45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topLeftCell="A124" workbookViewId="0">
      <selection activeCell="G128" sqref="G128"/>
    </sheetView>
  </sheetViews>
  <sheetFormatPr defaultRowHeight="15" x14ac:dyDescent="0.25"/>
  <cols>
    <col min="1" max="1" width="26.140625" customWidth="1"/>
    <col min="2" max="2" width="25.28515625" customWidth="1"/>
    <col min="3" max="3" width="12.140625" customWidth="1"/>
    <col min="7" max="7" width="9.28515625" customWidth="1"/>
    <col min="8" max="8" width="10" customWidth="1"/>
  </cols>
  <sheetData>
    <row r="1" spans="1:17" ht="23.25" x14ac:dyDescent="0.25">
      <c r="A1" s="180" t="s">
        <v>533</v>
      </c>
      <c r="B1" s="180"/>
      <c r="C1" s="180"/>
      <c r="D1" s="180"/>
      <c r="E1" s="180"/>
      <c r="F1" s="180"/>
      <c r="G1" s="180"/>
      <c r="H1" s="180"/>
      <c r="I1" s="128"/>
    </row>
    <row r="2" spans="1:17" s="119" customFormat="1" ht="24" thickBot="1" x14ac:dyDescent="0.4">
      <c r="A2" s="178" t="s">
        <v>160</v>
      </c>
      <c r="B2" s="178"/>
      <c r="C2" s="178"/>
      <c r="D2" s="178"/>
      <c r="E2" s="178"/>
      <c r="F2" s="178"/>
      <c r="G2" s="178"/>
      <c r="H2" s="178"/>
      <c r="I2" s="103"/>
      <c r="J2" s="103"/>
      <c r="K2" s="103"/>
    </row>
    <row r="3" spans="1:17" ht="15.75" thickBot="1" x14ac:dyDescent="0.3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193" t="s">
        <v>539</v>
      </c>
      <c r="M3" s="193"/>
      <c r="N3" s="193"/>
      <c r="O3" s="193"/>
      <c r="P3" s="193"/>
      <c r="Q3" s="193"/>
    </row>
    <row r="4" spans="1:17" ht="42" customHeight="1" thickBot="1" x14ac:dyDescent="0.3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194"/>
      <c r="M4" s="194"/>
      <c r="N4" s="194"/>
      <c r="O4" s="134" t="s">
        <v>541</v>
      </c>
      <c r="P4" s="134" t="s">
        <v>542</v>
      </c>
      <c r="Q4" s="134" t="s">
        <v>430</v>
      </c>
    </row>
    <row r="5" spans="1:17" ht="90.75" thickBot="1" x14ac:dyDescent="0.3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195" t="s">
        <v>160</v>
      </c>
      <c r="M5" s="195"/>
      <c r="N5" s="195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30.75" thickBot="1" x14ac:dyDescent="0.3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195" t="s">
        <v>41</v>
      </c>
      <c r="M6" s="195"/>
      <c r="N6" s="195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60.75" thickBot="1" x14ac:dyDescent="0.3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195" t="s">
        <v>59</v>
      </c>
      <c r="M7" s="195"/>
      <c r="N7" s="195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60.75" thickBot="1" x14ac:dyDescent="0.3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184" t="s">
        <v>540</v>
      </c>
      <c r="M8" s="184"/>
      <c r="N8" s="184"/>
      <c r="O8" s="185">
        <f>SUM(O5:O7)</f>
        <v>11119.64832</v>
      </c>
      <c r="P8" s="185">
        <f>SUM(P5:P7)</f>
        <v>5615.9839999999995</v>
      </c>
      <c r="Q8" s="185">
        <f>Q5+Q6+Q7</f>
        <v>16735.632319999997</v>
      </c>
    </row>
    <row r="9" spans="1:17" ht="60.75" thickBot="1" x14ac:dyDescent="0.3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184"/>
      <c r="M9" s="184"/>
      <c r="N9" s="184"/>
      <c r="O9" s="186"/>
      <c r="P9" s="186"/>
      <c r="Q9" s="186"/>
    </row>
    <row r="10" spans="1:17" ht="60.75" thickBot="1" x14ac:dyDescent="0.3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60.75" thickBot="1" x14ac:dyDescent="0.3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60.75" thickBot="1" x14ac:dyDescent="0.3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</row>
    <row r="13" spans="1:17" ht="60.75" thickBot="1" x14ac:dyDescent="0.3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30.75" thickBot="1" x14ac:dyDescent="0.3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60.75" thickBot="1" x14ac:dyDescent="0.3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60.75" thickBot="1" x14ac:dyDescent="0.3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60.75" thickBot="1" x14ac:dyDescent="0.3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60.75" thickBot="1" x14ac:dyDescent="0.3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60.75" thickBot="1" x14ac:dyDescent="0.3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60.75" thickBot="1" x14ac:dyDescent="0.3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60.75" thickBot="1" x14ac:dyDescent="0.3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60.75" thickBot="1" x14ac:dyDescent="0.3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60.75" thickBot="1" x14ac:dyDescent="0.3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60.75" thickBot="1" x14ac:dyDescent="0.3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90.75" thickBot="1" x14ac:dyDescent="0.3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90.75" thickBot="1" x14ac:dyDescent="0.3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60.75" thickBot="1" x14ac:dyDescent="0.3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5.75" thickBot="1" x14ac:dyDescent="0.3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5.75" thickBot="1" x14ac:dyDescent="0.3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5.75" thickBot="1" x14ac:dyDescent="0.3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60.75" thickBot="1" x14ac:dyDescent="0.3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9" ht="86.25" customHeight="1" thickBot="1" x14ac:dyDescent="0.3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9" ht="60.75" thickBot="1" x14ac:dyDescent="0.3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9" ht="90.75" thickBot="1" x14ac:dyDescent="0.3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9" ht="60.75" thickBot="1" x14ac:dyDescent="0.3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9" ht="15.75" thickBot="1" x14ac:dyDescent="0.3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9" ht="15.75" thickBot="1" x14ac:dyDescent="0.3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9" ht="60.75" thickBot="1" x14ac:dyDescent="0.3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 t="shared" si="0"/>
        <v>95.293440000000004</v>
      </c>
      <c r="H39" s="62">
        <f t="shared" si="1"/>
        <v>48.128</v>
      </c>
    </row>
    <row r="40" spans="1:9" ht="15.75" thickBot="1" x14ac:dyDescent="0.3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9" s="50" customFormat="1" ht="54" customHeight="1" thickBot="1" x14ac:dyDescent="0.3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9" ht="60.75" thickBot="1" x14ac:dyDescent="0.3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9" ht="45.75" thickBot="1" x14ac:dyDescent="0.3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</row>
    <row r="44" spans="1:9" ht="45.75" thickBot="1" x14ac:dyDescent="0.3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9" ht="15.75" thickBot="1" x14ac:dyDescent="0.3">
      <c r="E45" s="196" t="s">
        <v>333</v>
      </c>
      <c r="F45" s="196"/>
      <c r="G45" s="124">
        <f>SUM(G4:G44)</f>
        <v>5447.2492799999991</v>
      </c>
      <c r="H45" s="124">
        <f>SUM(H4:H44)</f>
        <v>2751.1359999999986</v>
      </c>
    </row>
    <row r="46" spans="1:9" ht="15.75" thickBot="1" x14ac:dyDescent="0.3">
      <c r="E46" s="196" t="s">
        <v>161</v>
      </c>
      <c r="F46" s="196"/>
      <c r="G46" s="196">
        <f>G45+H45</f>
        <v>8198.3852799999986</v>
      </c>
      <c r="H46" s="196"/>
    </row>
    <row r="47" spans="1:9" x14ac:dyDescent="0.25">
      <c r="E47" s="49"/>
      <c r="F47" s="49"/>
      <c r="G47" s="49"/>
      <c r="H47" s="49"/>
    </row>
    <row r="48" spans="1:9" ht="23.25" x14ac:dyDescent="0.35">
      <c r="A48" s="191" t="s">
        <v>41</v>
      </c>
      <c r="B48" s="191"/>
      <c r="C48" s="191"/>
      <c r="D48" s="191"/>
      <c r="E48" s="191"/>
      <c r="F48" s="191"/>
      <c r="G48" s="191"/>
      <c r="H48" s="191"/>
      <c r="I48" s="126"/>
    </row>
    <row r="49" spans="1:8" ht="15.75" thickBot="1" x14ac:dyDescent="0.3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30.75" thickBot="1" x14ac:dyDescent="0.3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30.75" thickBot="1" x14ac:dyDescent="0.3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30.75" thickBot="1" x14ac:dyDescent="0.3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30.75" thickBot="1" x14ac:dyDescent="0.3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60.75" thickBot="1" x14ac:dyDescent="0.3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60.75" thickBot="1" x14ac:dyDescent="0.3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60.75" thickBot="1" x14ac:dyDescent="0.3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60.75" thickBot="1" x14ac:dyDescent="0.3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60.75" thickBot="1" x14ac:dyDescent="0.3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60.75" thickBot="1" x14ac:dyDescent="0.3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30.75" thickBot="1" x14ac:dyDescent="0.3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5.75" thickBot="1" x14ac:dyDescent="0.3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30.75" thickBot="1" x14ac:dyDescent="0.3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5.75" thickBot="1" x14ac:dyDescent="0.3">
      <c r="A66" s="8" t="s">
        <v>175</v>
      </c>
      <c r="B66" s="55" t="s">
        <v>381</v>
      </c>
      <c r="C66" s="6">
        <v>355</v>
      </c>
      <c r="D66" s="6">
        <v>0.33</v>
      </c>
      <c r="E66" s="6">
        <v>0.16</v>
      </c>
      <c r="F66" s="6">
        <v>0.96</v>
      </c>
      <c r="G66" s="6">
        <f t="shared" si="2"/>
        <v>112.464</v>
      </c>
      <c r="H66" s="15">
        <f t="shared" si="3"/>
        <v>56.800000000000004</v>
      </c>
    </row>
    <row r="67" spans="1:13" ht="30.75" thickBot="1" x14ac:dyDescent="0.3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5.75" thickBot="1" x14ac:dyDescent="0.3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5.75" thickBot="1" x14ac:dyDescent="0.3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30.75" thickBot="1" x14ac:dyDescent="0.3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30.75" thickBot="1" x14ac:dyDescent="0.3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5" thickBot="1" x14ac:dyDescent="0.3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.75" thickBot="1" x14ac:dyDescent="0.3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.75" thickBot="1" x14ac:dyDescent="0.3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90.75" thickBot="1" x14ac:dyDescent="0.3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30.75" thickBot="1" x14ac:dyDescent="0.3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5.75" thickBot="1" x14ac:dyDescent="0.3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.75" thickBot="1" x14ac:dyDescent="0.3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.75" thickBot="1" x14ac:dyDescent="0.3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75.75" thickBot="1" x14ac:dyDescent="0.3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5.75" thickBot="1" x14ac:dyDescent="0.3">
      <c r="A86" s="8" t="s">
        <v>175</v>
      </c>
      <c r="B86" s="55" t="s">
        <v>381</v>
      </c>
      <c r="C86" s="6">
        <v>355</v>
      </c>
      <c r="D86" s="6">
        <v>0.33</v>
      </c>
      <c r="E86" s="6">
        <v>0.16</v>
      </c>
      <c r="F86" s="6">
        <v>0.96</v>
      </c>
      <c r="G86" s="6">
        <f t="shared" si="2"/>
        <v>112.464</v>
      </c>
      <c r="H86" s="15">
        <f t="shared" si="3"/>
        <v>56.800000000000004</v>
      </c>
    </row>
    <row r="87" spans="1:9" ht="105.75" thickBot="1" x14ac:dyDescent="0.3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.75" thickBot="1" x14ac:dyDescent="0.3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60.75" thickBot="1" x14ac:dyDescent="0.3">
      <c r="A89" s="23" t="s">
        <v>64</v>
      </c>
      <c r="B89" s="59" t="s">
        <v>415</v>
      </c>
      <c r="C89" s="21">
        <v>45.8</v>
      </c>
      <c r="D89" s="21">
        <v>0.33</v>
      </c>
      <c r="E89" s="21">
        <v>0.16</v>
      </c>
      <c r="F89" s="21">
        <v>0.96</v>
      </c>
      <c r="G89" s="21">
        <f t="shared" si="2"/>
        <v>14.509439999999998</v>
      </c>
      <c r="H89" s="22">
        <f t="shared" si="3"/>
        <v>7.3279999999999994</v>
      </c>
    </row>
    <row r="90" spans="1:9" ht="15.75" thickBot="1" x14ac:dyDescent="0.3">
      <c r="E90" s="196" t="s">
        <v>333</v>
      </c>
      <c r="F90" s="196"/>
      <c r="G90" s="72">
        <f>SUM(G50:G89)</f>
        <v>3484.8253440000008</v>
      </c>
      <c r="H90" s="72">
        <f>SUM(H50:H89)</f>
        <v>1760.0128</v>
      </c>
    </row>
    <row r="91" spans="1:9" ht="15.75" thickBot="1" x14ac:dyDescent="0.3">
      <c r="E91" s="196" t="s">
        <v>161</v>
      </c>
      <c r="F91" s="196"/>
      <c r="G91" s="196">
        <f>G90+H90</f>
        <v>5244.8381440000012</v>
      </c>
      <c r="H91" s="196"/>
    </row>
    <row r="92" spans="1:9" x14ac:dyDescent="0.25">
      <c r="E92" s="49"/>
      <c r="F92" s="49"/>
      <c r="G92" s="49"/>
      <c r="H92" s="49"/>
    </row>
    <row r="93" spans="1:9" ht="23.25" x14ac:dyDescent="0.35">
      <c r="A93" s="179" t="s">
        <v>59</v>
      </c>
      <c r="B93" s="179"/>
      <c r="C93" s="179"/>
      <c r="D93" s="179"/>
      <c r="E93" s="179"/>
      <c r="F93" s="179"/>
      <c r="G93" s="179"/>
      <c r="H93" s="179"/>
      <c r="I93" s="106"/>
    </row>
    <row r="94" spans="1:9" ht="15.75" thickBot="1" x14ac:dyDescent="0.3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30.75" thickBot="1" x14ac:dyDescent="0.3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30.75" thickBot="1" x14ac:dyDescent="0.3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12" ht="30.75" thickBot="1" x14ac:dyDescent="0.3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12" ht="30.75" thickBot="1" x14ac:dyDescent="0.3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12" ht="60.75" thickBot="1" x14ac:dyDescent="0.3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  <c r="L99">
        <f>SUM(G127,G125)</f>
        <v>30.400127999999999</v>
      </c>
    </row>
    <row r="100" spans="1:12" ht="60.75" thickBot="1" x14ac:dyDescent="0.3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12" ht="60.75" thickBot="1" x14ac:dyDescent="0.3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12" ht="60.75" thickBot="1" x14ac:dyDescent="0.3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12" ht="60.75" thickBot="1" x14ac:dyDescent="0.3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12" ht="60.75" thickBot="1" x14ac:dyDescent="0.3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12" ht="60.75" thickBot="1" x14ac:dyDescent="0.3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12" ht="60.75" thickBot="1" x14ac:dyDescent="0.3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12" ht="60.75" thickBot="1" x14ac:dyDescent="0.3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12" ht="60.75" thickBot="1" x14ac:dyDescent="0.3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12" ht="60.75" thickBot="1" x14ac:dyDescent="0.3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12" ht="60.75" thickBot="1" x14ac:dyDescent="0.3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12" ht="60.75" thickBot="1" x14ac:dyDescent="0.3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12" ht="60.75" thickBot="1" x14ac:dyDescent="0.3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60.75" thickBot="1" x14ac:dyDescent="0.3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60.75" thickBot="1" x14ac:dyDescent="0.3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60.75" thickBot="1" x14ac:dyDescent="0.3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8" ht="45.75" thickBot="1" x14ac:dyDescent="0.3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8" ht="30.75" thickBot="1" x14ac:dyDescent="0.3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8" ht="45.75" thickBot="1" x14ac:dyDescent="0.3">
      <c r="A118" s="8" t="s">
        <v>175</v>
      </c>
      <c r="B118" s="55" t="s">
        <v>381</v>
      </c>
      <c r="C118" s="6">
        <v>355</v>
      </c>
      <c r="D118" s="6">
        <v>0.33</v>
      </c>
      <c r="E118" s="6">
        <v>0.16</v>
      </c>
      <c r="F118" s="6">
        <v>0.96</v>
      </c>
      <c r="G118" s="6">
        <f t="shared" si="4"/>
        <v>112.464</v>
      </c>
      <c r="H118" s="15">
        <f t="shared" si="5"/>
        <v>56.800000000000004</v>
      </c>
    </row>
    <row r="119" spans="1:8" ht="30.75" thickBot="1" x14ac:dyDescent="0.3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30.75" thickBot="1" x14ac:dyDescent="0.3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8" ht="60.75" thickBot="1" x14ac:dyDescent="0.3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</row>
    <row r="122" spans="1:8" ht="90.75" thickBot="1" x14ac:dyDescent="0.3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90.75" thickBot="1" x14ac:dyDescent="0.3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8" ht="60.75" thickBot="1" x14ac:dyDescent="0.3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8" ht="45.75" thickBot="1" x14ac:dyDescent="0.3">
      <c r="A125" s="8" t="s">
        <v>316</v>
      </c>
      <c r="B125" s="57" t="s">
        <v>423</v>
      </c>
      <c r="C125" s="6">
        <v>50.16</v>
      </c>
      <c r="D125" s="6">
        <v>0.33</v>
      </c>
      <c r="E125" s="6">
        <v>0.16</v>
      </c>
      <c r="F125" s="6">
        <v>0.96</v>
      </c>
      <c r="G125" s="6">
        <f t="shared" si="4"/>
        <v>15.890688000000001</v>
      </c>
      <c r="H125" s="15">
        <f t="shared" si="5"/>
        <v>8.025599999999999</v>
      </c>
    </row>
    <row r="126" spans="1:8" ht="30.75" thickBot="1" x14ac:dyDescent="0.3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8" ht="60.75" thickBot="1" x14ac:dyDescent="0.3">
      <c r="A127" s="23" t="s">
        <v>64</v>
      </c>
      <c r="B127" s="59" t="s">
        <v>424</v>
      </c>
      <c r="C127" s="21">
        <v>45.8</v>
      </c>
      <c r="D127" s="21">
        <v>0.33</v>
      </c>
      <c r="E127" s="21">
        <v>0.16</v>
      </c>
      <c r="F127" s="21">
        <v>0.96</v>
      </c>
      <c r="G127" s="21">
        <f t="shared" si="4"/>
        <v>14.509439999999998</v>
      </c>
      <c r="H127" s="22">
        <f t="shared" si="5"/>
        <v>7.3279999999999994</v>
      </c>
    </row>
    <row r="128" spans="1:8" ht="15.75" thickBot="1" x14ac:dyDescent="0.3">
      <c r="E128" s="196" t="s">
        <v>333</v>
      </c>
      <c r="F128" s="196"/>
      <c r="G128" s="72">
        <f>SUM(G95:G127)</f>
        <v>2187.573695999999</v>
      </c>
      <c r="H128" s="72">
        <f>SUM(H95:H127)</f>
        <v>1104.8352000000002</v>
      </c>
    </row>
    <row r="129" spans="5:8" ht="15.75" thickBot="1" x14ac:dyDescent="0.3">
      <c r="E129" s="196" t="s">
        <v>161</v>
      </c>
      <c r="F129" s="196"/>
      <c r="G129" s="196">
        <f>G128+H128</f>
        <v>3292.408895999999</v>
      </c>
      <c r="H129" s="196"/>
    </row>
  </sheetData>
  <mergeCells count="22"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  <mergeCell ref="L8:N9"/>
    <mergeCell ref="O8:O9"/>
    <mergeCell ref="P8:P9"/>
    <mergeCell ref="Q8:Q9"/>
    <mergeCell ref="L3:Q3"/>
    <mergeCell ref="L4:N4"/>
    <mergeCell ref="L5:N5"/>
    <mergeCell ref="L6:N6"/>
    <mergeCell ref="L7:N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7"/>
  <sheetViews>
    <sheetView topLeftCell="A28" workbookViewId="0">
      <selection activeCell="M49" sqref="M49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s="119" customFormat="1" ht="23.25" x14ac:dyDescent="0.25">
      <c r="A1" s="180" t="s">
        <v>532</v>
      </c>
      <c r="B1" s="180"/>
      <c r="C1" s="180"/>
      <c r="D1" s="180"/>
      <c r="E1" s="180"/>
      <c r="F1" s="180"/>
      <c r="G1" s="180"/>
      <c r="H1" s="180"/>
    </row>
    <row r="2" spans="1:17" ht="24" thickBot="1" x14ac:dyDescent="0.4">
      <c r="A2" s="179" t="s">
        <v>59</v>
      </c>
      <c r="B2" s="179"/>
      <c r="C2" s="179"/>
      <c r="D2" s="179"/>
      <c r="E2" s="179"/>
      <c r="F2" s="179"/>
      <c r="G2" s="179"/>
      <c r="H2" s="179"/>
    </row>
    <row r="3" spans="1:17" ht="15.75" thickBot="1" x14ac:dyDescent="0.3">
      <c r="A3" s="203" t="s">
        <v>425</v>
      </c>
      <c r="B3" s="203"/>
      <c r="C3" s="203"/>
      <c r="D3" s="203"/>
      <c r="E3" s="203"/>
      <c r="F3" s="203"/>
      <c r="G3" s="203"/>
      <c r="H3" s="203"/>
      <c r="L3" s="181" t="s">
        <v>539</v>
      </c>
      <c r="M3" s="181"/>
      <c r="N3" s="181"/>
      <c r="O3" s="181"/>
      <c r="P3" s="181"/>
      <c r="Q3" s="181"/>
    </row>
    <row r="4" spans="1:17" ht="15.75" thickBot="1" x14ac:dyDescent="0.3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82"/>
      <c r="M4" s="182"/>
      <c r="N4" s="182"/>
      <c r="O4" s="182" t="s">
        <v>430</v>
      </c>
      <c r="P4" s="182"/>
      <c r="Q4" s="182"/>
    </row>
    <row r="5" spans="1:17" ht="15.75" thickBot="1" x14ac:dyDescent="0.3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83" t="s">
        <v>160</v>
      </c>
      <c r="M5" s="183"/>
      <c r="N5" s="183"/>
      <c r="O5" s="183">
        <v>0</v>
      </c>
      <c r="P5" s="183"/>
      <c r="Q5" s="183"/>
    </row>
    <row r="6" spans="1:17" ht="15.75" thickBot="1" x14ac:dyDescent="0.3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83" t="s">
        <v>41</v>
      </c>
      <c r="M6" s="183"/>
      <c r="N6" s="183"/>
      <c r="O6" s="183">
        <f>I87</f>
        <v>0</v>
      </c>
      <c r="P6" s="183"/>
      <c r="Q6" s="183"/>
    </row>
    <row r="7" spans="1:17" ht="15.75" thickBot="1" x14ac:dyDescent="0.3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83" t="s">
        <v>59</v>
      </c>
      <c r="M7" s="183"/>
      <c r="N7" s="183"/>
      <c r="O7" s="183">
        <f>H49</f>
        <v>33330.762702411113</v>
      </c>
      <c r="P7" s="183"/>
      <c r="Q7" s="183"/>
    </row>
    <row r="8" spans="1:17" ht="15.75" thickBot="1" x14ac:dyDescent="0.3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84" t="s">
        <v>540</v>
      </c>
      <c r="M8" s="184"/>
      <c r="N8" s="184"/>
      <c r="O8" s="197">
        <f>O5+O6+O7</f>
        <v>33330.762702411113</v>
      </c>
      <c r="P8" s="198"/>
      <c r="Q8" s="199"/>
    </row>
    <row r="9" spans="1:17" ht="15.75" thickBot="1" x14ac:dyDescent="0.3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84"/>
      <c r="M9" s="184"/>
      <c r="N9" s="184"/>
      <c r="O9" s="200"/>
      <c r="P9" s="201"/>
      <c r="Q9" s="202"/>
    </row>
    <row r="10" spans="1:17" ht="15.75" thickBot="1" x14ac:dyDescent="0.3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ht="15.75" thickBot="1" x14ac:dyDescent="0.3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ht="15.75" thickBot="1" x14ac:dyDescent="0.3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ht="15.75" thickBot="1" x14ac:dyDescent="0.3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ht="15.75" thickBot="1" x14ac:dyDescent="0.3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ht="15.75" thickBot="1" x14ac:dyDescent="0.3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ht="15.75" thickBot="1" x14ac:dyDescent="0.3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ht="15.75" thickBot="1" x14ac:dyDescent="0.3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ht="15.75" thickBot="1" x14ac:dyDescent="0.3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ht="15.75" thickBot="1" x14ac:dyDescent="0.3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ht="15.75" thickBot="1" x14ac:dyDescent="0.3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ht="15.75" thickBot="1" x14ac:dyDescent="0.3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ht="15.75" thickBot="1" x14ac:dyDescent="0.3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ht="15.75" thickBot="1" x14ac:dyDescent="0.3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ht="15.75" thickBot="1" x14ac:dyDescent="0.3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ht="15.75" thickBot="1" x14ac:dyDescent="0.3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ht="15.75" thickBot="1" x14ac:dyDescent="0.3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ht="15.75" thickBot="1" x14ac:dyDescent="0.3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ht="15.75" thickBot="1" x14ac:dyDescent="0.3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ht="15.75" thickBot="1" x14ac:dyDescent="0.3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ht="15.75" thickBot="1" x14ac:dyDescent="0.3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ht="15.75" thickBot="1" x14ac:dyDescent="0.3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ht="15.75" thickBot="1" x14ac:dyDescent="0.3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ht="15.75" thickBot="1" x14ac:dyDescent="0.3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ht="15.75" thickBot="1" x14ac:dyDescent="0.3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ht="15.75" thickBot="1" x14ac:dyDescent="0.3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ht="15.75" thickBot="1" x14ac:dyDescent="0.3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ht="15.75" thickBot="1" x14ac:dyDescent="0.3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ht="15.75" thickBot="1" x14ac:dyDescent="0.3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ht="15.75" thickBot="1" x14ac:dyDescent="0.3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ht="15.75" thickBot="1" x14ac:dyDescent="0.3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ht="15.75" thickBot="1" x14ac:dyDescent="0.3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ht="15.75" thickBot="1" x14ac:dyDescent="0.3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ht="15.75" thickBot="1" x14ac:dyDescent="0.3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ht="15.75" thickBot="1" x14ac:dyDescent="0.3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ht="15.75" thickBot="1" x14ac:dyDescent="0.3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ht="15.75" thickBot="1" x14ac:dyDescent="0.3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9" customFormat="1" ht="15.75" thickBot="1" x14ac:dyDescent="0.3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9" customFormat="1" ht="15.75" thickBot="1" x14ac:dyDescent="0.3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ht="15.75" thickBot="1" x14ac:dyDescent="0.3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x14ac:dyDescent="0.25">
      <c r="A50" s="43"/>
      <c r="B50" s="43"/>
      <c r="C50" s="43"/>
      <c r="G50" s="73"/>
      <c r="M50" s="44"/>
      <c r="N50" s="44"/>
    </row>
    <row r="51" spans="1:17" x14ac:dyDescent="0.25">
      <c r="M51" s="44"/>
      <c r="N51" s="44"/>
    </row>
    <row r="52" spans="1:17" x14ac:dyDescent="0.25">
      <c r="M52" s="44"/>
      <c r="N52" s="44"/>
    </row>
    <row r="53" spans="1:17" x14ac:dyDescent="0.25">
      <c r="M53" s="44"/>
      <c r="N53" s="44"/>
    </row>
    <row r="54" spans="1:17" x14ac:dyDescent="0.25">
      <c r="M54" s="44"/>
      <c r="N54" s="44"/>
    </row>
    <row r="55" spans="1:17" x14ac:dyDescent="0.25">
      <c r="M55" s="44"/>
      <c r="N55" s="44"/>
    </row>
    <row r="56" spans="1:17" x14ac:dyDescent="0.25">
      <c r="M56" s="44"/>
      <c r="N56" s="44"/>
    </row>
    <row r="57" spans="1:17" x14ac:dyDescent="0.25">
      <c r="M57" s="44"/>
      <c r="N57" s="44"/>
    </row>
    <row r="58" spans="1:17" x14ac:dyDescent="0.25">
      <c r="M58" s="44"/>
      <c r="N58" s="44"/>
    </row>
    <row r="59" spans="1:17" x14ac:dyDescent="0.25">
      <c r="M59" s="44"/>
      <c r="N59" s="44"/>
    </row>
    <row r="60" spans="1:17" x14ac:dyDescent="0.25">
      <c r="M60" s="44"/>
      <c r="N60" s="44"/>
    </row>
    <row r="61" spans="1:17" x14ac:dyDescent="0.25">
      <c r="M61" s="44"/>
      <c r="N61" s="44"/>
    </row>
    <row r="62" spans="1:17" x14ac:dyDescent="0.25">
      <c r="M62" s="44"/>
      <c r="N62" s="44"/>
    </row>
    <row r="63" spans="1:17" x14ac:dyDescent="0.25">
      <c r="M63" s="44"/>
      <c r="N63" s="44"/>
    </row>
    <row r="64" spans="1:17" x14ac:dyDescent="0.25">
      <c r="M64" s="44"/>
      <c r="N64" s="44"/>
    </row>
    <row r="65" spans="13:14" x14ac:dyDescent="0.25">
      <c r="M65" s="44"/>
      <c r="N65" s="44"/>
    </row>
    <row r="66" spans="13:14" x14ac:dyDescent="0.25">
      <c r="M66" s="44"/>
      <c r="N66" s="44"/>
    </row>
    <row r="67" spans="13:14" x14ac:dyDescent="0.25">
      <c r="M67" s="44"/>
      <c r="N67" s="44"/>
    </row>
    <row r="68" spans="13:14" x14ac:dyDescent="0.25">
      <c r="M68" s="44"/>
      <c r="N68" s="44"/>
    </row>
    <row r="69" spans="13:14" x14ac:dyDescent="0.25">
      <c r="M69" s="44"/>
      <c r="N69" s="44"/>
    </row>
    <row r="70" spans="13:14" x14ac:dyDescent="0.25">
      <c r="M70" s="44"/>
      <c r="N70" s="44"/>
    </row>
    <row r="71" spans="13:14" x14ac:dyDescent="0.25">
      <c r="M71" s="44"/>
      <c r="N71" s="44"/>
    </row>
    <row r="72" spans="13:14" x14ac:dyDescent="0.25">
      <c r="M72" s="44"/>
      <c r="N72" s="44"/>
    </row>
    <row r="73" spans="13:14" x14ac:dyDescent="0.25">
      <c r="M73" s="44"/>
      <c r="N73" s="44"/>
    </row>
    <row r="74" spans="13:14" x14ac:dyDescent="0.25">
      <c r="M74" s="44"/>
      <c r="N74" s="44"/>
    </row>
    <row r="75" spans="13:14" x14ac:dyDescent="0.25">
      <c r="M75" s="44"/>
      <c r="N75" s="44"/>
    </row>
    <row r="76" spans="13:14" x14ac:dyDescent="0.25">
      <c r="M76" s="44"/>
      <c r="N76" s="44"/>
    </row>
    <row r="77" spans="13:14" x14ac:dyDescent="0.25">
      <c r="M77" s="44"/>
      <c r="N77" s="44"/>
    </row>
  </sheetData>
  <mergeCells count="14">
    <mergeCell ref="A1:H1"/>
    <mergeCell ref="A3:H3"/>
    <mergeCell ref="A2:H2"/>
    <mergeCell ref="L3:Q3"/>
    <mergeCell ref="L7:N7"/>
    <mergeCell ref="O7:Q7"/>
    <mergeCell ref="L8:N9"/>
    <mergeCell ref="O8:Q9"/>
    <mergeCell ref="L4:N4"/>
    <mergeCell ref="O4:Q4"/>
    <mergeCell ref="L5:N5"/>
    <mergeCell ref="O5:Q5"/>
    <mergeCell ref="L6:N6"/>
    <mergeCell ref="O6:Q6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6"/>
  <sheetViews>
    <sheetView topLeftCell="A73" workbookViewId="0">
      <selection activeCell="G103" sqref="G103"/>
    </sheetView>
  </sheetViews>
  <sheetFormatPr defaultRowHeight="15" x14ac:dyDescent="0.25"/>
  <cols>
    <col min="1" max="1" width="33.5703125" style="77" customWidth="1"/>
    <col min="2" max="2" width="35.42578125" style="77" customWidth="1"/>
    <col min="3" max="10" width="8.85546875" customWidth="1"/>
  </cols>
  <sheetData>
    <row r="1" spans="1:16" ht="23.25" x14ac:dyDescent="0.25">
      <c r="A1" s="180" t="s">
        <v>536</v>
      </c>
      <c r="B1" s="180"/>
      <c r="C1" s="180"/>
      <c r="D1" s="180"/>
      <c r="E1" s="180"/>
      <c r="F1" s="180"/>
      <c r="G1" s="180"/>
      <c r="H1" s="132"/>
      <c r="I1" s="111"/>
    </row>
    <row r="2" spans="1:16" s="119" customFormat="1" ht="24" thickBot="1" x14ac:dyDescent="0.4">
      <c r="A2" s="178" t="s">
        <v>160</v>
      </c>
      <c r="B2" s="178"/>
      <c r="C2" s="178"/>
      <c r="D2" s="178"/>
      <c r="E2" s="178"/>
      <c r="F2" s="178"/>
      <c r="G2" s="178"/>
      <c r="H2" s="103"/>
    </row>
    <row r="3" spans="1:16" ht="15.75" thickBot="1" x14ac:dyDescent="0.3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181" t="s">
        <v>539</v>
      </c>
      <c r="L3" s="181"/>
      <c r="M3" s="181"/>
      <c r="N3" s="181"/>
      <c r="O3" s="181"/>
      <c r="P3" s="181"/>
    </row>
    <row r="4" spans="1:16" ht="15.75" thickBot="1" x14ac:dyDescent="0.3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182"/>
      <c r="L4" s="182"/>
      <c r="M4" s="182"/>
      <c r="N4" s="182" t="s">
        <v>430</v>
      </c>
      <c r="O4" s="182"/>
      <c r="P4" s="182"/>
    </row>
    <row r="5" spans="1:16" ht="15.75" thickBot="1" x14ac:dyDescent="0.3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83" t="s">
        <v>160</v>
      </c>
      <c r="L5" s="183"/>
      <c r="M5" s="183"/>
      <c r="N5" s="183">
        <f>G90</f>
        <v>18554.539067999998</v>
      </c>
      <c r="O5" s="183"/>
      <c r="P5" s="183"/>
    </row>
    <row r="6" spans="1:16" ht="15.75" thickBot="1" x14ac:dyDescent="0.3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183" t="s">
        <v>41</v>
      </c>
      <c r="L6" s="183"/>
      <c r="M6" s="183"/>
      <c r="N6" s="183">
        <f>G198</f>
        <v>19890.591177600007</v>
      </c>
      <c r="O6" s="183"/>
      <c r="P6" s="183"/>
    </row>
    <row r="7" spans="1:16" ht="15.75" thickBot="1" x14ac:dyDescent="0.3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183" t="s">
        <v>59</v>
      </c>
      <c r="L7" s="183"/>
      <c r="M7" s="183"/>
      <c r="N7" s="183">
        <f>G296</f>
        <v>17107.397424000003</v>
      </c>
      <c r="O7" s="183"/>
      <c r="P7" s="183"/>
    </row>
    <row r="8" spans="1:16" ht="15.75" thickBot="1" x14ac:dyDescent="0.3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84" t="s">
        <v>540</v>
      </c>
      <c r="L8" s="184"/>
      <c r="M8" s="184"/>
      <c r="N8" s="197">
        <f>N5+N6+N7</f>
        <v>55552.527669600007</v>
      </c>
      <c r="O8" s="198"/>
      <c r="P8" s="199"/>
    </row>
    <row r="9" spans="1:16" ht="15.75" thickBot="1" x14ac:dyDescent="0.3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184"/>
      <c r="L9" s="184"/>
      <c r="M9" s="184"/>
      <c r="N9" s="200"/>
      <c r="O9" s="201"/>
      <c r="P9" s="202"/>
    </row>
    <row r="10" spans="1:16" ht="15.75" thickBot="1" x14ac:dyDescent="0.3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.75" thickBot="1" x14ac:dyDescent="0.3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.75" thickBot="1" x14ac:dyDescent="0.3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.75" thickBot="1" x14ac:dyDescent="0.3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</row>
    <row r="14" spans="1:16" ht="15.75" thickBot="1" x14ac:dyDescent="0.3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</row>
    <row r="15" spans="1:16" ht="15.75" thickBot="1" x14ac:dyDescent="0.3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</row>
    <row r="16" spans="1:16" ht="15.75" thickBot="1" x14ac:dyDescent="0.3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</row>
    <row r="17" spans="1:7" ht="15.75" thickBot="1" x14ac:dyDescent="0.3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7" ht="15.75" thickBot="1" x14ac:dyDescent="0.3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7" ht="15.75" thickBot="1" x14ac:dyDescent="0.3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</row>
    <row r="20" spans="1:7" ht="15.75" thickBot="1" x14ac:dyDescent="0.3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</row>
    <row r="21" spans="1:7" ht="15.75" thickBot="1" x14ac:dyDescent="0.3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7" ht="15.75" thickBot="1" x14ac:dyDescent="0.3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7" ht="15.75" thickBot="1" x14ac:dyDescent="0.3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7" ht="15.75" thickBot="1" x14ac:dyDescent="0.3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7" ht="15.75" thickBot="1" x14ac:dyDescent="0.3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7" ht="15.75" thickBot="1" x14ac:dyDescent="0.3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7" ht="15.75" thickBot="1" x14ac:dyDescent="0.3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7" ht="15.75" thickBot="1" x14ac:dyDescent="0.3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7" ht="15.75" thickBot="1" x14ac:dyDescent="0.3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7" ht="15.75" thickBot="1" x14ac:dyDescent="0.3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7" ht="15.75" thickBot="1" x14ac:dyDescent="0.3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7" ht="15.75" thickBot="1" x14ac:dyDescent="0.3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.75" thickBot="1" x14ac:dyDescent="0.3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.75" thickBot="1" x14ac:dyDescent="0.3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.75" thickBot="1" x14ac:dyDescent="0.3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.75" thickBot="1" x14ac:dyDescent="0.3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.75" thickBot="1" x14ac:dyDescent="0.3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.75" thickBot="1" x14ac:dyDescent="0.3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.75" thickBot="1" x14ac:dyDescent="0.3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.75" thickBot="1" x14ac:dyDescent="0.3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.75" thickBot="1" x14ac:dyDescent="0.3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.75" thickBot="1" x14ac:dyDescent="0.3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.75" thickBot="1" x14ac:dyDescent="0.3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.75" thickBot="1" x14ac:dyDescent="0.3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.75" thickBot="1" x14ac:dyDescent="0.3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.75" thickBot="1" x14ac:dyDescent="0.3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.75" thickBot="1" x14ac:dyDescent="0.3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.75" thickBot="1" x14ac:dyDescent="0.3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.75" thickBot="1" x14ac:dyDescent="0.3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.75" thickBot="1" x14ac:dyDescent="0.3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.75" thickBot="1" x14ac:dyDescent="0.3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.75" thickBot="1" x14ac:dyDescent="0.3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.75" thickBot="1" x14ac:dyDescent="0.3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.75" thickBot="1" x14ac:dyDescent="0.3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.75" thickBot="1" x14ac:dyDescent="0.3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.75" thickBot="1" x14ac:dyDescent="0.3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9"/>
      <c r="I56" s="119"/>
    </row>
    <row r="57" spans="1:9" ht="15.75" thickBot="1" x14ac:dyDescent="0.3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.75" thickBot="1" x14ac:dyDescent="0.3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.75" thickBot="1" x14ac:dyDescent="0.3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.75" thickBot="1" x14ac:dyDescent="0.3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.75" thickBot="1" x14ac:dyDescent="0.3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.75" thickBot="1" x14ac:dyDescent="0.3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.75" thickBot="1" x14ac:dyDescent="0.3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.75" thickBot="1" x14ac:dyDescent="0.3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7" ht="15.75" thickBot="1" x14ac:dyDescent="0.3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7" ht="15.75" thickBot="1" x14ac:dyDescent="0.3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7" ht="15.75" thickBot="1" x14ac:dyDescent="0.3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7" ht="15.75" thickBot="1" x14ac:dyDescent="0.3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7" ht="15.75" thickBot="1" x14ac:dyDescent="0.3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7" ht="15.75" thickBot="1" x14ac:dyDescent="0.3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7" ht="15.75" thickBot="1" x14ac:dyDescent="0.3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7" ht="15.75" thickBot="1" x14ac:dyDescent="0.3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7" ht="15.75" thickBot="1" x14ac:dyDescent="0.3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7" ht="15.75" thickBot="1" x14ac:dyDescent="0.3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7" ht="15.75" thickBot="1" x14ac:dyDescent="0.3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7" ht="15.75" thickBot="1" x14ac:dyDescent="0.3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7" ht="15.75" thickBot="1" x14ac:dyDescent="0.3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7" ht="15.75" thickBot="1" x14ac:dyDescent="0.3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</row>
    <row r="79" spans="1:7" ht="15.75" thickBot="1" x14ac:dyDescent="0.3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</row>
    <row r="80" spans="1:7" ht="15.75" thickBot="1" x14ac:dyDescent="0.3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</row>
    <row r="81" spans="1:9" ht="15.75" thickBot="1" x14ac:dyDescent="0.3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</row>
    <row r="82" spans="1:9" ht="15.75" thickBot="1" x14ac:dyDescent="0.3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</row>
    <row r="83" spans="1:9" ht="15.75" thickBot="1" x14ac:dyDescent="0.3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</row>
    <row r="84" spans="1:9" ht="15.75" thickBot="1" x14ac:dyDescent="0.3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</row>
    <row r="85" spans="1:9" ht="15.75" thickBot="1" x14ac:dyDescent="0.3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</row>
    <row r="86" spans="1:9" ht="15.75" thickBot="1" x14ac:dyDescent="0.3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</row>
    <row r="87" spans="1:9" ht="15.75" thickBot="1" x14ac:dyDescent="0.3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</row>
    <row r="88" spans="1:9" ht="15.75" thickBot="1" x14ac:dyDescent="0.3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.75" thickBot="1" x14ac:dyDescent="0.3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.75" thickBot="1" x14ac:dyDescent="0.3">
      <c r="F90" s="41" t="s">
        <v>333</v>
      </c>
      <c r="G90" s="41">
        <f>SUM(Table14[Q])</f>
        <v>18554.539067999998</v>
      </c>
    </row>
    <row r="93" spans="1:9" ht="24" thickBot="1" x14ac:dyDescent="0.4">
      <c r="A93" s="178" t="s">
        <v>41</v>
      </c>
      <c r="B93" s="178"/>
      <c r="C93" s="178"/>
      <c r="D93" s="178"/>
      <c r="E93" s="178"/>
      <c r="F93" s="178"/>
      <c r="G93" s="178"/>
      <c r="H93" s="103"/>
      <c r="I93" s="103"/>
    </row>
    <row r="94" spans="1:9" ht="15.75" thickBot="1" x14ac:dyDescent="0.3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.75" thickBot="1" x14ac:dyDescent="0.3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.75" thickBot="1" x14ac:dyDescent="0.3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.75" thickBot="1" x14ac:dyDescent="0.3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.75" thickBot="1" x14ac:dyDescent="0.3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.75" thickBot="1" x14ac:dyDescent="0.3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.75" thickBot="1" x14ac:dyDescent="0.3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.75" thickBot="1" x14ac:dyDescent="0.3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.75" thickBot="1" x14ac:dyDescent="0.3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.75" thickBot="1" x14ac:dyDescent="0.3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.75" thickBot="1" x14ac:dyDescent="0.3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.75" thickBot="1" x14ac:dyDescent="0.3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.75" thickBot="1" x14ac:dyDescent="0.3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.75" thickBot="1" x14ac:dyDescent="0.3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.75" thickBot="1" x14ac:dyDescent="0.3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.75" thickBot="1" x14ac:dyDescent="0.3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.75" thickBot="1" x14ac:dyDescent="0.3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.75" thickBot="1" x14ac:dyDescent="0.3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.75" thickBot="1" x14ac:dyDescent="0.3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.75" thickBot="1" x14ac:dyDescent="0.3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.75" thickBot="1" x14ac:dyDescent="0.3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.75" thickBot="1" x14ac:dyDescent="0.3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.75" thickBot="1" x14ac:dyDescent="0.3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.75" thickBot="1" x14ac:dyDescent="0.3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.75" thickBot="1" x14ac:dyDescent="0.3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.75" thickBot="1" x14ac:dyDescent="0.3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.75" thickBot="1" x14ac:dyDescent="0.3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.75" thickBot="1" x14ac:dyDescent="0.3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.75" thickBot="1" x14ac:dyDescent="0.3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.75" thickBot="1" x14ac:dyDescent="0.3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.75" thickBot="1" x14ac:dyDescent="0.3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.75" thickBot="1" x14ac:dyDescent="0.3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.75" thickBot="1" x14ac:dyDescent="0.3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.75" thickBot="1" x14ac:dyDescent="0.3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.75" thickBot="1" x14ac:dyDescent="0.3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.75" thickBot="1" x14ac:dyDescent="0.3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.75" thickBot="1" x14ac:dyDescent="0.3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.75" thickBot="1" x14ac:dyDescent="0.3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.75" thickBot="1" x14ac:dyDescent="0.3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.75" thickBot="1" x14ac:dyDescent="0.3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.75" thickBot="1" x14ac:dyDescent="0.3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.75" thickBot="1" x14ac:dyDescent="0.3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.75" thickBot="1" x14ac:dyDescent="0.3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.75" thickBot="1" x14ac:dyDescent="0.3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.75" thickBot="1" x14ac:dyDescent="0.3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.75" thickBot="1" x14ac:dyDescent="0.3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.75" thickBot="1" x14ac:dyDescent="0.3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.75" thickBot="1" x14ac:dyDescent="0.3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.75" thickBot="1" x14ac:dyDescent="0.3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.75" thickBot="1" x14ac:dyDescent="0.3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.75" thickBot="1" x14ac:dyDescent="0.3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.75" thickBot="1" x14ac:dyDescent="0.3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.75" thickBot="1" x14ac:dyDescent="0.3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.75" thickBot="1" x14ac:dyDescent="0.3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.75" thickBot="1" x14ac:dyDescent="0.3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.75" thickBot="1" x14ac:dyDescent="0.3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.75" thickBot="1" x14ac:dyDescent="0.3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.75" thickBot="1" x14ac:dyDescent="0.3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.75" thickBot="1" x14ac:dyDescent="0.3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.75" thickBot="1" x14ac:dyDescent="0.3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.75" thickBot="1" x14ac:dyDescent="0.3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.75" thickBot="1" x14ac:dyDescent="0.3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.75" thickBot="1" x14ac:dyDescent="0.3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.75" thickBot="1" x14ac:dyDescent="0.3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.75" thickBot="1" x14ac:dyDescent="0.3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.75" thickBot="1" x14ac:dyDescent="0.3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.75" thickBot="1" x14ac:dyDescent="0.3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.75" thickBot="1" x14ac:dyDescent="0.3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.75" thickBot="1" x14ac:dyDescent="0.3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.75" thickBot="1" x14ac:dyDescent="0.3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.75" thickBot="1" x14ac:dyDescent="0.3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.75" thickBot="1" x14ac:dyDescent="0.3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.75" thickBot="1" x14ac:dyDescent="0.3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.75" thickBot="1" x14ac:dyDescent="0.3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.75" thickBot="1" x14ac:dyDescent="0.3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.75" thickBot="1" x14ac:dyDescent="0.3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.75" thickBot="1" x14ac:dyDescent="0.3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.75" thickBot="1" x14ac:dyDescent="0.3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.75" thickBot="1" x14ac:dyDescent="0.3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.75" thickBot="1" x14ac:dyDescent="0.3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.75" thickBot="1" x14ac:dyDescent="0.3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.75" thickBot="1" x14ac:dyDescent="0.3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.75" thickBot="1" x14ac:dyDescent="0.3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.75" thickBot="1" x14ac:dyDescent="0.3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.75" thickBot="1" x14ac:dyDescent="0.3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.75" thickBot="1" x14ac:dyDescent="0.3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.75" thickBot="1" x14ac:dyDescent="0.3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.75" thickBot="1" x14ac:dyDescent="0.3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.75" thickBot="1" x14ac:dyDescent="0.3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.75" thickBot="1" x14ac:dyDescent="0.3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.75" thickBot="1" x14ac:dyDescent="0.3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.75" thickBot="1" x14ac:dyDescent="0.3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.75" thickBot="1" x14ac:dyDescent="0.3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.75" thickBot="1" x14ac:dyDescent="0.3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.75" thickBot="1" x14ac:dyDescent="0.3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.75" thickBot="1" x14ac:dyDescent="0.3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.75" thickBot="1" x14ac:dyDescent="0.3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.75" thickBot="1" x14ac:dyDescent="0.3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.75" thickBot="1" x14ac:dyDescent="0.3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.75" thickBot="1" x14ac:dyDescent="0.3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.75" thickBot="1" x14ac:dyDescent="0.3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.75" thickBot="1" x14ac:dyDescent="0.3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.75" thickBot="1" x14ac:dyDescent="0.3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.75" thickBot="1" x14ac:dyDescent="0.3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.75" thickBot="1" x14ac:dyDescent="0.3">
      <c r="F198" s="41" t="s">
        <v>333</v>
      </c>
      <c r="G198" s="41">
        <f>SUM(G95:G197)</f>
        <v>19890.591177600007</v>
      </c>
    </row>
    <row r="200" spans="1:9" s="119" customFormat="1" ht="23.25" x14ac:dyDescent="0.35">
      <c r="A200" s="179" t="s">
        <v>59</v>
      </c>
      <c r="B200" s="179"/>
      <c r="C200" s="179"/>
      <c r="D200" s="179"/>
      <c r="E200" s="179"/>
      <c r="F200" s="179"/>
      <c r="G200" s="179"/>
      <c r="H200" s="106"/>
      <c r="I200" s="106"/>
    </row>
    <row r="201" spans="1:9" ht="15.75" thickBot="1" x14ac:dyDescent="0.3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.75" thickBot="1" x14ac:dyDescent="0.3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.75" thickBot="1" x14ac:dyDescent="0.3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.75" thickBot="1" x14ac:dyDescent="0.3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.75" thickBot="1" x14ac:dyDescent="0.3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.75" thickBot="1" x14ac:dyDescent="0.3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.75" thickBot="1" x14ac:dyDescent="0.3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.75" thickBot="1" x14ac:dyDescent="0.3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.75" thickBot="1" x14ac:dyDescent="0.3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.75" thickBot="1" x14ac:dyDescent="0.3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.75" thickBot="1" x14ac:dyDescent="0.3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.75" thickBot="1" x14ac:dyDescent="0.3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.75" thickBot="1" x14ac:dyDescent="0.3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.75" thickBot="1" x14ac:dyDescent="0.3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.75" thickBot="1" x14ac:dyDescent="0.3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.75" thickBot="1" x14ac:dyDescent="0.3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.75" thickBot="1" x14ac:dyDescent="0.3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.75" thickBot="1" x14ac:dyDescent="0.3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.75" thickBot="1" x14ac:dyDescent="0.3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.75" thickBot="1" x14ac:dyDescent="0.3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.75" thickBot="1" x14ac:dyDescent="0.3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.75" thickBot="1" x14ac:dyDescent="0.3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.75" thickBot="1" x14ac:dyDescent="0.3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.75" thickBot="1" x14ac:dyDescent="0.3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.75" thickBot="1" x14ac:dyDescent="0.3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.75" thickBot="1" x14ac:dyDescent="0.3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.75" thickBot="1" x14ac:dyDescent="0.3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.75" thickBot="1" x14ac:dyDescent="0.3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.75" thickBot="1" x14ac:dyDescent="0.3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.75" thickBot="1" x14ac:dyDescent="0.3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.75" thickBot="1" x14ac:dyDescent="0.3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.75" thickBot="1" x14ac:dyDescent="0.3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.75" thickBot="1" x14ac:dyDescent="0.3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.75" thickBot="1" x14ac:dyDescent="0.3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.75" thickBot="1" x14ac:dyDescent="0.3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.75" thickBot="1" x14ac:dyDescent="0.3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.75" thickBot="1" x14ac:dyDescent="0.3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.75" thickBot="1" x14ac:dyDescent="0.3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.75" thickBot="1" x14ac:dyDescent="0.3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.75" thickBot="1" x14ac:dyDescent="0.3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.75" thickBot="1" x14ac:dyDescent="0.3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.75" thickBot="1" x14ac:dyDescent="0.3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.75" thickBot="1" x14ac:dyDescent="0.3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.75" thickBot="1" x14ac:dyDescent="0.3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.75" thickBot="1" x14ac:dyDescent="0.3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.75" thickBot="1" x14ac:dyDescent="0.3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.75" thickBot="1" x14ac:dyDescent="0.3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.75" thickBot="1" x14ac:dyDescent="0.3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.75" thickBot="1" x14ac:dyDescent="0.3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.75" thickBot="1" x14ac:dyDescent="0.3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.75" thickBot="1" x14ac:dyDescent="0.3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.75" thickBot="1" x14ac:dyDescent="0.3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.75" thickBot="1" x14ac:dyDescent="0.3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.75" thickBot="1" x14ac:dyDescent="0.3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.75" thickBot="1" x14ac:dyDescent="0.3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.75" thickBot="1" x14ac:dyDescent="0.3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.75" thickBot="1" x14ac:dyDescent="0.3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.75" thickBot="1" x14ac:dyDescent="0.3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.75" thickBot="1" x14ac:dyDescent="0.3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.75" thickBot="1" x14ac:dyDescent="0.3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.75" thickBot="1" x14ac:dyDescent="0.3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.75" thickBot="1" x14ac:dyDescent="0.3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.75" thickBot="1" x14ac:dyDescent="0.3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.75" thickBot="1" x14ac:dyDescent="0.3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.75" thickBot="1" x14ac:dyDescent="0.3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.75" thickBot="1" x14ac:dyDescent="0.3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.75" thickBot="1" x14ac:dyDescent="0.3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.75" thickBot="1" x14ac:dyDescent="0.3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.75" thickBot="1" x14ac:dyDescent="0.3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.75" thickBot="1" x14ac:dyDescent="0.3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.75" thickBot="1" x14ac:dyDescent="0.3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.75" thickBot="1" x14ac:dyDescent="0.3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.75" thickBot="1" x14ac:dyDescent="0.3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.75" thickBot="1" x14ac:dyDescent="0.3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.75" thickBot="1" x14ac:dyDescent="0.3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.75" thickBot="1" x14ac:dyDescent="0.3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.75" thickBot="1" x14ac:dyDescent="0.3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.75" thickBot="1" x14ac:dyDescent="0.3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.75" thickBot="1" x14ac:dyDescent="0.3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.75" thickBot="1" x14ac:dyDescent="0.3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.75" thickBot="1" x14ac:dyDescent="0.3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.75" thickBot="1" x14ac:dyDescent="0.3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.75" thickBot="1" x14ac:dyDescent="0.3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.75" thickBot="1" x14ac:dyDescent="0.3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.75" thickBot="1" x14ac:dyDescent="0.3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.75" thickBot="1" x14ac:dyDescent="0.3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.75" thickBot="1" x14ac:dyDescent="0.3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.75" thickBot="1" x14ac:dyDescent="0.3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.75" thickBot="1" x14ac:dyDescent="0.3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.75" thickBot="1" x14ac:dyDescent="0.3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.75" thickBot="1" x14ac:dyDescent="0.3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.75" thickBot="1" x14ac:dyDescent="0.3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.75" thickBot="1" x14ac:dyDescent="0.3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.75" thickBot="1" x14ac:dyDescent="0.3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.75" thickBot="1" x14ac:dyDescent="0.3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.75" thickBot="1" x14ac:dyDescent="0.3">
      <c r="F296" s="41" t="s">
        <v>333</v>
      </c>
      <c r="G296" s="41">
        <f>SUM(Table16[Q])</f>
        <v>17107.397424000003</v>
      </c>
    </row>
  </sheetData>
  <mergeCells count="15">
    <mergeCell ref="A2:G2"/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E4:F89">
    <cfRule type="cellIs" dxfId="203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34"/>
  <sheetViews>
    <sheetView topLeftCell="A31" zoomScaleNormal="100" workbookViewId="0">
      <selection activeCell="C46" sqref="C46"/>
    </sheetView>
  </sheetViews>
  <sheetFormatPr defaultRowHeight="15" x14ac:dyDescent="0.25"/>
  <cols>
    <col min="1" max="1" width="36.85546875" style="77" customWidth="1"/>
    <col min="2" max="2" width="6.85546875" style="77" customWidth="1"/>
    <col min="3" max="3" width="7" style="77" customWidth="1"/>
    <col min="4" max="4" width="5.5703125" style="77" customWidth="1"/>
    <col min="5" max="5" width="6.85546875" style="77" customWidth="1"/>
    <col min="6" max="6" width="10.140625" style="77" customWidth="1"/>
    <col min="7" max="7" width="12.140625" style="77" customWidth="1"/>
    <col min="8" max="8" width="9.28515625" style="77" customWidth="1"/>
    <col min="9" max="9" width="10" style="77" customWidth="1"/>
    <col min="10" max="11" width="9.140625" style="77"/>
  </cols>
  <sheetData>
    <row r="1" spans="1:20" ht="24.75" customHeight="1" x14ac:dyDescent="0.25">
      <c r="A1" s="180" t="s">
        <v>504</v>
      </c>
      <c r="B1" s="180"/>
      <c r="C1" s="180"/>
      <c r="D1" s="180"/>
      <c r="E1" s="180"/>
      <c r="F1" s="180"/>
      <c r="G1" s="180"/>
      <c r="H1" s="180"/>
      <c r="I1" s="180"/>
      <c r="J1" s="104"/>
      <c r="K1" s="104"/>
    </row>
    <row r="2" spans="1:20" ht="24" thickBot="1" x14ac:dyDescent="0.4">
      <c r="A2" s="178" t="s">
        <v>160</v>
      </c>
      <c r="B2" s="178"/>
      <c r="C2" s="178"/>
      <c r="D2" s="178"/>
      <c r="E2" s="178"/>
      <c r="F2" s="178"/>
      <c r="G2" s="178"/>
      <c r="H2" s="178"/>
      <c r="I2" s="178"/>
      <c r="J2" s="103"/>
      <c r="K2" s="103"/>
    </row>
    <row r="3" spans="1:20" ht="15.75" thickBot="1" x14ac:dyDescent="0.3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O3" s="193" t="s">
        <v>539</v>
      </c>
      <c r="P3" s="193"/>
      <c r="Q3" s="193"/>
      <c r="R3" s="193"/>
      <c r="S3" s="193"/>
      <c r="T3" s="193"/>
    </row>
    <row r="4" spans="1:20" ht="15.75" thickBot="1" x14ac:dyDescent="0.3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 s="89"/>
      <c r="O4" s="194"/>
      <c r="P4" s="194"/>
      <c r="Q4" s="194"/>
      <c r="R4" s="134" t="s">
        <v>541</v>
      </c>
      <c r="S4" s="134" t="s">
        <v>542</v>
      </c>
      <c r="T4" s="134" t="s">
        <v>430</v>
      </c>
    </row>
    <row r="5" spans="1:20" ht="15.75" thickBot="1" x14ac:dyDescent="0.3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 s="89"/>
      <c r="O5" s="195" t="s">
        <v>160</v>
      </c>
      <c r="P5" s="195"/>
      <c r="Q5" s="195"/>
      <c r="R5" s="82">
        <f>H47</f>
        <v>9870.7840000000015</v>
      </c>
      <c r="S5" s="82">
        <f>I47</f>
        <v>19550.09056500001</v>
      </c>
      <c r="T5" s="82">
        <f>R5+S5</f>
        <v>29420.874565000013</v>
      </c>
    </row>
    <row r="6" spans="1:20" ht="15.75" thickBot="1" x14ac:dyDescent="0.3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 s="89"/>
      <c r="O6" s="195" t="s">
        <v>41</v>
      </c>
      <c r="P6" s="195"/>
      <c r="Q6" s="195"/>
      <c r="R6" s="82">
        <f>H96</f>
        <v>20168.763999999999</v>
      </c>
      <c r="S6" s="82">
        <f>I96</f>
        <v>39472.195050000002</v>
      </c>
      <c r="T6" s="82">
        <f>R6+S6</f>
        <v>59640.959050000005</v>
      </c>
    </row>
    <row r="7" spans="1:20" ht="15.75" thickBot="1" x14ac:dyDescent="0.3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 s="89"/>
      <c r="O7" s="195" t="s">
        <v>59</v>
      </c>
      <c r="P7" s="195"/>
      <c r="Q7" s="195"/>
      <c r="R7" s="82">
        <f>H133</f>
        <v>13017.312</v>
      </c>
      <c r="S7" s="82">
        <f>I133</f>
        <v>25564.24098000001</v>
      </c>
      <c r="T7" s="82">
        <f>R7+S7</f>
        <v>38581.552980000008</v>
      </c>
    </row>
    <row r="8" spans="1:20" ht="15.75" thickBot="1" x14ac:dyDescent="0.3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 s="89"/>
      <c r="O8" s="184" t="s">
        <v>540</v>
      </c>
      <c r="P8" s="184"/>
      <c r="Q8" s="184"/>
      <c r="R8" s="185">
        <f>SUM(R5:R7)</f>
        <v>43056.86</v>
      </c>
      <c r="S8" s="185">
        <f>SUM(S5:S7)</f>
        <v>84586.526595000032</v>
      </c>
      <c r="T8" s="185">
        <f>T5+T6+T7</f>
        <v>127643.38659500002</v>
      </c>
    </row>
    <row r="9" spans="1:20" ht="15.75" thickBot="1" x14ac:dyDescent="0.3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 s="89"/>
      <c r="O9" s="184"/>
      <c r="P9" s="184"/>
      <c r="Q9" s="184"/>
      <c r="R9" s="186"/>
      <c r="S9" s="186"/>
      <c r="T9" s="186"/>
    </row>
    <row r="10" spans="1:20" ht="15.75" thickBot="1" x14ac:dyDescent="0.3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 s="89"/>
    </row>
    <row r="11" spans="1:20" ht="15.75" thickBot="1" x14ac:dyDescent="0.3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 s="89"/>
    </row>
    <row r="12" spans="1:20" ht="15.75" thickBot="1" x14ac:dyDescent="0.3">
      <c r="A12" s="94" t="s">
        <v>175</v>
      </c>
      <c r="B12" s="82">
        <v>14</v>
      </c>
      <c r="C12" s="95">
        <f>B12*References!AS12</f>
        <v>112</v>
      </c>
      <c r="D12" s="95">
        <v>34.5</v>
      </c>
      <c r="E12" s="95">
        <v>22.5</v>
      </c>
      <c r="F12" s="95">
        <v>1.8136751999999999E-2</v>
      </c>
      <c r="G12" s="95">
        <v>8.4806099999999995E-3</v>
      </c>
      <c r="H12" s="95">
        <f t="shared" si="0"/>
        <v>1655.808</v>
      </c>
      <c r="I12" s="96">
        <f t="shared" si="1"/>
        <v>3244.4637119999998</v>
      </c>
      <c r="J12" s="89"/>
    </row>
    <row r="13" spans="1:20" ht="15.75" thickBot="1" x14ac:dyDescent="0.3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 s="89"/>
    </row>
    <row r="14" spans="1:20" ht="15.75" thickBot="1" x14ac:dyDescent="0.3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 s="89"/>
    </row>
    <row r="15" spans="1:20" ht="15.75" thickBot="1" x14ac:dyDescent="0.3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 s="89"/>
    </row>
    <row r="16" spans="1:20" ht="15.75" thickBot="1" x14ac:dyDescent="0.3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 s="89"/>
    </row>
    <row r="17" spans="1:10" ht="15.75" thickBot="1" x14ac:dyDescent="0.3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 s="89"/>
    </row>
    <row r="18" spans="1:10" ht="15.75" thickBot="1" x14ac:dyDescent="0.3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 s="89"/>
    </row>
    <row r="19" spans="1:10" ht="15.75" thickBot="1" x14ac:dyDescent="0.3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 s="89"/>
    </row>
    <row r="20" spans="1:10" ht="15.75" thickBot="1" x14ac:dyDescent="0.3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 s="89"/>
    </row>
    <row r="21" spans="1:10" ht="15.75" thickBot="1" x14ac:dyDescent="0.3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 s="89"/>
    </row>
    <row r="22" spans="1:10" ht="15.75" thickBot="1" x14ac:dyDescent="0.3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 s="89"/>
    </row>
    <row r="23" spans="1:10" ht="15.75" thickBot="1" x14ac:dyDescent="0.3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 s="89"/>
    </row>
    <row r="24" spans="1:10" ht="15.75" thickBot="1" x14ac:dyDescent="0.3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 s="89"/>
    </row>
    <row r="25" spans="1:10" ht="15.75" thickBot="1" x14ac:dyDescent="0.3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 s="89"/>
    </row>
    <row r="26" spans="1:10" ht="15.75" thickBot="1" x14ac:dyDescent="0.3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 s="89"/>
    </row>
    <row r="27" spans="1:10" ht="15.75" thickBot="1" x14ac:dyDescent="0.3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 s="89"/>
    </row>
    <row r="28" spans="1:10" ht="15.75" thickBot="1" x14ac:dyDescent="0.3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 s="89"/>
    </row>
    <row r="29" spans="1:10" ht="15.75" thickBot="1" x14ac:dyDescent="0.3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 s="89"/>
    </row>
    <row r="30" spans="1:10" ht="15.75" thickBot="1" x14ac:dyDescent="0.3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 s="89"/>
    </row>
    <row r="31" spans="1:10" ht="15.75" thickBot="1" x14ac:dyDescent="0.3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 s="89"/>
    </row>
    <row r="32" spans="1:10" ht="15.75" thickBot="1" x14ac:dyDescent="0.3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 s="89"/>
    </row>
    <row r="33" spans="1:12" ht="15.75" thickBot="1" x14ac:dyDescent="0.3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 s="89"/>
    </row>
    <row r="34" spans="1:12" ht="15.75" thickBot="1" x14ac:dyDescent="0.3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 s="89"/>
    </row>
    <row r="35" spans="1:12" ht="15.75" thickBot="1" x14ac:dyDescent="0.3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 s="89"/>
    </row>
    <row r="36" spans="1:12" ht="15.75" thickBot="1" x14ac:dyDescent="0.3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 s="89"/>
    </row>
    <row r="37" spans="1:12" ht="15.75" thickBot="1" x14ac:dyDescent="0.3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 s="89"/>
    </row>
    <row r="38" spans="1:12" ht="15.75" thickBot="1" x14ac:dyDescent="0.3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 s="89"/>
    </row>
    <row r="39" spans="1:12" ht="15.75" thickBot="1" x14ac:dyDescent="0.3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 s="89"/>
    </row>
    <row r="40" spans="1:12" ht="15.75" thickBot="1" x14ac:dyDescent="0.3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 s="89"/>
      <c r="L40" t="s">
        <v>53</v>
      </c>
    </row>
    <row r="41" spans="1:12" s="119" customFormat="1" ht="15.75" thickBot="1" x14ac:dyDescent="0.3">
      <c r="A41" s="174" t="s">
        <v>556</v>
      </c>
      <c r="B41" s="98">
        <v>1</v>
      </c>
      <c r="C41" s="97">
        <v>2.5</v>
      </c>
      <c r="D41" s="98">
        <v>34.5</v>
      </c>
      <c r="E41" s="98">
        <v>24</v>
      </c>
      <c r="F41" s="98">
        <v>1.8136751999999999E-2</v>
      </c>
      <c r="G41" s="98">
        <v>9.2932350000000004E-3</v>
      </c>
      <c r="H41" s="169">
        <f t="shared" ref="H41:H46" si="2">ABS(1.232*C41*(D41-E41))</f>
        <v>32.340000000000003</v>
      </c>
      <c r="I41" s="170">
        <f t="shared" ref="I41:I46" si="3">ABS(3000*C41*(F41-G41))</f>
        <v>66.326377499999992</v>
      </c>
      <c r="J41" s="89"/>
      <c r="K41" s="125">
        <v>2.5</v>
      </c>
      <c r="L41" s="119">
        <v>7.8174999999999999</v>
      </c>
    </row>
    <row r="42" spans="1:12" s="119" customFormat="1" ht="15.75" thickBot="1" x14ac:dyDescent="0.3">
      <c r="A42" s="174" t="s">
        <v>435</v>
      </c>
      <c r="B42" s="98">
        <v>1</v>
      </c>
      <c r="C42" s="97">
        <v>2.5</v>
      </c>
      <c r="D42" s="98">
        <v>34.5</v>
      </c>
      <c r="E42" s="98">
        <v>24</v>
      </c>
      <c r="F42" s="98">
        <v>1.8136751999999999E-2</v>
      </c>
      <c r="G42" s="98">
        <v>9.2932350000000004E-3</v>
      </c>
      <c r="H42" s="169">
        <f t="shared" si="2"/>
        <v>32.340000000000003</v>
      </c>
      <c r="I42" s="170">
        <f t="shared" si="3"/>
        <v>66.326377499999992</v>
      </c>
      <c r="J42" s="89"/>
      <c r="K42" s="125">
        <v>2.5</v>
      </c>
      <c r="L42" s="119">
        <v>5.61</v>
      </c>
    </row>
    <row r="43" spans="1:12" s="119" customFormat="1" ht="15.75" thickBot="1" x14ac:dyDescent="0.3">
      <c r="A43" s="174" t="s">
        <v>441</v>
      </c>
      <c r="B43" s="98">
        <v>1</v>
      </c>
      <c r="C43" s="97">
        <v>2.5</v>
      </c>
      <c r="D43" s="98">
        <v>34.5</v>
      </c>
      <c r="E43" s="98">
        <v>24</v>
      </c>
      <c r="F43" s="98">
        <v>1.8136751999999999E-2</v>
      </c>
      <c r="G43" s="98">
        <v>9.2932350000000004E-3</v>
      </c>
      <c r="H43" s="169">
        <f t="shared" si="2"/>
        <v>32.340000000000003</v>
      </c>
      <c r="I43" s="170">
        <f t="shared" si="3"/>
        <v>66.326377499999992</v>
      </c>
      <c r="J43" s="89"/>
      <c r="K43" s="125">
        <v>2.5</v>
      </c>
      <c r="L43" s="119">
        <v>3.9771999999999998</v>
      </c>
    </row>
    <row r="44" spans="1:12" s="119" customFormat="1" ht="15.75" thickBot="1" x14ac:dyDescent="0.3">
      <c r="A44" s="174" t="s">
        <v>37</v>
      </c>
      <c r="B44" s="98">
        <v>2</v>
      </c>
      <c r="C44" s="97">
        <v>5</v>
      </c>
      <c r="D44" s="98">
        <v>34.5</v>
      </c>
      <c r="E44" s="98">
        <v>24</v>
      </c>
      <c r="F44" s="98">
        <v>1.8136751999999999E-2</v>
      </c>
      <c r="G44" s="98">
        <v>9.2932350000000004E-3</v>
      </c>
      <c r="H44" s="169">
        <f t="shared" si="2"/>
        <v>64.680000000000007</v>
      </c>
      <c r="I44" s="170">
        <f t="shared" si="3"/>
        <v>132.65275499999998</v>
      </c>
      <c r="J44" s="89"/>
      <c r="K44" s="125">
        <v>2.5</v>
      </c>
      <c r="L44" s="119">
        <v>5.5202999999999998</v>
      </c>
    </row>
    <row r="45" spans="1:12" s="119" customFormat="1" ht="15.75" thickBot="1" x14ac:dyDescent="0.3">
      <c r="A45" s="171" t="s">
        <v>383</v>
      </c>
      <c r="B45" s="95">
        <v>4</v>
      </c>
      <c r="C45" s="94">
        <v>32</v>
      </c>
      <c r="D45" s="98">
        <v>34.5</v>
      </c>
      <c r="E45" s="98">
        <v>24</v>
      </c>
      <c r="F45" s="98">
        <v>1.8136751999999999E-2</v>
      </c>
      <c r="G45" s="98">
        <v>9.2932350000000004E-3</v>
      </c>
      <c r="H45" s="172">
        <f t="shared" si="2"/>
        <v>413.952</v>
      </c>
      <c r="I45" s="173">
        <f t="shared" si="3"/>
        <v>848.97763199999986</v>
      </c>
      <c r="J45" s="89"/>
      <c r="K45" s="125" t="s">
        <v>557</v>
      </c>
      <c r="L45" s="119">
        <v>34.215200000000003</v>
      </c>
    </row>
    <row r="46" spans="1:12" s="119" customFormat="1" ht="15.75" thickBot="1" x14ac:dyDescent="0.3">
      <c r="A46" s="174" t="s">
        <v>449</v>
      </c>
      <c r="B46" s="98">
        <v>1</v>
      </c>
      <c r="C46" s="97">
        <v>2.5</v>
      </c>
      <c r="D46" s="98">
        <v>34.5</v>
      </c>
      <c r="E46" s="98">
        <v>24</v>
      </c>
      <c r="F46" s="98">
        <v>1.8136751999999999E-2</v>
      </c>
      <c r="G46" s="98">
        <v>9.2932350000000004E-3</v>
      </c>
      <c r="H46" s="169">
        <f t="shared" si="2"/>
        <v>32.340000000000003</v>
      </c>
      <c r="I46" s="170">
        <f t="shared" si="3"/>
        <v>66.326377499999992</v>
      </c>
      <c r="J46" s="89"/>
      <c r="K46" s="125">
        <v>2.5</v>
      </c>
      <c r="L46" s="119">
        <v>8.3137000000000008</v>
      </c>
    </row>
    <row r="47" spans="1:12" s="119" customFormat="1" ht="15.75" thickBot="1" x14ac:dyDescent="0.3">
      <c r="A47" s="120"/>
      <c r="B47" s="121"/>
      <c r="C47" s="120"/>
      <c r="D47" s="120"/>
      <c r="E47" s="120"/>
      <c r="F47" s="120"/>
      <c r="G47" s="129" t="s">
        <v>122</v>
      </c>
      <c r="H47" s="41">
        <f>SUM(Table17[Qs (W)])</f>
        <v>9870.7840000000015</v>
      </c>
      <c r="I47" s="129">
        <f>SUM(Table17[Qw (W)])</f>
        <v>19550.09056500001</v>
      </c>
      <c r="J47" s="89"/>
      <c r="K47" s="89"/>
    </row>
    <row r="48" spans="1:12" ht="15.75" thickBot="1" x14ac:dyDescent="0.3">
      <c r="G48" s="204" t="s">
        <v>161</v>
      </c>
      <c r="H48" s="204"/>
      <c r="I48" s="129">
        <f>H47+I47</f>
        <v>29420.874565000013</v>
      </c>
    </row>
    <row r="49" spans="1:11" s="119" customFormat="1" x14ac:dyDescent="0.25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</row>
    <row r="50" spans="1:11" ht="24" thickBot="1" x14ac:dyDescent="0.4">
      <c r="A50" s="178" t="s">
        <v>41</v>
      </c>
      <c r="B50" s="178"/>
      <c r="C50" s="178"/>
      <c r="D50" s="178"/>
      <c r="E50" s="178"/>
      <c r="F50" s="178"/>
      <c r="G50" s="178"/>
      <c r="H50" s="178"/>
      <c r="I50" s="178"/>
      <c r="J50" s="103"/>
      <c r="K50" s="103"/>
    </row>
    <row r="51" spans="1:11" ht="15.75" thickBot="1" x14ac:dyDescent="0.3">
      <c r="A51" s="100" t="s">
        <v>19</v>
      </c>
      <c r="B51" s="101" t="s">
        <v>496</v>
      </c>
      <c r="C51" s="101" t="s">
        <v>20</v>
      </c>
      <c r="D51" s="101" t="s">
        <v>12</v>
      </c>
      <c r="E51" s="101" t="s">
        <v>7</v>
      </c>
      <c r="F51" s="101" t="s">
        <v>21</v>
      </c>
      <c r="G51" s="101" t="s">
        <v>22</v>
      </c>
      <c r="H51" s="101" t="s">
        <v>497</v>
      </c>
      <c r="I51" s="102" t="s">
        <v>498</v>
      </c>
      <c r="J51" s="91"/>
    </row>
    <row r="52" spans="1:11" ht="15.75" thickBot="1" x14ac:dyDescent="0.3">
      <c r="A52" s="94" t="s">
        <v>123</v>
      </c>
      <c r="B52" s="82">
        <v>5</v>
      </c>
      <c r="C52" s="95">
        <f>B52*References!AT4</f>
        <v>65</v>
      </c>
      <c r="D52" s="95">
        <v>34.5</v>
      </c>
      <c r="E52" s="95">
        <v>22.5</v>
      </c>
      <c r="F52" s="95">
        <v>1.813675E-2</v>
      </c>
      <c r="G52" s="95">
        <f>_xlfn.IFS(E52=22.5,0.00848061,E52=22,0.00821976,E52=24,0.00929323)</f>
        <v>8.4806099999999995E-3</v>
      </c>
      <c r="H52" s="95">
        <f t="shared" ref="H52:H95" si="4">ABS(1.232*C52*(D52-E52))</f>
        <v>960.96</v>
      </c>
      <c r="I52" s="96">
        <f t="shared" ref="I52:I95" si="5">ABS(3000*C52*(F52-G52))</f>
        <v>1882.9473</v>
      </c>
      <c r="J52" s="91"/>
    </row>
    <row r="53" spans="1:11" ht="15.75" thickBot="1" x14ac:dyDescent="0.3">
      <c r="A53" s="94" t="s">
        <v>169</v>
      </c>
      <c r="B53" s="82">
        <v>5</v>
      </c>
      <c r="C53" s="95">
        <f>B53*References!AT5</f>
        <v>65</v>
      </c>
      <c r="D53" s="95">
        <v>34.5</v>
      </c>
      <c r="E53" s="95">
        <v>22.5</v>
      </c>
      <c r="F53" s="95">
        <v>1.813675E-2</v>
      </c>
      <c r="G53" s="95">
        <f t="shared" ref="G53:G95" si="6">_xlfn.IFS(E53=22.5,0.00848061,E53=22,0.00821976,E53=24,0.00929323)</f>
        <v>8.4806099999999995E-3</v>
      </c>
      <c r="H53" s="95">
        <f t="shared" si="4"/>
        <v>960.96</v>
      </c>
      <c r="I53" s="96">
        <f t="shared" si="5"/>
        <v>1882.9473</v>
      </c>
      <c r="J53" s="91"/>
    </row>
    <row r="54" spans="1:11" ht="15.75" thickBot="1" x14ac:dyDescent="0.3">
      <c r="A54" s="94" t="s">
        <v>124</v>
      </c>
      <c r="B54" s="82">
        <v>5</v>
      </c>
      <c r="C54" s="95">
        <f>B54*References!AT6</f>
        <v>65</v>
      </c>
      <c r="D54" s="95">
        <v>34.5</v>
      </c>
      <c r="E54" s="95">
        <v>22.5</v>
      </c>
      <c r="F54" s="95">
        <v>1.813675E-2</v>
      </c>
      <c r="G54" s="95">
        <f t="shared" si="6"/>
        <v>8.4806099999999995E-3</v>
      </c>
      <c r="H54" s="95">
        <f t="shared" si="4"/>
        <v>960.96</v>
      </c>
      <c r="I54" s="96">
        <f t="shared" si="5"/>
        <v>1882.9473</v>
      </c>
      <c r="J54" s="91"/>
    </row>
    <row r="55" spans="1:11" ht="15.75" thickBot="1" x14ac:dyDescent="0.3">
      <c r="A55" s="94" t="s">
        <v>125</v>
      </c>
      <c r="B55" s="82">
        <v>5</v>
      </c>
      <c r="C55" s="95">
        <f>B55*References!AT7</f>
        <v>65</v>
      </c>
      <c r="D55" s="95">
        <v>34.5</v>
      </c>
      <c r="E55" s="95">
        <v>22.5</v>
      </c>
      <c r="F55" s="95">
        <v>1.813675E-2</v>
      </c>
      <c r="G55" s="95">
        <f t="shared" si="6"/>
        <v>8.4806099999999995E-3</v>
      </c>
      <c r="H55" s="95">
        <f t="shared" si="4"/>
        <v>960.96</v>
      </c>
      <c r="I55" s="96">
        <f t="shared" si="5"/>
        <v>1882.9473</v>
      </c>
      <c r="J55" s="91"/>
    </row>
    <row r="56" spans="1:11" ht="15.75" thickBot="1" x14ac:dyDescent="0.3">
      <c r="A56" s="94" t="s">
        <v>170</v>
      </c>
      <c r="B56" s="82">
        <v>2</v>
      </c>
      <c r="C56" s="95">
        <f>B56*References!AT8</f>
        <v>26</v>
      </c>
      <c r="D56" s="95">
        <v>34.5</v>
      </c>
      <c r="E56" s="95">
        <v>22.5</v>
      </c>
      <c r="F56" s="95">
        <v>1.813675E-2</v>
      </c>
      <c r="G56" s="95">
        <f t="shared" si="6"/>
        <v>8.4806099999999995E-3</v>
      </c>
      <c r="H56" s="95">
        <f t="shared" si="4"/>
        <v>384.38399999999996</v>
      </c>
      <c r="I56" s="96">
        <f t="shared" si="5"/>
        <v>753.17892000000006</v>
      </c>
      <c r="J56" s="91"/>
    </row>
    <row r="57" spans="1:11" ht="15.75" thickBot="1" x14ac:dyDescent="0.3">
      <c r="A57" s="94" t="s">
        <v>171</v>
      </c>
      <c r="B57" s="82">
        <v>2</v>
      </c>
      <c r="C57" s="95">
        <f>B57*References!AT9</f>
        <v>26</v>
      </c>
      <c r="D57" s="95">
        <v>34.5</v>
      </c>
      <c r="E57" s="95">
        <v>22.5</v>
      </c>
      <c r="F57" s="95">
        <v>1.813675E-2</v>
      </c>
      <c r="G57" s="95">
        <f t="shared" si="6"/>
        <v>8.4806099999999995E-3</v>
      </c>
      <c r="H57" s="95">
        <f t="shared" si="4"/>
        <v>384.38399999999996</v>
      </c>
      <c r="I57" s="96">
        <f t="shared" si="5"/>
        <v>753.17892000000006</v>
      </c>
      <c r="J57" s="91"/>
    </row>
    <row r="58" spans="1:11" ht="15.75" thickBot="1" x14ac:dyDescent="0.3">
      <c r="A58" s="94" t="s">
        <v>172</v>
      </c>
      <c r="B58" s="82">
        <v>2</v>
      </c>
      <c r="C58" s="95">
        <f>B58*References!AT10</f>
        <v>26</v>
      </c>
      <c r="D58" s="95">
        <v>34.5</v>
      </c>
      <c r="E58" s="95">
        <v>22.5</v>
      </c>
      <c r="F58" s="95">
        <v>1.813675E-2</v>
      </c>
      <c r="G58" s="95">
        <f t="shared" si="6"/>
        <v>8.4806099999999995E-3</v>
      </c>
      <c r="H58" s="95">
        <f t="shared" si="4"/>
        <v>384.38399999999996</v>
      </c>
      <c r="I58" s="96">
        <f t="shared" si="5"/>
        <v>753.17892000000006</v>
      </c>
      <c r="J58" s="91"/>
    </row>
    <row r="59" spans="1:11" ht="15.75" thickBot="1" x14ac:dyDescent="0.3">
      <c r="A59" s="94" t="s">
        <v>173</v>
      </c>
      <c r="B59" s="82">
        <v>7</v>
      </c>
      <c r="C59" s="95">
        <f>B59*References!AT11</f>
        <v>17.5</v>
      </c>
      <c r="D59" s="95">
        <v>34.5</v>
      </c>
      <c r="E59" s="95">
        <v>22.5</v>
      </c>
      <c r="F59" s="95">
        <v>1.813675E-2</v>
      </c>
      <c r="G59" s="95">
        <f t="shared" si="6"/>
        <v>8.4806099999999995E-3</v>
      </c>
      <c r="H59" s="95">
        <f t="shared" si="4"/>
        <v>258.71999999999997</v>
      </c>
      <c r="I59" s="96">
        <f t="shared" si="5"/>
        <v>506.94735000000003</v>
      </c>
      <c r="J59" s="91"/>
    </row>
    <row r="60" spans="1:11" ht="15.75" thickBot="1" x14ac:dyDescent="0.3">
      <c r="A60" s="94" t="s">
        <v>174</v>
      </c>
      <c r="B60" s="82">
        <v>2</v>
      </c>
      <c r="C60" s="95">
        <f>B60*References!AT12</f>
        <v>16</v>
      </c>
      <c r="D60" s="95">
        <v>34.5</v>
      </c>
      <c r="E60" s="95">
        <v>22.5</v>
      </c>
      <c r="F60" s="95">
        <v>1.813675E-2</v>
      </c>
      <c r="G60" s="95">
        <f t="shared" si="6"/>
        <v>8.4806099999999995E-3</v>
      </c>
      <c r="H60" s="95">
        <f t="shared" si="4"/>
        <v>236.54399999999998</v>
      </c>
      <c r="I60" s="96">
        <f t="shared" si="5"/>
        <v>463.49472000000003</v>
      </c>
      <c r="J60" s="91"/>
    </row>
    <row r="61" spans="1:11" ht="15.75" thickBot="1" x14ac:dyDescent="0.3">
      <c r="A61" s="94" t="s">
        <v>175</v>
      </c>
      <c r="B61" s="82">
        <v>5</v>
      </c>
      <c r="C61" s="95">
        <f>B61*References!AT13</f>
        <v>40</v>
      </c>
      <c r="D61" s="95">
        <v>34.5</v>
      </c>
      <c r="E61" s="95">
        <v>22.5</v>
      </c>
      <c r="F61" s="95">
        <v>1.813675E-2</v>
      </c>
      <c r="G61" s="95">
        <f t="shared" si="6"/>
        <v>8.4806099999999995E-3</v>
      </c>
      <c r="H61" s="95">
        <f t="shared" si="4"/>
        <v>591.36</v>
      </c>
      <c r="I61" s="96">
        <f t="shared" si="5"/>
        <v>1158.7368000000001</v>
      </c>
      <c r="J61" s="91"/>
    </row>
    <row r="62" spans="1:11" ht="15.75" thickBot="1" x14ac:dyDescent="0.3">
      <c r="A62" s="94" t="s">
        <v>176</v>
      </c>
      <c r="B62" s="82">
        <v>1</v>
      </c>
      <c r="C62" s="95">
        <f>B62*References!AT14</f>
        <v>2.5</v>
      </c>
      <c r="D62" s="95">
        <v>34.5</v>
      </c>
      <c r="E62" s="95">
        <v>24</v>
      </c>
      <c r="F62" s="95">
        <v>1.813675E-2</v>
      </c>
      <c r="G62" s="95">
        <f t="shared" si="6"/>
        <v>9.2932299999999995E-3</v>
      </c>
      <c r="H62" s="95">
        <f t="shared" si="4"/>
        <v>32.340000000000003</v>
      </c>
      <c r="I62" s="96">
        <f t="shared" si="5"/>
        <v>66.326400000000007</v>
      </c>
      <c r="J62" s="91"/>
    </row>
    <row r="63" spans="1:11" ht="15.75" thickBot="1" x14ac:dyDescent="0.3">
      <c r="A63" s="94" t="s">
        <v>177</v>
      </c>
      <c r="B63" s="82">
        <v>1</v>
      </c>
      <c r="C63" s="95">
        <f>B63*References!AT15</f>
        <v>2.5</v>
      </c>
      <c r="D63" s="95">
        <v>34.5</v>
      </c>
      <c r="E63" s="95">
        <v>24</v>
      </c>
      <c r="F63" s="95">
        <v>1.813675E-2</v>
      </c>
      <c r="G63" s="95">
        <f t="shared" si="6"/>
        <v>9.2932299999999995E-3</v>
      </c>
      <c r="H63" s="95">
        <f t="shared" si="4"/>
        <v>32.340000000000003</v>
      </c>
      <c r="I63" s="96">
        <f t="shared" si="5"/>
        <v>66.326400000000007</v>
      </c>
      <c r="J63" s="91"/>
    </row>
    <row r="64" spans="1:11" ht="15.75" thickBot="1" x14ac:dyDescent="0.3">
      <c r="A64" s="94" t="s">
        <v>178</v>
      </c>
      <c r="B64" s="82">
        <v>2</v>
      </c>
      <c r="C64" s="95">
        <f>B64*References!AT16</f>
        <v>26</v>
      </c>
      <c r="D64" s="95">
        <v>34.5</v>
      </c>
      <c r="E64" s="95">
        <v>22.5</v>
      </c>
      <c r="F64" s="95">
        <v>1.813675E-2</v>
      </c>
      <c r="G64" s="95">
        <f t="shared" si="6"/>
        <v>8.4806099999999995E-3</v>
      </c>
      <c r="H64" s="95">
        <f t="shared" si="4"/>
        <v>384.38399999999996</v>
      </c>
      <c r="I64" s="96">
        <f t="shared" si="5"/>
        <v>753.17892000000006</v>
      </c>
      <c r="J64" s="91"/>
    </row>
    <row r="65" spans="1:10" ht="15.75" thickBot="1" x14ac:dyDescent="0.3">
      <c r="A65" s="94" t="s">
        <v>179</v>
      </c>
      <c r="B65" s="82">
        <v>2</v>
      </c>
      <c r="C65" s="95">
        <f>B65*References!AT17</f>
        <v>26</v>
      </c>
      <c r="D65" s="95">
        <v>34.5</v>
      </c>
      <c r="E65" s="95">
        <v>22.5</v>
      </c>
      <c r="F65" s="95">
        <v>1.813675E-2</v>
      </c>
      <c r="G65" s="95">
        <f t="shared" si="6"/>
        <v>8.4806099999999995E-3</v>
      </c>
      <c r="H65" s="95">
        <f t="shared" si="4"/>
        <v>384.38399999999996</v>
      </c>
      <c r="I65" s="96">
        <f t="shared" si="5"/>
        <v>753.17892000000006</v>
      </c>
      <c r="J65" s="91"/>
    </row>
    <row r="66" spans="1:10" ht="15.75" thickBot="1" x14ac:dyDescent="0.3">
      <c r="A66" s="94" t="s">
        <v>180</v>
      </c>
      <c r="B66" s="82">
        <v>2</v>
      </c>
      <c r="C66" s="95">
        <f>B66*References!AT18</f>
        <v>26</v>
      </c>
      <c r="D66" s="95">
        <v>34.5</v>
      </c>
      <c r="E66" s="95">
        <v>22.5</v>
      </c>
      <c r="F66" s="95">
        <v>1.813675E-2</v>
      </c>
      <c r="G66" s="95">
        <f t="shared" si="6"/>
        <v>8.4806099999999995E-3</v>
      </c>
      <c r="H66" s="95">
        <f t="shared" si="4"/>
        <v>384.38399999999996</v>
      </c>
      <c r="I66" s="96">
        <f t="shared" si="5"/>
        <v>753.17892000000006</v>
      </c>
      <c r="J66" s="91"/>
    </row>
    <row r="67" spans="1:10" ht="15.75" thickBot="1" x14ac:dyDescent="0.3">
      <c r="A67" s="94" t="s">
        <v>181</v>
      </c>
      <c r="B67" s="82">
        <v>2</v>
      </c>
      <c r="C67" s="95">
        <f>B67*References!AT19</f>
        <v>26</v>
      </c>
      <c r="D67" s="95">
        <v>34.5</v>
      </c>
      <c r="E67" s="95">
        <v>22.5</v>
      </c>
      <c r="F67" s="95">
        <v>1.813675E-2</v>
      </c>
      <c r="G67" s="95">
        <f t="shared" si="6"/>
        <v>8.4806099999999995E-3</v>
      </c>
      <c r="H67" s="95">
        <f t="shared" si="4"/>
        <v>384.38399999999996</v>
      </c>
      <c r="I67" s="96">
        <f t="shared" si="5"/>
        <v>753.17892000000006</v>
      </c>
      <c r="J67" s="91"/>
    </row>
    <row r="68" spans="1:10" ht="15.75" thickBot="1" x14ac:dyDescent="0.3">
      <c r="A68" s="94" t="s">
        <v>182</v>
      </c>
      <c r="B68" s="82">
        <v>2</v>
      </c>
      <c r="C68" s="95">
        <f>B68*References!AT20</f>
        <v>26</v>
      </c>
      <c r="D68" s="95">
        <v>34.5</v>
      </c>
      <c r="E68" s="95">
        <v>22.5</v>
      </c>
      <c r="F68" s="95">
        <v>1.813675E-2</v>
      </c>
      <c r="G68" s="95">
        <f t="shared" si="6"/>
        <v>8.4806099999999995E-3</v>
      </c>
      <c r="H68" s="95">
        <f t="shared" si="4"/>
        <v>384.38399999999996</v>
      </c>
      <c r="I68" s="96">
        <f t="shared" si="5"/>
        <v>753.17892000000006</v>
      </c>
      <c r="J68" s="91"/>
    </row>
    <row r="69" spans="1:10" ht="15.75" thickBot="1" x14ac:dyDescent="0.3">
      <c r="A69" s="94" t="s">
        <v>142</v>
      </c>
      <c r="B69" s="82">
        <v>3</v>
      </c>
      <c r="C69" s="95">
        <f>B69*References!AT21</f>
        <v>7.5</v>
      </c>
      <c r="D69" s="95">
        <v>34.5</v>
      </c>
      <c r="E69" s="95">
        <v>22.5</v>
      </c>
      <c r="F69" s="95">
        <v>1.813675E-2</v>
      </c>
      <c r="G69" s="95">
        <f t="shared" si="6"/>
        <v>8.4806099999999995E-3</v>
      </c>
      <c r="H69" s="95">
        <f t="shared" si="4"/>
        <v>110.88</v>
      </c>
      <c r="I69" s="96">
        <f t="shared" si="5"/>
        <v>217.26315000000002</v>
      </c>
      <c r="J69" s="91"/>
    </row>
    <row r="70" spans="1:10" ht="15.75" thickBot="1" x14ac:dyDescent="0.3">
      <c r="A70" s="94" t="s">
        <v>183</v>
      </c>
      <c r="B70" s="82">
        <v>3</v>
      </c>
      <c r="C70" s="95">
        <f>B70*References!AT22</f>
        <v>39</v>
      </c>
      <c r="D70" s="95">
        <v>34.5</v>
      </c>
      <c r="E70" s="95">
        <v>22.5</v>
      </c>
      <c r="F70" s="95">
        <v>1.813675E-2</v>
      </c>
      <c r="G70" s="95">
        <f t="shared" si="6"/>
        <v>8.4806099999999995E-3</v>
      </c>
      <c r="H70" s="95">
        <f t="shared" si="4"/>
        <v>576.57600000000002</v>
      </c>
      <c r="I70" s="96">
        <f t="shared" si="5"/>
        <v>1129.76838</v>
      </c>
      <c r="J70" s="91"/>
    </row>
    <row r="71" spans="1:10" ht="15.75" thickBot="1" x14ac:dyDescent="0.3">
      <c r="A71" s="94" t="s">
        <v>185</v>
      </c>
      <c r="B71" s="82">
        <v>3</v>
      </c>
      <c r="C71" s="95">
        <f>B71*References!AT23</f>
        <v>39</v>
      </c>
      <c r="D71" s="95">
        <v>34.5</v>
      </c>
      <c r="E71" s="95">
        <v>22.5</v>
      </c>
      <c r="F71" s="95">
        <v>1.813675E-2</v>
      </c>
      <c r="G71" s="95">
        <f t="shared" si="6"/>
        <v>8.4806099999999995E-3</v>
      </c>
      <c r="H71" s="95">
        <f t="shared" si="4"/>
        <v>576.57600000000002</v>
      </c>
      <c r="I71" s="96">
        <f t="shared" si="5"/>
        <v>1129.76838</v>
      </c>
      <c r="J71" s="91"/>
    </row>
    <row r="72" spans="1:10" ht="15.75" thickBot="1" x14ac:dyDescent="0.3">
      <c r="A72" s="94" t="s">
        <v>186</v>
      </c>
      <c r="B72" s="82">
        <v>2</v>
      </c>
      <c r="C72" s="95">
        <f>B72*References!AT24</f>
        <v>26</v>
      </c>
      <c r="D72" s="95">
        <v>34.5</v>
      </c>
      <c r="E72" s="95">
        <v>22.5</v>
      </c>
      <c r="F72" s="95">
        <v>1.813675E-2</v>
      </c>
      <c r="G72" s="95">
        <f t="shared" si="6"/>
        <v>8.4806099999999995E-3</v>
      </c>
      <c r="H72" s="95">
        <f t="shared" si="4"/>
        <v>384.38399999999996</v>
      </c>
      <c r="I72" s="96">
        <f t="shared" si="5"/>
        <v>753.17892000000006</v>
      </c>
      <c r="J72" s="91"/>
    </row>
    <row r="73" spans="1:10" ht="15.75" thickBot="1" x14ac:dyDescent="0.3">
      <c r="A73" s="94" t="s">
        <v>141</v>
      </c>
      <c r="B73" s="82">
        <v>8</v>
      </c>
      <c r="C73" s="95">
        <f>B73*References!AT25</f>
        <v>104</v>
      </c>
      <c r="D73" s="95">
        <v>34.5</v>
      </c>
      <c r="E73" s="95">
        <v>22.5</v>
      </c>
      <c r="F73" s="95">
        <v>1.813675E-2</v>
      </c>
      <c r="G73" s="95">
        <f t="shared" si="6"/>
        <v>8.4806099999999995E-3</v>
      </c>
      <c r="H73" s="95">
        <f t="shared" si="4"/>
        <v>1537.5359999999998</v>
      </c>
      <c r="I73" s="96">
        <f t="shared" si="5"/>
        <v>3012.7156800000002</v>
      </c>
      <c r="J73" s="91"/>
    </row>
    <row r="74" spans="1:10" ht="15.75" thickBot="1" x14ac:dyDescent="0.3">
      <c r="A74" s="94" t="s">
        <v>187</v>
      </c>
      <c r="B74" s="82">
        <v>3</v>
      </c>
      <c r="C74" s="95">
        <f>B74*References!AT26</f>
        <v>39</v>
      </c>
      <c r="D74" s="95">
        <v>34.5</v>
      </c>
      <c r="E74" s="95">
        <v>22.5</v>
      </c>
      <c r="F74" s="95">
        <v>1.813675E-2</v>
      </c>
      <c r="G74" s="95">
        <f t="shared" si="6"/>
        <v>8.4806099999999995E-3</v>
      </c>
      <c r="H74" s="95">
        <f t="shared" si="4"/>
        <v>576.57600000000002</v>
      </c>
      <c r="I74" s="96">
        <f t="shared" si="5"/>
        <v>1129.76838</v>
      </c>
      <c r="J74" s="91"/>
    </row>
    <row r="75" spans="1:10" ht="15.75" thickBot="1" x14ac:dyDescent="0.3">
      <c r="A75" s="94" t="s">
        <v>188</v>
      </c>
      <c r="B75" s="82">
        <v>3</v>
      </c>
      <c r="C75" s="95">
        <f>B75*References!AT27</f>
        <v>39</v>
      </c>
      <c r="D75" s="95">
        <v>34.5</v>
      </c>
      <c r="E75" s="95">
        <v>22.5</v>
      </c>
      <c r="F75" s="95">
        <v>1.813675E-2</v>
      </c>
      <c r="G75" s="95">
        <f t="shared" si="6"/>
        <v>8.4806099999999995E-3</v>
      </c>
      <c r="H75" s="95">
        <f t="shared" si="4"/>
        <v>576.57600000000002</v>
      </c>
      <c r="I75" s="96">
        <f t="shared" si="5"/>
        <v>1129.76838</v>
      </c>
      <c r="J75" s="91"/>
    </row>
    <row r="76" spans="1:10" ht="15.75" thickBot="1" x14ac:dyDescent="0.3">
      <c r="A76" s="94" t="s">
        <v>189</v>
      </c>
      <c r="B76" s="82">
        <v>2</v>
      </c>
      <c r="C76" s="95">
        <f>B76*References!AT28</f>
        <v>26</v>
      </c>
      <c r="D76" s="95">
        <v>34.5</v>
      </c>
      <c r="E76" s="95">
        <v>22.5</v>
      </c>
      <c r="F76" s="95">
        <v>1.813675E-2</v>
      </c>
      <c r="G76" s="95">
        <f t="shared" si="6"/>
        <v>8.4806099999999995E-3</v>
      </c>
      <c r="H76" s="95">
        <f t="shared" si="4"/>
        <v>384.38399999999996</v>
      </c>
      <c r="I76" s="96">
        <f t="shared" si="5"/>
        <v>753.17892000000006</v>
      </c>
      <c r="J76" s="91"/>
    </row>
    <row r="77" spans="1:10" ht="15.75" thickBot="1" x14ac:dyDescent="0.3">
      <c r="A77" s="94" t="s">
        <v>190</v>
      </c>
      <c r="B77" s="82">
        <v>2</v>
      </c>
      <c r="C77" s="95">
        <f>B77*References!AT29</f>
        <v>26</v>
      </c>
      <c r="D77" s="95">
        <v>34.5</v>
      </c>
      <c r="E77" s="95">
        <v>22.5</v>
      </c>
      <c r="F77" s="95">
        <v>1.813675E-2</v>
      </c>
      <c r="G77" s="95">
        <f t="shared" si="6"/>
        <v>8.4806099999999995E-3</v>
      </c>
      <c r="H77" s="95">
        <f t="shared" si="4"/>
        <v>384.38399999999996</v>
      </c>
      <c r="I77" s="96">
        <f t="shared" si="5"/>
        <v>753.17892000000006</v>
      </c>
      <c r="J77" s="91"/>
    </row>
    <row r="78" spans="1:10" ht="15.75" thickBot="1" x14ac:dyDescent="0.3">
      <c r="A78" s="94" t="s">
        <v>140</v>
      </c>
      <c r="B78" s="82">
        <v>5</v>
      </c>
      <c r="C78" s="95">
        <f>B78*References!AT30</f>
        <v>12.5</v>
      </c>
      <c r="D78" s="95">
        <v>34.5</v>
      </c>
      <c r="E78" s="95">
        <v>22.5</v>
      </c>
      <c r="F78" s="95">
        <v>1.813675E-2</v>
      </c>
      <c r="G78" s="95">
        <f t="shared" si="6"/>
        <v>8.4806099999999995E-3</v>
      </c>
      <c r="H78" s="95">
        <f t="shared" si="4"/>
        <v>184.8</v>
      </c>
      <c r="I78" s="96">
        <f t="shared" si="5"/>
        <v>362.10525000000001</v>
      </c>
      <c r="J78" s="91"/>
    </row>
    <row r="79" spans="1:10" ht="15.75" thickBot="1" x14ac:dyDescent="0.3">
      <c r="A79" s="94" t="s">
        <v>139</v>
      </c>
      <c r="B79" s="82">
        <v>8</v>
      </c>
      <c r="C79" s="95">
        <f>B79*References!AT31</f>
        <v>64</v>
      </c>
      <c r="D79" s="95">
        <v>34.5</v>
      </c>
      <c r="E79" s="95">
        <v>22</v>
      </c>
      <c r="F79" s="95">
        <v>1.813675E-2</v>
      </c>
      <c r="G79" s="95">
        <f t="shared" si="6"/>
        <v>8.2197599999999996E-3</v>
      </c>
      <c r="H79" s="95">
        <f t="shared" si="4"/>
        <v>985.6</v>
      </c>
      <c r="I79" s="96">
        <f t="shared" si="5"/>
        <v>1904.0620800000002</v>
      </c>
      <c r="J79" s="91"/>
    </row>
    <row r="80" spans="1:10" ht="15.75" thickBot="1" x14ac:dyDescent="0.3">
      <c r="A80" s="94" t="s">
        <v>191</v>
      </c>
      <c r="B80" s="82">
        <v>1</v>
      </c>
      <c r="C80" s="95">
        <f>B80*References!AT32</f>
        <v>2.5</v>
      </c>
      <c r="D80" s="95">
        <v>34.5</v>
      </c>
      <c r="E80" s="95">
        <v>24</v>
      </c>
      <c r="F80" s="95">
        <v>1.813675E-2</v>
      </c>
      <c r="G80" s="95">
        <f t="shared" si="6"/>
        <v>9.2932299999999995E-3</v>
      </c>
      <c r="H80" s="95">
        <f t="shared" si="4"/>
        <v>32.340000000000003</v>
      </c>
      <c r="I80" s="96">
        <f t="shared" si="5"/>
        <v>66.326400000000007</v>
      </c>
      <c r="J80" s="91"/>
    </row>
    <row r="81" spans="1:10" ht="15.75" thickBot="1" x14ac:dyDescent="0.3">
      <c r="A81" s="94" t="s">
        <v>192</v>
      </c>
      <c r="B81" s="82">
        <v>6</v>
      </c>
      <c r="C81" s="95">
        <f>B81*References!AT33</f>
        <v>48</v>
      </c>
      <c r="D81" s="95">
        <v>34.5</v>
      </c>
      <c r="E81" s="95">
        <v>22.5</v>
      </c>
      <c r="F81" s="95">
        <v>1.813675E-2</v>
      </c>
      <c r="G81" s="95">
        <f t="shared" si="6"/>
        <v>8.4806099999999995E-3</v>
      </c>
      <c r="H81" s="95">
        <f t="shared" si="4"/>
        <v>709.63199999999995</v>
      </c>
      <c r="I81" s="96">
        <f t="shared" si="5"/>
        <v>1390.48416</v>
      </c>
      <c r="J81" s="91"/>
    </row>
    <row r="82" spans="1:10" ht="15.75" thickBot="1" x14ac:dyDescent="0.3">
      <c r="A82" s="94" t="s">
        <v>193</v>
      </c>
      <c r="B82" s="82">
        <v>4</v>
      </c>
      <c r="C82" s="95">
        <f>B82*References!AT34</f>
        <v>10</v>
      </c>
      <c r="D82" s="95">
        <v>34.5</v>
      </c>
      <c r="E82" s="95">
        <v>22.5</v>
      </c>
      <c r="F82" s="95">
        <v>1.813675E-2</v>
      </c>
      <c r="G82" s="95">
        <f t="shared" si="6"/>
        <v>8.4806099999999995E-3</v>
      </c>
      <c r="H82" s="95">
        <f t="shared" si="4"/>
        <v>147.84</v>
      </c>
      <c r="I82" s="96">
        <f t="shared" si="5"/>
        <v>289.68420000000003</v>
      </c>
      <c r="J82" s="91"/>
    </row>
    <row r="83" spans="1:10" ht="15.75" thickBot="1" x14ac:dyDescent="0.3">
      <c r="A83" s="94" t="s">
        <v>194</v>
      </c>
      <c r="B83" s="82">
        <v>4</v>
      </c>
      <c r="C83" s="95">
        <f>B83*References!AT35</f>
        <v>10</v>
      </c>
      <c r="D83" s="95">
        <v>34.5</v>
      </c>
      <c r="E83" s="95">
        <v>22.5</v>
      </c>
      <c r="F83" s="95">
        <v>1.813675E-2</v>
      </c>
      <c r="G83" s="95">
        <f t="shared" si="6"/>
        <v>8.4806099999999995E-3</v>
      </c>
      <c r="H83" s="95">
        <f t="shared" si="4"/>
        <v>147.84</v>
      </c>
      <c r="I83" s="96">
        <f t="shared" si="5"/>
        <v>289.68420000000003</v>
      </c>
      <c r="J83" s="91"/>
    </row>
    <row r="84" spans="1:10" ht="15.75" thickBot="1" x14ac:dyDescent="0.3">
      <c r="A84" s="94" t="s">
        <v>195</v>
      </c>
      <c r="B84" s="82">
        <v>2</v>
      </c>
      <c r="C84" s="95">
        <f>B84*References!AT36</f>
        <v>5</v>
      </c>
      <c r="D84" s="95">
        <v>34.5</v>
      </c>
      <c r="E84" s="95">
        <v>22.5</v>
      </c>
      <c r="F84" s="95">
        <v>1.813675E-2</v>
      </c>
      <c r="G84" s="95">
        <f t="shared" si="6"/>
        <v>8.4806099999999995E-3</v>
      </c>
      <c r="H84" s="95">
        <f t="shared" si="4"/>
        <v>73.92</v>
      </c>
      <c r="I84" s="96">
        <f t="shared" si="5"/>
        <v>144.84210000000002</v>
      </c>
      <c r="J84" s="91"/>
    </row>
    <row r="85" spans="1:10" ht="15.75" thickBot="1" x14ac:dyDescent="0.3">
      <c r="A85" s="94" t="s">
        <v>196</v>
      </c>
      <c r="B85" s="82">
        <v>4</v>
      </c>
      <c r="C85" s="95">
        <f>B85*References!AT37</f>
        <v>60</v>
      </c>
      <c r="D85" s="95">
        <v>34.5</v>
      </c>
      <c r="E85" s="95">
        <v>22</v>
      </c>
      <c r="F85" s="95">
        <v>1.813675E-2</v>
      </c>
      <c r="G85" s="95">
        <f>_xlfn.IFS(E85=22.5,0.00848061,E85=22,0.00821976,E85=24,0.00929323)</f>
        <v>8.2197599999999996E-3</v>
      </c>
      <c r="H85" s="95">
        <f t="shared" si="4"/>
        <v>924</v>
      </c>
      <c r="I85" s="96">
        <f t="shared" si="5"/>
        <v>1785.0582000000002</v>
      </c>
      <c r="J85" s="91"/>
    </row>
    <row r="86" spans="1:10" ht="15.75" thickBot="1" x14ac:dyDescent="0.3">
      <c r="A86" s="94" t="s">
        <v>197</v>
      </c>
      <c r="B86" s="82">
        <v>3</v>
      </c>
      <c r="C86" s="95">
        <f>B86*References!AT38</f>
        <v>24</v>
      </c>
      <c r="D86" s="95">
        <v>34.5</v>
      </c>
      <c r="E86" s="95">
        <v>22.5</v>
      </c>
      <c r="F86" s="95">
        <v>1.813675E-2</v>
      </c>
      <c r="G86" s="95">
        <f t="shared" si="6"/>
        <v>8.4806099999999995E-3</v>
      </c>
      <c r="H86" s="95">
        <f t="shared" si="4"/>
        <v>354.81599999999997</v>
      </c>
      <c r="I86" s="96">
        <f t="shared" si="5"/>
        <v>695.24207999999999</v>
      </c>
      <c r="J86" s="91"/>
    </row>
    <row r="87" spans="1:10" ht="15.75" thickBot="1" x14ac:dyDescent="0.3">
      <c r="A87" s="94" t="s">
        <v>499</v>
      </c>
      <c r="B87" s="82">
        <v>5</v>
      </c>
      <c r="C87" s="95">
        <f>B87*References!AT39</f>
        <v>12.5</v>
      </c>
      <c r="D87" s="95">
        <v>34.5</v>
      </c>
      <c r="E87" s="95">
        <v>24</v>
      </c>
      <c r="F87" s="95">
        <v>1.813675E-2</v>
      </c>
      <c r="G87" s="95">
        <f t="shared" si="6"/>
        <v>9.2932299999999995E-3</v>
      </c>
      <c r="H87" s="95">
        <f t="shared" si="4"/>
        <v>161.70000000000002</v>
      </c>
      <c r="I87" s="96">
        <f t="shared" si="5"/>
        <v>331.63200000000001</v>
      </c>
      <c r="J87" s="91"/>
    </row>
    <row r="88" spans="1:10" ht="15.75" thickBot="1" x14ac:dyDescent="0.3">
      <c r="A88" s="94" t="s">
        <v>200</v>
      </c>
      <c r="B88" s="82">
        <v>8</v>
      </c>
      <c r="C88" s="95">
        <f>B88*References!AT40</f>
        <v>120</v>
      </c>
      <c r="D88" s="95">
        <v>34.5</v>
      </c>
      <c r="E88" s="95">
        <v>22</v>
      </c>
      <c r="F88" s="95">
        <v>1.813675E-2</v>
      </c>
      <c r="G88" s="95">
        <f t="shared" si="6"/>
        <v>8.2197599999999996E-3</v>
      </c>
      <c r="H88" s="95">
        <f t="shared" si="4"/>
        <v>1848</v>
      </c>
      <c r="I88" s="96">
        <f t="shared" si="5"/>
        <v>3570.1164000000003</v>
      </c>
      <c r="J88" s="91"/>
    </row>
    <row r="89" spans="1:10" ht="15.75" thickBot="1" x14ac:dyDescent="0.3">
      <c r="A89" s="94" t="s">
        <v>201</v>
      </c>
      <c r="B89" s="82">
        <v>1</v>
      </c>
      <c r="C89" s="95">
        <f>B89*References!AT41</f>
        <v>2.5</v>
      </c>
      <c r="D89" s="95">
        <v>34.5</v>
      </c>
      <c r="E89" s="95">
        <v>24</v>
      </c>
      <c r="F89" s="95">
        <v>1.813675E-2</v>
      </c>
      <c r="G89" s="95">
        <f t="shared" si="6"/>
        <v>9.2932299999999995E-3</v>
      </c>
      <c r="H89" s="95">
        <f t="shared" si="4"/>
        <v>32.340000000000003</v>
      </c>
      <c r="I89" s="96">
        <f t="shared" si="5"/>
        <v>66.326400000000007</v>
      </c>
      <c r="J89" s="91"/>
    </row>
    <row r="90" spans="1:10" ht="15.75" thickBot="1" x14ac:dyDescent="0.3">
      <c r="A90" s="94" t="s">
        <v>202</v>
      </c>
      <c r="B90" s="82">
        <v>1</v>
      </c>
      <c r="C90" s="95">
        <f>B90*References!AT42</f>
        <v>2.5</v>
      </c>
      <c r="D90" s="95">
        <v>34.5</v>
      </c>
      <c r="E90" s="95">
        <v>24</v>
      </c>
      <c r="F90" s="95">
        <v>1.813675E-2</v>
      </c>
      <c r="G90" s="95">
        <f t="shared" si="6"/>
        <v>9.2932299999999995E-3</v>
      </c>
      <c r="H90" s="95">
        <f t="shared" si="4"/>
        <v>32.340000000000003</v>
      </c>
      <c r="I90" s="96">
        <f t="shared" si="5"/>
        <v>66.326400000000007</v>
      </c>
      <c r="J90" s="91"/>
    </row>
    <row r="91" spans="1:10" ht="15.75" thickBot="1" x14ac:dyDescent="0.3">
      <c r="A91" s="94" t="s">
        <v>203</v>
      </c>
      <c r="B91" s="82">
        <v>3</v>
      </c>
      <c r="C91" s="95">
        <f>B91*References!AT43</f>
        <v>7.5</v>
      </c>
      <c r="D91" s="95">
        <v>34.5</v>
      </c>
      <c r="E91" s="95">
        <v>24</v>
      </c>
      <c r="F91" s="95">
        <v>1.813675E-2</v>
      </c>
      <c r="G91" s="95">
        <f t="shared" si="6"/>
        <v>9.2932299999999995E-3</v>
      </c>
      <c r="H91" s="95">
        <f t="shared" si="4"/>
        <v>97.02</v>
      </c>
      <c r="I91" s="96">
        <f t="shared" si="5"/>
        <v>198.97920000000002</v>
      </c>
      <c r="J91" s="91"/>
    </row>
    <row r="92" spans="1:10" ht="15.75" thickBot="1" x14ac:dyDescent="0.3">
      <c r="A92" s="94" t="s">
        <v>228</v>
      </c>
      <c r="B92" s="82">
        <v>2</v>
      </c>
      <c r="C92" s="95">
        <f>B92*References!AT44</f>
        <v>5</v>
      </c>
      <c r="D92" s="95">
        <v>34.5</v>
      </c>
      <c r="E92" s="95">
        <v>24</v>
      </c>
      <c r="F92" s="95">
        <v>1.813675E-2</v>
      </c>
      <c r="G92" s="95">
        <f t="shared" si="6"/>
        <v>9.2932299999999995E-3</v>
      </c>
      <c r="H92" s="95">
        <f t="shared" si="4"/>
        <v>64.680000000000007</v>
      </c>
      <c r="I92" s="96">
        <f t="shared" si="5"/>
        <v>132.65280000000001</v>
      </c>
      <c r="J92" s="91"/>
    </row>
    <row r="93" spans="1:10" ht="15.75" thickBot="1" x14ac:dyDescent="0.3">
      <c r="A93" s="94" t="s">
        <v>229</v>
      </c>
      <c r="B93" s="82">
        <v>4</v>
      </c>
      <c r="C93" s="95">
        <f>B93*References!AT45</f>
        <v>10</v>
      </c>
      <c r="D93" s="95">
        <v>34.5</v>
      </c>
      <c r="E93" s="95">
        <v>24</v>
      </c>
      <c r="F93" s="95">
        <v>1.813675E-2</v>
      </c>
      <c r="G93" s="95">
        <f t="shared" si="6"/>
        <v>9.2932299999999995E-3</v>
      </c>
      <c r="H93" s="95">
        <f t="shared" si="4"/>
        <v>129.36000000000001</v>
      </c>
      <c r="I93" s="96">
        <f t="shared" si="5"/>
        <v>265.30560000000003</v>
      </c>
      <c r="J93" s="91"/>
    </row>
    <row r="94" spans="1:10" ht="15.75" thickBot="1" x14ac:dyDescent="0.3">
      <c r="A94" s="94" t="s">
        <v>131</v>
      </c>
      <c r="B94" s="82">
        <v>3</v>
      </c>
      <c r="C94" s="95">
        <f>B94*References!AT46</f>
        <v>24</v>
      </c>
      <c r="D94" s="95">
        <v>34.5</v>
      </c>
      <c r="E94" s="95">
        <v>22.5</v>
      </c>
      <c r="F94" s="95">
        <v>1.813675E-2</v>
      </c>
      <c r="G94" s="95">
        <f t="shared" si="6"/>
        <v>8.4806099999999995E-3</v>
      </c>
      <c r="H94" s="95">
        <f t="shared" si="4"/>
        <v>354.81599999999997</v>
      </c>
      <c r="I94" s="96">
        <f t="shared" si="5"/>
        <v>695.24207999999999</v>
      </c>
      <c r="J94" s="91"/>
    </row>
    <row r="95" spans="1:10" ht="15.75" thickBot="1" x14ac:dyDescent="0.3">
      <c r="A95" s="97" t="s">
        <v>129</v>
      </c>
      <c r="B95" s="82">
        <v>6</v>
      </c>
      <c r="C95" s="98">
        <f>B95*References!AT47</f>
        <v>48</v>
      </c>
      <c r="D95" s="98">
        <v>34.5</v>
      </c>
      <c r="E95" s="98">
        <v>22.5</v>
      </c>
      <c r="F95" s="98">
        <v>1.813675E-2</v>
      </c>
      <c r="G95" s="98">
        <f t="shared" si="6"/>
        <v>8.4806099999999995E-3</v>
      </c>
      <c r="H95" s="98">
        <f t="shared" si="4"/>
        <v>709.63199999999995</v>
      </c>
      <c r="I95" s="99">
        <f t="shared" si="5"/>
        <v>1390.48416</v>
      </c>
      <c r="J95" s="91"/>
    </row>
    <row r="96" spans="1:10" ht="15.75" thickBot="1" x14ac:dyDescent="0.3">
      <c r="G96" s="129" t="s">
        <v>333</v>
      </c>
      <c r="H96" s="129">
        <f>SUM(Table18[Qs(W)])</f>
        <v>20168.763999999999</v>
      </c>
      <c r="I96" s="129">
        <f>SUM(Table18[Ql(W)])</f>
        <v>39472.195050000002</v>
      </c>
    </row>
    <row r="97" spans="1:11" ht="15.75" thickBot="1" x14ac:dyDescent="0.3">
      <c r="G97" s="204" t="s">
        <v>161</v>
      </c>
      <c r="H97" s="204"/>
      <c r="I97" s="129">
        <f>H96+I96</f>
        <v>59640.959050000005</v>
      </c>
    </row>
    <row r="98" spans="1:11" s="119" customFormat="1" x14ac:dyDescent="0.25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</row>
    <row r="99" spans="1:11" s="105" customFormat="1" ht="23.25" x14ac:dyDescent="0.35">
      <c r="A99" s="179" t="s">
        <v>59</v>
      </c>
      <c r="B99" s="179"/>
      <c r="C99" s="179"/>
      <c r="D99" s="179"/>
      <c r="E99" s="179"/>
      <c r="F99" s="179"/>
      <c r="G99" s="179"/>
      <c r="H99" s="179"/>
      <c r="I99" s="179"/>
      <c r="J99" s="106"/>
      <c r="K99" s="106"/>
    </row>
    <row r="100" spans="1:11" ht="15.75" thickBot="1" x14ac:dyDescent="0.3">
      <c r="A100" s="100" t="s">
        <v>0</v>
      </c>
      <c r="B100" s="101" t="s">
        <v>496</v>
      </c>
      <c r="C100" s="101" t="s">
        <v>20</v>
      </c>
      <c r="D100" s="101" t="s">
        <v>12</v>
      </c>
      <c r="E100" s="101" t="s">
        <v>7</v>
      </c>
      <c r="F100" s="101" t="s">
        <v>21</v>
      </c>
      <c r="G100" s="101" t="s">
        <v>22</v>
      </c>
      <c r="H100" s="101" t="s">
        <v>497</v>
      </c>
      <c r="I100" s="102" t="s">
        <v>498</v>
      </c>
      <c r="J100" s="91"/>
    </row>
    <row r="101" spans="1:11" ht="15.75" thickBot="1" x14ac:dyDescent="0.3">
      <c r="A101" s="94" t="s">
        <v>123</v>
      </c>
      <c r="B101" s="82">
        <v>5</v>
      </c>
      <c r="C101" s="95">
        <f>B101*References!AU4</f>
        <v>65</v>
      </c>
      <c r="D101" s="95">
        <v>34.5</v>
      </c>
      <c r="E101" s="95">
        <v>22.5</v>
      </c>
      <c r="F101" s="95">
        <v>1.813675E-2</v>
      </c>
      <c r="G101" s="95">
        <f>_xlfn.IFS(E101=22.5,0.00848031,E101=24,0.009293235,E101=22,0.00821976)</f>
        <v>8.4803099999999996E-3</v>
      </c>
      <c r="H101" s="95">
        <f t="shared" ref="H101:H130" si="7">ABS(1.232*C101*(D101-E101))</f>
        <v>960.96</v>
      </c>
      <c r="I101" s="96">
        <f t="shared" ref="I101:I130" si="8">ABS(3000*C101*(F101-G101))</f>
        <v>1883.0058000000001</v>
      </c>
      <c r="J101" s="91"/>
    </row>
    <row r="102" spans="1:11" ht="15.75" thickBot="1" x14ac:dyDescent="0.3">
      <c r="A102" s="94" t="s">
        <v>169</v>
      </c>
      <c r="B102" s="82">
        <v>5</v>
      </c>
      <c r="C102" s="95">
        <f>B102*References!AU5</f>
        <v>65</v>
      </c>
      <c r="D102" s="95">
        <v>34.5</v>
      </c>
      <c r="E102" s="95">
        <v>22.5</v>
      </c>
      <c r="F102" s="95">
        <v>1.813675E-2</v>
      </c>
      <c r="G102" s="95">
        <f t="shared" ref="G102:G104" si="9">_xlfn.IFS(E102=22.5,0.00848031,E102=24,0.009293235,E102=22,0.00821976)</f>
        <v>8.4803099999999996E-3</v>
      </c>
      <c r="H102" s="95">
        <f t="shared" si="7"/>
        <v>960.96</v>
      </c>
      <c r="I102" s="96">
        <f t="shared" si="8"/>
        <v>1883.0058000000001</v>
      </c>
      <c r="J102" s="91"/>
    </row>
    <row r="103" spans="1:11" ht="15.75" thickBot="1" x14ac:dyDescent="0.3">
      <c r="A103" s="94" t="s">
        <v>124</v>
      </c>
      <c r="B103" s="82">
        <v>5</v>
      </c>
      <c r="C103" s="95">
        <f>B103*References!AU6</f>
        <v>65</v>
      </c>
      <c r="D103" s="95">
        <v>34.5</v>
      </c>
      <c r="E103" s="95">
        <v>22.5</v>
      </c>
      <c r="F103" s="95">
        <v>1.813675E-2</v>
      </c>
      <c r="G103" s="95">
        <f t="shared" si="9"/>
        <v>8.4803099999999996E-3</v>
      </c>
      <c r="H103" s="95">
        <f t="shared" si="7"/>
        <v>960.96</v>
      </c>
      <c r="I103" s="96">
        <f t="shared" si="8"/>
        <v>1883.0058000000001</v>
      </c>
      <c r="J103" s="91"/>
    </row>
    <row r="104" spans="1:11" ht="15.75" thickBot="1" x14ac:dyDescent="0.3">
      <c r="A104" s="94" t="s">
        <v>125</v>
      </c>
      <c r="B104" s="82">
        <v>5</v>
      </c>
      <c r="C104" s="95">
        <f>B104*References!AU7</f>
        <v>65</v>
      </c>
      <c r="D104" s="95">
        <v>34.5</v>
      </c>
      <c r="E104" s="95">
        <v>22.5</v>
      </c>
      <c r="F104" s="95">
        <v>1.813675E-2</v>
      </c>
      <c r="G104" s="95">
        <f t="shared" si="9"/>
        <v>8.4803099999999996E-3</v>
      </c>
      <c r="H104" s="95">
        <f t="shared" si="7"/>
        <v>960.96</v>
      </c>
      <c r="I104" s="96">
        <f t="shared" si="8"/>
        <v>1883.0058000000001</v>
      </c>
      <c r="J104" s="91"/>
    </row>
    <row r="105" spans="1:11" ht="15.75" thickBot="1" x14ac:dyDescent="0.3">
      <c r="A105" s="94" t="s">
        <v>170</v>
      </c>
      <c r="B105" s="82">
        <v>2</v>
      </c>
      <c r="C105" s="95">
        <f>B105*References!AU8</f>
        <v>26</v>
      </c>
      <c r="D105" s="95">
        <v>34.5</v>
      </c>
      <c r="E105" s="95">
        <v>22.5</v>
      </c>
      <c r="F105" s="95">
        <v>1.813675E-2</v>
      </c>
      <c r="G105" s="95">
        <f>_xlfn.IFS(E105=22.5,0.00848031,E105=24,0.009293235,E105=22,0.00821976)</f>
        <v>8.4803099999999996E-3</v>
      </c>
      <c r="H105" s="95">
        <f t="shared" si="7"/>
        <v>384.38399999999996</v>
      </c>
      <c r="I105" s="96">
        <f t="shared" si="8"/>
        <v>753.20231999999999</v>
      </c>
      <c r="J105" s="91"/>
    </row>
    <row r="106" spans="1:11" ht="15.75" thickBot="1" x14ac:dyDescent="0.3">
      <c r="A106" s="94" t="s">
        <v>171</v>
      </c>
      <c r="B106" s="82">
        <v>1</v>
      </c>
      <c r="C106" s="95">
        <f>B106*References!AU9</f>
        <v>13</v>
      </c>
      <c r="D106" s="95">
        <v>34.5</v>
      </c>
      <c r="E106" s="95">
        <v>22.5</v>
      </c>
      <c r="F106" s="95">
        <v>1.813675E-2</v>
      </c>
      <c r="G106" s="95">
        <f t="shared" ref="G106:G129" si="10">_xlfn.IFS(E106=22.5,0.00848031,E106=24,0.009293235,E106=22,0.00821976)</f>
        <v>8.4803099999999996E-3</v>
      </c>
      <c r="H106" s="95">
        <f t="shared" si="7"/>
        <v>192.19199999999998</v>
      </c>
      <c r="I106" s="96">
        <f t="shared" si="8"/>
        <v>376.60115999999999</v>
      </c>
      <c r="J106" s="91"/>
    </row>
    <row r="107" spans="1:11" ht="15.75" thickBot="1" x14ac:dyDescent="0.3">
      <c r="A107" s="94" t="s">
        <v>172</v>
      </c>
      <c r="B107" s="82">
        <v>2</v>
      </c>
      <c r="C107" s="95">
        <f>B107*References!AU10</f>
        <v>26</v>
      </c>
      <c r="D107" s="95">
        <v>34.5</v>
      </c>
      <c r="E107" s="95">
        <v>22.5</v>
      </c>
      <c r="F107" s="95">
        <v>1.813675E-2</v>
      </c>
      <c r="G107" s="95">
        <f t="shared" si="10"/>
        <v>8.4803099999999996E-3</v>
      </c>
      <c r="H107" s="95">
        <f t="shared" si="7"/>
        <v>384.38399999999996</v>
      </c>
      <c r="I107" s="96">
        <f t="shared" si="8"/>
        <v>753.20231999999999</v>
      </c>
      <c r="J107" s="91"/>
    </row>
    <row r="108" spans="1:11" ht="15.75" thickBot="1" x14ac:dyDescent="0.3">
      <c r="A108" s="94" t="s">
        <v>173</v>
      </c>
      <c r="B108" s="82">
        <v>7</v>
      </c>
      <c r="C108" s="95">
        <f>B108*References!AU11</f>
        <v>17.5</v>
      </c>
      <c r="D108" s="95">
        <v>34.5</v>
      </c>
      <c r="E108" s="95">
        <v>22.5</v>
      </c>
      <c r="F108" s="95">
        <v>1.813675E-2</v>
      </c>
      <c r="G108" s="95">
        <f t="shared" si="10"/>
        <v>8.4803099999999996E-3</v>
      </c>
      <c r="H108" s="95">
        <f t="shared" si="7"/>
        <v>258.71999999999997</v>
      </c>
      <c r="I108" s="96">
        <f t="shared" si="8"/>
        <v>506.96310000000005</v>
      </c>
      <c r="J108" s="91"/>
    </row>
    <row r="109" spans="1:11" ht="15.75" thickBot="1" x14ac:dyDescent="0.3">
      <c r="A109" s="94" t="s">
        <v>174</v>
      </c>
      <c r="B109" s="82">
        <v>2</v>
      </c>
      <c r="C109" s="95">
        <f>B109*References!AU12</f>
        <v>16</v>
      </c>
      <c r="D109" s="95">
        <v>34.5</v>
      </c>
      <c r="E109" s="95">
        <v>22.5</v>
      </c>
      <c r="F109" s="95">
        <v>1.813675E-2</v>
      </c>
      <c r="G109" s="95">
        <f t="shared" si="10"/>
        <v>8.4803099999999996E-3</v>
      </c>
      <c r="H109" s="95">
        <f t="shared" si="7"/>
        <v>236.54399999999998</v>
      </c>
      <c r="I109" s="96">
        <f t="shared" si="8"/>
        <v>463.50912000000005</v>
      </c>
      <c r="J109" s="91"/>
    </row>
    <row r="110" spans="1:11" ht="15.75" thickBot="1" x14ac:dyDescent="0.3">
      <c r="A110" s="94" t="s">
        <v>178</v>
      </c>
      <c r="B110" s="82">
        <v>2</v>
      </c>
      <c r="C110" s="95">
        <f>B110*References!AU13</f>
        <v>26</v>
      </c>
      <c r="D110" s="95">
        <v>34.5</v>
      </c>
      <c r="E110" s="95">
        <v>22.5</v>
      </c>
      <c r="F110" s="95">
        <v>1.813675E-2</v>
      </c>
      <c r="G110" s="95">
        <f t="shared" si="10"/>
        <v>8.4803099999999996E-3</v>
      </c>
      <c r="H110" s="95">
        <f t="shared" si="7"/>
        <v>384.38399999999996</v>
      </c>
      <c r="I110" s="96">
        <f t="shared" si="8"/>
        <v>753.20231999999999</v>
      </c>
      <c r="J110" s="91"/>
    </row>
    <row r="111" spans="1:11" ht="15.75" thickBot="1" x14ac:dyDescent="0.3">
      <c r="A111" s="94" t="s">
        <v>179</v>
      </c>
      <c r="B111" s="82">
        <v>2</v>
      </c>
      <c r="C111" s="95">
        <f>B111*References!AU14</f>
        <v>26</v>
      </c>
      <c r="D111" s="95">
        <v>34.5</v>
      </c>
      <c r="E111" s="95">
        <v>22.5</v>
      </c>
      <c r="F111" s="95">
        <v>1.813675E-2</v>
      </c>
      <c r="G111" s="95">
        <f t="shared" si="10"/>
        <v>8.4803099999999996E-3</v>
      </c>
      <c r="H111" s="95">
        <f t="shared" si="7"/>
        <v>384.38399999999996</v>
      </c>
      <c r="I111" s="96">
        <f t="shared" si="8"/>
        <v>753.20231999999999</v>
      </c>
      <c r="J111" s="91"/>
    </row>
    <row r="112" spans="1:11" ht="15.75" thickBot="1" x14ac:dyDescent="0.3">
      <c r="A112" s="94" t="s">
        <v>180</v>
      </c>
      <c r="B112" s="82">
        <v>1</v>
      </c>
      <c r="C112" s="95">
        <f>B112*References!AU15</f>
        <v>13</v>
      </c>
      <c r="D112" s="95">
        <v>34.5</v>
      </c>
      <c r="E112" s="95">
        <v>22.5</v>
      </c>
      <c r="F112" s="95">
        <v>1.813675E-2</v>
      </c>
      <c r="G112" s="95">
        <f t="shared" si="10"/>
        <v>8.4803099999999996E-3</v>
      </c>
      <c r="H112" s="95">
        <f t="shared" si="7"/>
        <v>192.19199999999998</v>
      </c>
      <c r="I112" s="96">
        <f t="shared" si="8"/>
        <v>376.60115999999999</v>
      </c>
      <c r="J112" s="91"/>
    </row>
    <row r="113" spans="1:10" ht="15.75" thickBot="1" x14ac:dyDescent="0.3">
      <c r="A113" s="94" t="s">
        <v>182</v>
      </c>
      <c r="B113" s="82">
        <v>2</v>
      </c>
      <c r="C113" s="95">
        <f>B113*References!AU16</f>
        <v>26</v>
      </c>
      <c r="D113" s="95">
        <v>34.5</v>
      </c>
      <c r="E113" s="95">
        <v>22.5</v>
      </c>
      <c r="F113" s="95">
        <v>1.813675E-2</v>
      </c>
      <c r="G113" s="95">
        <f t="shared" si="10"/>
        <v>8.4803099999999996E-3</v>
      </c>
      <c r="H113" s="95">
        <f t="shared" si="7"/>
        <v>384.38399999999996</v>
      </c>
      <c r="I113" s="96">
        <f t="shared" si="8"/>
        <v>753.20231999999999</v>
      </c>
      <c r="J113" s="91"/>
    </row>
    <row r="114" spans="1:10" ht="15.75" thickBot="1" x14ac:dyDescent="0.3">
      <c r="A114" s="94" t="s">
        <v>186</v>
      </c>
      <c r="B114" s="82">
        <v>2</v>
      </c>
      <c r="C114" s="95">
        <f>B114*References!AU17</f>
        <v>26</v>
      </c>
      <c r="D114" s="95">
        <v>34.5</v>
      </c>
      <c r="E114" s="95">
        <v>22.5</v>
      </c>
      <c r="F114" s="95">
        <v>1.813675E-2</v>
      </c>
      <c r="G114" s="95">
        <f t="shared" si="10"/>
        <v>8.4803099999999996E-3</v>
      </c>
      <c r="H114" s="95">
        <f t="shared" si="7"/>
        <v>384.38399999999996</v>
      </c>
      <c r="I114" s="96">
        <f t="shared" si="8"/>
        <v>753.20231999999999</v>
      </c>
      <c r="J114" s="91"/>
    </row>
    <row r="115" spans="1:10" ht="15.75" thickBot="1" x14ac:dyDescent="0.3">
      <c r="A115" s="94" t="s">
        <v>183</v>
      </c>
      <c r="B115" s="82">
        <v>3</v>
      </c>
      <c r="C115" s="95">
        <f>B115*References!AU18</f>
        <v>39</v>
      </c>
      <c r="D115" s="95">
        <v>34.5</v>
      </c>
      <c r="E115" s="95">
        <v>22.5</v>
      </c>
      <c r="F115" s="95">
        <v>1.813675E-2</v>
      </c>
      <c r="G115" s="95">
        <f t="shared" si="10"/>
        <v>8.4803099999999996E-3</v>
      </c>
      <c r="H115" s="95">
        <f t="shared" si="7"/>
        <v>576.57600000000002</v>
      </c>
      <c r="I115" s="96">
        <f t="shared" si="8"/>
        <v>1129.80348</v>
      </c>
      <c r="J115" s="91"/>
    </row>
    <row r="116" spans="1:10" ht="15.75" thickBot="1" x14ac:dyDescent="0.3">
      <c r="A116" s="94" t="s">
        <v>185</v>
      </c>
      <c r="B116" s="82">
        <v>3</v>
      </c>
      <c r="C116" s="95">
        <f>B116*References!AU19</f>
        <v>39</v>
      </c>
      <c r="D116" s="95">
        <v>34.5</v>
      </c>
      <c r="E116" s="95">
        <v>22.5</v>
      </c>
      <c r="F116" s="95">
        <v>1.813675E-2</v>
      </c>
      <c r="G116" s="95">
        <f t="shared" si="10"/>
        <v>8.4803099999999996E-3</v>
      </c>
      <c r="H116" s="95">
        <f t="shared" si="7"/>
        <v>576.57600000000002</v>
      </c>
      <c r="I116" s="96">
        <f t="shared" si="8"/>
        <v>1129.80348</v>
      </c>
      <c r="J116" s="91"/>
    </row>
    <row r="117" spans="1:10" ht="15.75" thickBot="1" x14ac:dyDescent="0.3">
      <c r="A117" s="94" t="s">
        <v>189</v>
      </c>
      <c r="B117" s="82">
        <v>2</v>
      </c>
      <c r="C117" s="95">
        <f>B117*References!AU20</f>
        <v>26</v>
      </c>
      <c r="D117" s="95">
        <v>34.5</v>
      </c>
      <c r="E117" s="95">
        <v>22.5</v>
      </c>
      <c r="F117" s="95">
        <v>1.813675E-2</v>
      </c>
      <c r="G117" s="95">
        <f t="shared" si="10"/>
        <v>8.4803099999999996E-3</v>
      </c>
      <c r="H117" s="95">
        <f t="shared" si="7"/>
        <v>384.38399999999996</v>
      </c>
      <c r="I117" s="96">
        <f t="shared" si="8"/>
        <v>753.20231999999999</v>
      </c>
      <c r="J117" s="91"/>
    </row>
    <row r="118" spans="1:10" ht="15.75" thickBot="1" x14ac:dyDescent="0.3">
      <c r="A118" s="94" t="s">
        <v>190</v>
      </c>
      <c r="B118" s="82">
        <v>2</v>
      </c>
      <c r="C118" s="95">
        <f>B118*References!AU21</f>
        <v>26</v>
      </c>
      <c r="D118" s="95">
        <v>34.5</v>
      </c>
      <c r="E118" s="95">
        <v>22.5</v>
      </c>
      <c r="F118" s="95">
        <v>1.813675E-2</v>
      </c>
      <c r="G118" s="95">
        <f t="shared" si="10"/>
        <v>8.4803099999999996E-3</v>
      </c>
      <c r="H118" s="95">
        <f t="shared" si="7"/>
        <v>384.38399999999996</v>
      </c>
      <c r="I118" s="96">
        <f t="shared" si="8"/>
        <v>753.20231999999999</v>
      </c>
      <c r="J118" s="91"/>
    </row>
    <row r="119" spans="1:10" ht="15.75" thickBot="1" x14ac:dyDescent="0.3">
      <c r="A119" s="94" t="s">
        <v>304</v>
      </c>
      <c r="B119" s="82">
        <v>2</v>
      </c>
      <c r="C119" s="95">
        <f>B119*References!AU22</f>
        <v>26</v>
      </c>
      <c r="D119" s="95">
        <v>34.5</v>
      </c>
      <c r="E119" s="95">
        <v>22.5</v>
      </c>
      <c r="F119" s="95">
        <v>1.813675E-2</v>
      </c>
      <c r="G119" s="95">
        <f t="shared" si="10"/>
        <v>8.4803099999999996E-3</v>
      </c>
      <c r="H119" s="95">
        <f t="shared" si="7"/>
        <v>384.38399999999996</v>
      </c>
      <c r="I119" s="96">
        <f t="shared" si="8"/>
        <v>753.20231999999999</v>
      </c>
      <c r="J119" s="91"/>
    </row>
    <row r="120" spans="1:10" ht="15.75" thickBot="1" x14ac:dyDescent="0.3">
      <c r="A120" s="94" t="s">
        <v>305</v>
      </c>
      <c r="B120" s="82">
        <v>2</v>
      </c>
      <c r="C120" s="95">
        <f>B120*References!AU23</f>
        <v>26</v>
      </c>
      <c r="D120" s="95">
        <v>34.5</v>
      </c>
      <c r="E120" s="95">
        <v>22.5</v>
      </c>
      <c r="F120" s="95">
        <v>1.813675E-2</v>
      </c>
      <c r="G120" s="95">
        <f t="shared" si="10"/>
        <v>8.4803099999999996E-3</v>
      </c>
      <c r="H120" s="95">
        <f t="shared" si="7"/>
        <v>384.38399999999996</v>
      </c>
      <c r="I120" s="96">
        <f t="shared" si="8"/>
        <v>753.20231999999999</v>
      </c>
      <c r="J120" s="91"/>
    </row>
    <row r="121" spans="1:10" ht="15.75" thickBot="1" x14ac:dyDescent="0.3">
      <c r="A121" s="94" t="s">
        <v>306</v>
      </c>
      <c r="B121" s="82">
        <v>2</v>
      </c>
      <c r="C121" s="95">
        <f>B121*References!AU24</f>
        <v>26</v>
      </c>
      <c r="D121" s="95">
        <v>34.5</v>
      </c>
      <c r="E121" s="95">
        <v>22.5</v>
      </c>
      <c r="F121" s="95">
        <v>1.813675E-2</v>
      </c>
      <c r="G121" s="95">
        <f t="shared" si="10"/>
        <v>8.4803099999999996E-3</v>
      </c>
      <c r="H121" s="95">
        <f t="shared" si="7"/>
        <v>384.38399999999996</v>
      </c>
      <c r="I121" s="96">
        <f t="shared" si="8"/>
        <v>753.20231999999999</v>
      </c>
      <c r="J121" s="91"/>
    </row>
    <row r="122" spans="1:10" ht="15.75" thickBot="1" x14ac:dyDescent="0.3">
      <c r="A122" s="94" t="s">
        <v>307</v>
      </c>
      <c r="B122" s="82">
        <v>2</v>
      </c>
      <c r="C122" s="95">
        <f>B122*References!AU25</f>
        <v>26</v>
      </c>
      <c r="D122" s="95">
        <v>34.5</v>
      </c>
      <c r="E122" s="95">
        <v>22.5</v>
      </c>
      <c r="F122" s="95">
        <v>1.813675E-2</v>
      </c>
      <c r="G122" s="95">
        <f t="shared" si="10"/>
        <v>8.4803099999999996E-3</v>
      </c>
      <c r="H122" s="95">
        <f t="shared" si="7"/>
        <v>384.38399999999996</v>
      </c>
      <c r="I122" s="96">
        <f t="shared" si="8"/>
        <v>753.20231999999999</v>
      </c>
      <c r="J122" s="91"/>
    </row>
    <row r="123" spans="1:10" ht="15.75" thickBot="1" x14ac:dyDescent="0.3">
      <c r="A123" s="94" t="s">
        <v>309</v>
      </c>
      <c r="B123" s="82">
        <v>2</v>
      </c>
      <c r="C123" s="95">
        <f>B123*References!AU26</f>
        <v>26</v>
      </c>
      <c r="D123" s="95">
        <v>34.5</v>
      </c>
      <c r="E123" s="95">
        <v>22.5</v>
      </c>
      <c r="F123" s="95">
        <v>1.813675E-2</v>
      </c>
      <c r="G123" s="95">
        <f t="shared" si="10"/>
        <v>8.4803099999999996E-3</v>
      </c>
      <c r="H123" s="95">
        <f t="shared" si="7"/>
        <v>384.38399999999996</v>
      </c>
      <c r="I123" s="96">
        <f t="shared" si="8"/>
        <v>753.20231999999999</v>
      </c>
      <c r="J123" s="91"/>
    </row>
    <row r="124" spans="1:10" ht="15.75" thickBot="1" x14ac:dyDescent="0.3">
      <c r="A124" s="94" t="s">
        <v>310</v>
      </c>
      <c r="B124" s="82">
        <v>2</v>
      </c>
      <c r="C124" s="95">
        <f>B124*References!AU27</f>
        <v>26</v>
      </c>
      <c r="D124" s="95">
        <v>34.5</v>
      </c>
      <c r="E124" s="95">
        <v>22.5</v>
      </c>
      <c r="F124" s="95">
        <v>1.813675E-2</v>
      </c>
      <c r="G124" s="95">
        <f t="shared" si="10"/>
        <v>8.4803099999999996E-3</v>
      </c>
      <c r="H124" s="95">
        <f t="shared" si="7"/>
        <v>384.38399999999996</v>
      </c>
      <c r="I124" s="96">
        <f t="shared" si="8"/>
        <v>753.20231999999999</v>
      </c>
      <c r="J124" s="91"/>
    </row>
    <row r="125" spans="1:10" ht="15.75" thickBot="1" x14ac:dyDescent="0.3">
      <c r="A125" s="94" t="s">
        <v>311</v>
      </c>
      <c r="B125" s="82">
        <v>2</v>
      </c>
      <c r="C125" s="95">
        <f>B125*References!AU28</f>
        <v>5</v>
      </c>
      <c r="D125" s="95">
        <v>34.5</v>
      </c>
      <c r="E125" s="95">
        <v>22.5</v>
      </c>
      <c r="F125" s="95">
        <v>1.813675E-2</v>
      </c>
      <c r="G125" s="95">
        <f t="shared" si="10"/>
        <v>8.4803099999999996E-3</v>
      </c>
      <c r="H125" s="95">
        <f t="shared" si="7"/>
        <v>73.92</v>
      </c>
      <c r="I125" s="96">
        <f t="shared" si="8"/>
        <v>144.8466</v>
      </c>
      <c r="J125" s="91"/>
    </row>
    <row r="126" spans="1:10" ht="15.75" thickBot="1" x14ac:dyDescent="0.3">
      <c r="A126" s="94" t="s">
        <v>314</v>
      </c>
      <c r="B126" s="82">
        <v>2</v>
      </c>
      <c r="C126" s="95">
        <f>B126*References!AU29</f>
        <v>5</v>
      </c>
      <c r="D126" s="95">
        <v>34.5</v>
      </c>
      <c r="E126" s="95">
        <v>22.5</v>
      </c>
      <c r="F126" s="95">
        <v>1.813675E-2</v>
      </c>
      <c r="G126" s="95">
        <f t="shared" si="10"/>
        <v>8.4803099999999996E-3</v>
      </c>
      <c r="H126" s="95">
        <f t="shared" si="7"/>
        <v>73.92</v>
      </c>
      <c r="I126" s="96">
        <f t="shared" si="8"/>
        <v>144.8466</v>
      </c>
      <c r="J126" s="91"/>
    </row>
    <row r="127" spans="1:10" ht="15.75" thickBot="1" x14ac:dyDescent="0.3">
      <c r="A127" s="94" t="s">
        <v>72</v>
      </c>
      <c r="B127" s="82">
        <v>2</v>
      </c>
      <c r="C127" s="95">
        <f>B127*References!AU30</f>
        <v>5</v>
      </c>
      <c r="D127" s="95">
        <v>34.5</v>
      </c>
      <c r="E127" s="95">
        <v>22.5</v>
      </c>
      <c r="F127" s="95">
        <v>1.813675E-2</v>
      </c>
      <c r="G127" s="95">
        <f t="shared" si="10"/>
        <v>8.4803099999999996E-3</v>
      </c>
      <c r="H127" s="95">
        <f t="shared" si="7"/>
        <v>73.92</v>
      </c>
      <c r="I127" s="96">
        <f t="shared" si="8"/>
        <v>144.8466</v>
      </c>
      <c r="J127" s="91"/>
    </row>
    <row r="128" spans="1:10" ht="15.75" thickBot="1" x14ac:dyDescent="0.3">
      <c r="A128" s="94" t="s">
        <v>75</v>
      </c>
      <c r="B128" s="82">
        <v>2</v>
      </c>
      <c r="C128" s="95">
        <f>B128*References!AU31</f>
        <v>5</v>
      </c>
      <c r="D128" s="95">
        <v>34.5</v>
      </c>
      <c r="E128" s="95">
        <v>22.5</v>
      </c>
      <c r="F128" s="95">
        <v>1.813675E-2</v>
      </c>
      <c r="G128" s="95">
        <f t="shared" si="10"/>
        <v>8.4803099999999996E-3</v>
      </c>
      <c r="H128" s="95">
        <f t="shared" si="7"/>
        <v>73.92</v>
      </c>
      <c r="I128" s="96">
        <f t="shared" si="8"/>
        <v>144.8466</v>
      </c>
      <c r="J128" s="91"/>
    </row>
    <row r="129" spans="1:11" ht="15.75" thickBot="1" x14ac:dyDescent="0.3">
      <c r="A129" s="94" t="s">
        <v>76</v>
      </c>
      <c r="B129" s="82">
        <v>2</v>
      </c>
      <c r="C129" s="95">
        <f>B129*References!AU32</f>
        <v>5</v>
      </c>
      <c r="D129" s="95">
        <v>34.5</v>
      </c>
      <c r="E129" s="95">
        <v>22.5</v>
      </c>
      <c r="F129" s="95">
        <v>1.813675E-2</v>
      </c>
      <c r="G129" s="95">
        <f t="shared" si="10"/>
        <v>8.4803099999999996E-3</v>
      </c>
      <c r="H129" s="95">
        <f t="shared" si="7"/>
        <v>73.92</v>
      </c>
      <c r="I129" s="96">
        <f t="shared" si="8"/>
        <v>144.8466</v>
      </c>
      <c r="J129" s="91"/>
    </row>
    <row r="130" spans="1:11" ht="15.75" thickBot="1" x14ac:dyDescent="0.3">
      <c r="A130" s="97" t="s">
        <v>317</v>
      </c>
      <c r="B130" s="82">
        <v>6</v>
      </c>
      <c r="C130" s="98">
        <f>B130*References!AU33</f>
        <v>48</v>
      </c>
      <c r="D130" s="98">
        <v>34.5</v>
      </c>
      <c r="E130" s="98">
        <v>24</v>
      </c>
      <c r="F130" s="98">
        <v>1.813675E-2</v>
      </c>
      <c r="G130" s="98">
        <v>9.2932350000000004E-3</v>
      </c>
      <c r="H130" s="98">
        <f t="shared" si="7"/>
        <v>620.928</v>
      </c>
      <c r="I130" s="99">
        <f t="shared" si="8"/>
        <v>1273.4661599999999</v>
      </c>
      <c r="J130" s="91"/>
    </row>
    <row r="131" spans="1:11" s="119" customFormat="1" ht="15.75" thickBot="1" x14ac:dyDescent="0.3">
      <c r="A131" s="97" t="s">
        <v>418</v>
      </c>
      <c r="B131" s="98">
        <v>2</v>
      </c>
      <c r="C131" s="98">
        <v>26</v>
      </c>
      <c r="D131" s="98">
        <v>34.5</v>
      </c>
      <c r="E131" s="98">
        <v>22.5</v>
      </c>
      <c r="F131" s="98">
        <v>1.813675E-2</v>
      </c>
      <c r="G131" s="98">
        <f>_xlfn.IFS(E131=22.5,0.00848031,E131=24,0.009293235,E131=22,0.00821976)</f>
        <v>8.4803099999999996E-3</v>
      </c>
      <c r="H131" s="169">
        <f>ABS(1.232*C131*(D131-E131))</f>
        <v>384.38399999999996</v>
      </c>
      <c r="I131" s="170">
        <f>ABS(3000*C131*(F131-G131))</f>
        <v>753.20231999999999</v>
      </c>
      <c r="J131" s="91"/>
      <c r="K131" s="125"/>
    </row>
    <row r="132" spans="1:11" s="119" customFormat="1" ht="15.75" thickBot="1" x14ac:dyDescent="0.3">
      <c r="A132" s="97" t="s">
        <v>419</v>
      </c>
      <c r="B132" s="98">
        <v>2</v>
      </c>
      <c r="C132" s="98">
        <v>26</v>
      </c>
      <c r="D132" s="98">
        <v>34.5</v>
      </c>
      <c r="E132" s="98">
        <v>22.5</v>
      </c>
      <c r="F132" s="98">
        <v>1.813675E-2</v>
      </c>
      <c r="G132" s="98">
        <f>_xlfn.IFS(E132=22.5,0.00848031,E132=24,0.009293235,E132=22,0.00821976)</f>
        <v>8.4803099999999996E-3</v>
      </c>
      <c r="H132" s="169">
        <f>ABS(1.232*C132*(D132-E132))</f>
        <v>384.38399999999996</v>
      </c>
      <c r="I132" s="170">
        <f>ABS(3000*C132*(F132-G132))</f>
        <v>753.20231999999999</v>
      </c>
      <c r="J132" s="91"/>
      <c r="K132" s="125"/>
    </row>
    <row r="133" spans="1:11" ht="15.75" thickBot="1" x14ac:dyDescent="0.3">
      <c r="G133" s="129" t="s">
        <v>333</v>
      </c>
      <c r="H133" s="129">
        <f>SUM(Table19[Qs(W)])</f>
        <v>13017.312</v>
      </c>
      <c r="I133" s="129">
        <f>SUM(Table19[Ql(W)])</f>
        <v>25564.24098000001</v>
      </c>
    </row>
    <row r="134" spans="1:11" ht="15.75" thickBot="1" x14ac:dyDescent="0.3">
      <c r="G134" s="204" t="s">
        <v>161</v>
      </c>
      <c r="H134" s="204"/>
      <c r="I134" s="129">
        <f>H133+I133</f>
        <v>38581.552980000008</v>
      </c>
    </row>
  </sheetData>
  <mergeCells count="16">
    <mergeCell ref="A2:I2"/>
    <mergeCell ref="A1:I1"/>
    <mergeCell ref="A50:I50"/>
    <mergeCell ref="A99:I99"/>
    <mergeCell ref="G48:H48"/>
    <mergeCell ref="G97:H97"/>
    <mergeCell ref="O8:Q9"/>
    <mergeCell ref="R8:R9"/>
    <mergeCell ref="S8:S9"/>
    <mergeCell ref="T8:T9"/>
    <mergeCell ref="G134:H134"/>
    <mergeCell ref="O3:T3"/>
    <mergeCell ref="O4:Q4"/>
    <mergeCell ref="O5:Q5"/>
    <mergeCell ref="O6:Q6"/>
    <mergeCell ref="O7:Q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8"/>
  <sheetViews>
    <sheetView topLeftCell="A13" zoomScale="85" zoomScaleNormal="85" workbookViewId="0">
      <selection activeCell="B40" sqref="B40"/>
    </sheetView>
  </sheetViews>
  <sheetFormatPr defaultColWidth="9.140625" defaultRowHeight="15" x14ac:dyDescent="0.25"/>
  <cols>
    <col min="1" max="1" width="39.7109375" style="89" customWidth="1"/>
    <col min="2" max="2" width="6.28515625" style="89" customWidth="1"/>
    <col min="3" max="3" width="14.28515625" style="89" customWidth="1"/>
    <col min="4" max="4" width="10.7109375" style="89" customWidth="1"/>
    <col min="5" max="6" width="9.140625" style="89"/>
    <col min="7" max="7" width="9.28515625" style="89" customWidth="1"/>
    <col min="8" max="8" width="9.140625" style="89"/>
    <col min="9" max="16384" width="9.140625" style="91"/>
  </cols>
  <sheetData>
    <row r="1" spans="1:19" ht="24.75" customHeight="1" x14ac:dyDescent="0.25">
      <c r="A1" s="180" t="s">
        <v>503</v>
      </c>
      <c r="B1" s="180"/>
      <c r="C1" s="180"/>
      <c r="D1" s="180"/>
      <c r="E1" s="180"/>
      <c r="F1" s="180"/>
      <c r="G1" s="180"/>
      <c r="H1" s="180"/>
      <c r="I1" s="111"/>
    </row>
    <row r="2" spans="1:19" ht="24" thickBot="1" x14ac:dyDescent="0.4">
      <c r="A2" s="178" t="s">
        <v>160</v>
      </c>
      <c r="B2" s="178"/>
      <c r="C2" s="178"/>
      <c r="D2" s="178"/>
      <c r="E2" s="178"/>
      <c r="F2" s="178"/>
      <c r="G2" s="178"/>
      <c r="H2" s="178"/>
      <c r="I2" s="103"/>
    </row>
    <row r="3" spans="1:19" ht="15.75" thickBot="1" x14ac:dyDescent="0.3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N3" s="193" t="s">
        <v>539</v>
      </c>
      <c r="O3" s="193"/>
      <c r="P3" s="193"/>
      <c r="Q3" s="193"/>
      <c r="R3" s="193"/>
      <c r="S3" s="193"/>
    </row>
    <row r="4" spans="1:19" ht="15.75" thickBot="1" x14ac:dyDescent="0.3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N4" s="194"/>
      <c r="O4" s="194"/>
      <c r="P4" s="194"/>
      <c r="Q4" s="134" t="s">
        <v>541</v>
      </c>
      <c r="R4" s="134" t="s">
        <v>542</v>
      </c>
      <c r="S4" s="134" t="s">
        <v>430</v>
      </c>
    </row>
    <row r="5" spans="1:19" ht="15.75" thickBot="1" x14ac:dyDescent="0.3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N5" s="195" t="s">
        <v>160</v>
      </c>
      <c r="O5" s="195"/>
      <c r="P5" s="195"/>
      <c r="Q5" s="82">
        <f>G41</f>
        <v>6432.18</v>
      </c>
      <c r="R5" s="82">
        <f>H41</f>
        <v>1888.7599999999993</v>
      </c>
      <c r="S5" s="82">
        <f>Q5+R5</f>
        <v>8320.9399999999987</v>
      </c>
    </row>
    <row r="6" spans="1:19" ht="15.75" thickBot="1" x14ac:dyDescent="0.3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N6" s="195" t="s">
        <v>41</v>
      </c>
      <c r="O6" s="195"/>
      <c r="P6" s="195"/>
      <c r="Q6" s="82">
        <f>G90</f>
        <v>8765.2999999999993</v>
      </c>
      <c r="R6" s="82">
        <f>H90</f>
        <v>6432.5</v>
      </c>
      <c r="S6" s="82">
        <f>Q6+R6</f>
        <v>15197.8</v>
      </c>
    </row>
    <row r="7" spans="1:19" ht="15.75" thickBot="1" x14ac:dyDescent="0.3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N7" s="195" t="s">
        <v>59</v>
      </c>
      <c r="O7" s="195"/>
      <c r="P7" s="195"/>
      <c r="Q7" s="82">
        <f>G127</f>
        <v>4519.5</v>
      </c>
      <c r="R7" s="82">
        <f>H127</f>
        <v>2132.1000000000004</v>
      </c>
      <c r="S7" s="82">
        <f>Q7+R7</f>
        <v>6651.6</v>
      </c>
    </row>
    <row r="8" spans="1:19" ht="15.75" thickBot="1" x14ac:dyDescent="0.3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N8" s="184" t="s">
        <v>540</v>
      </c>
      <c r="O8" s="184"/>
      <c r="P8" s="184"/>
      <c r="Q8" s="185">
        <f>SUM(Q5:Q7)</f>
        <v>19716.98</v>
      </c>
      <c r="R8" s="185">
        <f>SUM(R5:R7)</f>
        <v>10453.359999999999</v>
      </c>
      <c r="S8" s="185">
        <f>S5+S6+S7</f>
        <v>30170.339999999997</v>
      </c>
    </row>
    <row r="9" spans="1:19" ht="15.75" thickBot="1" x14ac:dyDescent="0.3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N9" s="184"/>
      <c r="O9" s="184"/>
      <c r="P9" s="184"/>
      <c r="Q9" s="186"/>
      <c r="R9" s="186"/>
      <c r="S9" s="186"/>
    </row>
    <row r="10" spans="1:19" ht="15.75" thickBot="1" x14ac:dyDescent="0.3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</row>
    <row r="11" spans="1:19" ht="15.75" thickBot="1" x14ac:dyDescent="0.3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</row>
    <row r="12" spans="1:19" ht="15.75" thickBot="1" x14ac:dyDescent="0.3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</row>
    <row r="13" spans="1:19" ht="15.75" thickBot="1" x14ac:dyDescent="0.3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</row>
    <row r="14" spans="1:19" ht="15.75" thickBot="1" x14ac:dyDescent="0.3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</row>
    <row r="15" spans="1:19" ht="15.75" thickBot="1" x14ac:dyDescent="0.3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</row>
    <row r="16" spans="1:19" ht="15.75" thickBot="1" x14ac:dyDescent="0.3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</row>
    <row r="17" spans="1:8" ht="15.75" thickBot="1" x14ac:dyDescent="0.3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</row>
    <row r="18" spans="1:8" ht="15.75" thickBot="1" x14ac:dyDescent="0.3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</row>
    <row r="19" spans="1:8" ht="15.75" thickBot="1" x14ac:dyDescent="0.3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</row>
    <row r="20" spans="1:8" ht="15.75" thickBot="1" x14ac:dyDescent="0.3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</row>
    <row r="21" spans="1:8" ht="15.75" thickBot="1" x14ac:dyDescent="0.3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</row>
    <row r="22" spans="1:8" ht="15.75" thickBot="1" x14ac:dyDescent="0.3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</row>
    <row r="23" spans="1:8" ht="15.75" thickBot="1" x14ac:dyDescent="0.3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</row>
    <row r="24" spans="1:8" ht="15.75" thickBot="1" x14ac:dyDescent="0.3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</row>
    <row r="25" spans="1:8" ht="15.75" thickBot="1" x14ac:dyDescent="0.3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</row>
    <row r="26" spans="1:8" ht="15.75" thickBot="1" x14ac:dyDescent="0.3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</row>
    <row r="27" spans="1:8" ht="15.75" thickBot="1" x14ac:dyDescent="0.3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</row>
    <row r="28" spans="1:8" ht="15.75" thickBot="1" x14ac:dyDescent="0.3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</row>
    <row r="29" spans="1:8" ht="15.75" thickBot="1" x14ac:dyDescent="0.3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</row>
    <row r="30" spans="1:8" ht="15.75" thickBot="1" x14ac:dyDescent="0.3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</row>
    <row r="31" spans="1:8" ht="15.75" thickBot="1" x14ac:dyDescent="0.3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</row>
    <row r="32" spans="1:8" ht="15.75" thickBot="1" x14ac:dyDescent="0.3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</row>
    <row r="33" spans="1:9" ht="15.75" thickBot="1" x14ac:dyDescent="0.3">
      <c r="A33" s="94" t="s">
        <v>453</v>
      </c>
      <c r="B33" s="82"/>
      <c r="C33" s="95"/>
      <c r="D33" s="95"/>
      <c r="E33" s="95"/>
      <c r="F33" s="95">
        <v>0.92</v>
      </c>
      <c r="G33" s="95">
        <f t="shared" si="0"/>
        <v>0</v>
      </c>
      <c r="H33" s="96">
        <f t="shared" si="1"/>
        <v>0</v>
      </c>
    </row>
    <row r="34" spans="1:9" ht="15.75" thickBot="1" x14ac:dyDescent="0.3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</row>
    <row r="35" spans="1:9" ht="15.75" thickBot="1" x14ac:dyDescent="0.3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</row>
    <row r="36" spans="1:9" ht="15.75" thickBot="1" x14ac:dyDescent="0.3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</row>
    <row r="37" spans="1:9" ht="15.75" thickBot="1" x14ac:dyDescent="0.3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</row>
    <row r="38" spans="1:9" ht="15.75" thickBot="1" x14ac:dyDescent="0.3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</row>
    <row r="39" spans="1:9" ht="15.75" thickBot="1" x14ac:dyDescent="0.3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</row>
    <row r="40" spans="1:9" ht="15.75" thickBot="1" x14ac:dyDescent="0.3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</row>
    <row r="41" spans="1:9" ht="15.75" thickBot="1" x14ac:dyDescent="0.3">
      <c r="F41" s="129" t="s">
        <v>333</v>
      </c>
      <c r="G41" s="129">
        <f>SUM(Table22[Qs (W)])</f>
        <v>6432.18</v>
      </c>
      <c r="H41" s="129">
        <f>SUM(Table22[Ql (W)])</f>
        <v>1888.7599999999993</v>
      </c>
    </row>
    <row r="42" spans="1:9" ht="15.75" thickBot="1" x14ac:dyDescent="0.3">
      <c r="F42" s="204" t="s">
        <v>161</v>
      </c>
      <c r="G42" s="204"/>
      <c r="H42" s="129">
        <f>G41+H41</f>
        <v>8320.9399999999987</v>
      </c>
    </row>
    <row r="44" spans="1:9" ht="24" customHeight="1" thickBot="1" x14ac:dyDescent="0.4">
      <c r="A44" s="178" t="s">
        <v>41</v>
      </c>
      <c r="B44" s="178"/>
      <c r="C44" s="178"/>
      <c r="D44" s="178"/>
      <c r="E44" s="178"/>
      <c r="F44" s="178"/>
      <c r="G44" s="178"/>
      <c r="H44" s="178"/>
      <c r="I44" s="103"/>
    </row>
    <row r="45" spans="1:9" ht="15.75" customHeight="1" thickBot="1" x14ac:dyDescent="0.3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</row>
    <row r="46" spans="1:9" ht="15.75" customHeight="1" thickBot="1" x14ac:dyDescent="0.3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</row>
    <row r="47" spans="1:9" ht="15.75" customHeight="1" thickBot="1" x14ac:dyDescent="0.3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</row>
    <row r="48" spans="1:9" ht="15.75" customHeight="1" thickBot="1" x14ac:dyDescent="0.3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</row>
    <row r="49" spans="1:8" ht="15.75" customHeight="1" thickBot="1" x14ac:dyDescent="0.3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</row>
    <row r="50" spans="1:8" ht="15.75" customHeight="1" thickBot="1" x14ac:dyDescent="0.3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</row>
    <row r="51" spans="1:8" ht="15.75" customHeight="1" thickBot="1" x14ac:dyDescent="0.3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</row>
    <row r="52" spans="1:8" ht="15.75" thickBot="1" x14ac:dyDescent="0.3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</row>
    <row r="53" spans="1:8" ht="15.75" thickBot="1" x14ac:dyDescent="0.3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</row>
    <row r="54" spans="1:8" ht="15.75" thickBot="1" x14ac:dyDescent="0.3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</row>
    <row r="55" spans="1:8" ht="15.75" thickBot="1" x14ac:dyDescent="0.3">
      <c r="A55" s="94" t="s">
        <v>175</v>
      </c>
      <c r="B55" s="82">
        <v>5</v>
      </c>
      <c r="C55" s="107">
        <v>100</v>
      </c>
      <c r="D55" s="107">
        <v>0.6</v>
      </c>
      <c r="E55" s="107">
        <v>0.4</v>
      </c>
      <c r="F55" s="107">
        <v>0.92</v>
      </c>
      <c r="G55" s="107">
        <f t="shared" si="2"/>
        <v>276</v>
      </c>
      <c r="H55" s="108">
        <f t="shared" si="3"/>
        <v>200</v>
      </c>
    </row>
    <row r="56" spans="1:8" ht="15.75" thickBot="1" x14ac:dyDescent="0.3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</row>
    <row r="57" spans="1:8" ht="15.75" thickBot="1" x14ac:dyDescent="0.3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</row>
    <row r="58" spans="1:8" ht="15.75" thickBot="1" x14ac:dyDescent="0.3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</row>
    <row r="59" spans="1:8" ht="15.75" thickBot="1" x14ac:dyDescent="0.3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</row>
    <row r="60" spans="1:8" ht="15.75" thickBot="1" x14ac:dyDescent="0.3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</row>
    <row r="61" spans="1:8" ht="15.75" thickBot="1" x14ac:dyDescent="0.3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</row>
    <row r="62" spans="1:8" ht="15.75" thickBot="1" x14ac:dyDescent="0.3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</row>
    <row r="63" spans="1:8" ht="15.75" thickBot="1" x14ac:dyDescent="0.3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</row>
    <row r="64" spans="1:8" ht="15.75" thickBot="1" x14ac:dyDescent="0.3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</row>
    <row r="65" spans="1:8" ht="15.75" thickBot="1" x14ac:dyDescent="0.3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</row>
    <row r="66" spans="1:8" ht="15.75" thickBot="1" x14ac:dyDescent="0.3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</row>
    <row r="67" spans="1:8" ht="15.75" thickBot="1" x14ac:dyDescent="0.3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</row>
    <row r="68" spans="1:8" ht="15.75" thickBot="1" x14ac:dyDescent="0.3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</row>
    <row r="69" spans="1:8" ht="15.75" thickBot="1" x14ac:dyDescent="0.3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</row>
    <row r="70" spans="1:8" ht="15.75" thickBot="1" x14ac:dyDescent="0.3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</row>
    <row r="71" spans="1:8" ht="15.75" thickBot="1" x14ac:dyDescent="0.3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</row>
    <row r="72" spans="1:8" ht="15.75" thickBot="1" x14ac:dyDescent="0.3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</row>
    <row r="73" spans="1:8" ht="15.75" thickBot="1" x14ac:dyDescent="0.3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</row>
    <row r="74" spans="1:8" ht="15.75" thickBot="1" x14ac:dyDescent="0.3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</row>
    <row r="75" spans="1:8" ht="15.75" thickBot="1" x14ac:dyDescent="0.3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</row>
    <row r="76" spans="1:8" ht="15.75" thickBot="1" x14ac:dyDescent="0.3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</row>
    <row r="77" spans="1:8" ht="15.75" thickBot="1" x14ac:dyDescent="0.3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</row>
    <row r="78" spans="1:8" ht="15.75" thickBot="1" x14ac:dyDescent="0.3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</row>
    <row r="79" spans="1:8" ht="15.75" thickBot="1" x14ac:dyDescent="0.3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</row>
    <row r="80" spans="1:8" ht="15.75" thickBot="1" x14ac:dyDescent="0.3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</row>
    <row r="81" spans="1:9" ht="15.75" thickBot="1" x14ac:dyDescent="0.3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</row>
    <row r="82" spans="1:9" ht="15.75" thickBot="1" x14ac:dyDescent="0.3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</row>
    <row r="83" spans="1:9" ht="15.75" thickBot="1" x14ac:dyDescent="0.3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</row>
    <row r="84" spans="1:9" ht="15.75" thickBot="1" x14ac:dyDescent="0.3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</row>
    <row r="85" spans="1:9" ht="15.75" thickBot="1" x14ac:dyDescent="0.3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</row>
    <row r="86" spans="1:9" ht="15.75" thickBot="1" x14ac:dyDescent="0.3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</row>
    <row r="87" spans="1:9" ht="15.75" thickBot="1" x14ac:dyDescent="0.3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</row>
    <row r="88" spans="1:9" ht="15.75" thickBot="1" x14ac:dyDescent="0.3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</row>
    <row r="89" spans="1:9" ht="15.75" thickBot="1" x14ac:dyDescent="0.3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</row>
    <row r="90" spans="1:9" ht="15.75" thickBot="1" x14ac:dyDescent="0.3">
      <c r="F90" s="129" t="s">
        <v>333</v>
      </c>
      <c r="G90" s="129">
        <f>SUM(Table21[Qs (W)])</f>
        <v>8765.2999999999993</v>
      </c>
      <c r="H90" s="129">
        <f>SUM(Table21[Ql (W)])</f>
        <v>6432.5</v>
      </c>
    </row>
    <row r="91" spans="1:9" ht="15.75" thickBot="1" x14ac:dyDescent="0.3">
      <c r="F91" s="204" t="s">
        <v>161</v>
      </c>
      <c r="G91" s="204"/>
      <c r="H91" s="129">
        <f>G90+H90</f>
        <v>15197.8</v>
      </c>
    </row>
    <row r="93" spans="1:9" ht="23.25" x14ac:dyDescent="0.35">
      <c r="A93" s="179" t="s">
        <v>59</v>
      </c>
      <c r="B93" s="179"/>
      <c r="C93" s="179"/>
      <c r="D93" s="179"/>
      <c r="E93" s="179"/>
      <c r="F93" s="179"/>
      <c r="G93" s="179"/>
      <c r="H93" s="179"/>
      <c r="I93" s="106"/>
    </row>
    <row r="94" spans="1:9" ht="15.75" thickBot="1" x14ac:dyDescent="0.3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</row>
    <row r="95" spans="1:9" ht="15.75" thickBot="1" x14ac:dyDescent="0.3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</row>
    <row r="96" spans="1:9" ht="15.75" thickBot="1" x14ac:dyDescent="0.3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</row>
    <row r="97" spans="1:8" ht="15.75" thickBot="1" x14ac:dyDescent="0.3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</row>
    <row r="98" spans="1:8" ht="15.75" thickBot="1" x14ac:dyDescent="0.3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</row>
    <row r="99" spans="1:8" ht="15.75" thickBot="1" x14ac:dyDescent="0.3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</row>
    <row r="100" spans="1:8" ht="15.75" thickBot="1" x14ac:dyDescent="0.3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</row>
    <row r="101" spans="1:8" ht="15.75" thickBot="1" x14ac:dyDescent="0.3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</row>
    <row r="102" spans="1:8" ht="15.75" thickBot="1" x14ac:dyDescent="0.3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</row>
    <row r="103" spans="1:8" ht="15.75" thickBot="1" x14ac:dyDescent="0.3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</row>
    <row r="104" spans="1:8" ht="15.75" thickBot="1" x14ac:dyDescent="0.3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</row>
    <row r="105" spans="1:8" ht="15.75" thickBot="1" x14ac:dyDescent="0.3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</row>
    <row r="106" spans="1:8" ht="15.75" thickBot="1" x14ac:dyDescent="0.3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</row>
    <row r="107" spans="1:8" ht="15.75" thickBot="1" x14ac:dyDescent="0.3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</row>
    <row r="108" spans="1:8" ht="15.75" thickBot="1" x14ac:dyDescent="0.3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</row>
    <row r="109" spans="1:8" ht="15.75" thickBot="1" x14ac:dyDescent="0.3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</row>
    <row r="110" spans="1:8" ht="15.75" thickBot="1" x14ac:dyDescent="0.3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</row>
    <row r="111" spans="1:8" ht="15.75" thickBot="1" x14ac:dyDescent="0.3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</row>
    <row r="112" spans="1:8" ht="15.75" thickBot="1" x14ac:dyDescent="0.3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</row>
    <row r="113" spans="1:8" ht="15.75" thickBot="1" x14ac:dyDescent="0.3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</row>
    <row r="114" spans="1:8" ht="15.75" thickBot="1" x14ac:dyDescent="0.3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</row>
    <row r="115" spans="1:8" ht="15.75" thickBot="1" x14ac:dyDescent="0.3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</row>
    <row r="116" spans="1:8" ht="15.75" thickBot="1" x14ac:dyDescent="0.3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</row>
    <row r="117" spans="1:8" ht="15.75" thickBot="1" x14ac:dyDescent="0.3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</row>
    <row r="118" spans="1:8" ht="15.75" thickBot="1" x14ac:dyDescent="0.3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</row>
    <row r="119" spans="1:8" ht="15.75" thickBot="1" x14ac:dyDescent="0.3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</row>
    <row r="120" spans="1:8" ht="15.75" thickBot="1" x14ac:dyDescent="0.3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</row>
    <row r="121" spans="1:8" ht="15.75" thickBot="1" x14ac:dyDescent="0.3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</row>
    <row r="122" spans="1:8" ht="15.75" thickBot="1" x14ac:dyDescent="0.3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</row>
    <row r="123" spans="1:8" ht="15.75" thickBot="1" x14ac:dyDescent="0.3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</row>
    <row r="124" spans="1:8" ht="15.75" thickBot="1" x14ac:dyDescent="0.3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</row>
    <row r="125" spans="1:8" ht="15.75" thickBot="1" x14ac:dyDescent="0.3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</row>
    <row r="126" spans="1:8" ht="15.75" thickBot="1" x14ac:dyDescent="0.3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</row>
    <row r="127" spans="1:8" ht="15.75" thickBot="1" x14ac:dyDescent="0.3">
      <c r="F127" s="129" t="s">
        <v>333</v>
      </c>
      <c r="G127" s="129">
        <f>SUM(Table20[Qs (W)])</f>
        <v>4519.5</v>
      </c>
      <c r="H127" s="129">
        <f>SUM(Table20[Ql (W)])</f>
        <v>2132.1000000000004</v>
      </c>
    </row>
    <row r="128" spans="1:8" ht="15.75" thickBot="1" x14ac:dyDescent="0.3">
      <c r="F128" s="204" t="s">
        <v>534</v>
      </c>
      <c r="G128" s="204"/>
      <c r="H128" s="129">
        <f>G127+H127</f>
        <v>6651.6</v>
      </c>
    </row>
  </sheetData>
  <mergeCells count="16">
    <mergeCell ref="A1:H1"/>
    <mergeCell ref="A2:H2"/>
    <mergeCell ref="A44:H44"/>
    <mergeCell ref="F42:G42"/>
    <mergeCell ref="F91:G91"/>
    <mergeCell ref="F128:G128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1"/>
  <sheetViews>
    <sheetView topLeftCell="A175" zoomScale="85" zoomScaleNormal="85" workbookViewId="0">
      <selection activeCell="G156" sqref="G156"/>
    </sheetView>
  </sheetViews>
  <sheetFormatPr defaultRowHeight="15" x14ac:dyDescent="0.25"/>
  <cols>
    <col min="1" max="1" width="38.5703125" customWidth="1"/>
    <col min="2" max="2" width="35.42578125" customWidth="1"/>
    <col min="8" max="8" width="9.140625" hidden="1" customWidth="1"/>
  </cols>
  <sheetData>
    <row r="1" spans="1:16" ht="23.25" x14ac:dyDescent="0.25">
      <c r="A1" s="180" t="s">
        <v>535</v>
      </c>
      <c r="B1" s="180"/>
      <c r="C1" s="180"/>
      <c r="D1" s="180"/>
      <c r="E1" s="180"/>
      <c r="F1" s="180"/>
      <c r="G1" s="180"/>
      <c r="H1" s="130"/>
      <c r="I1" s="111"/>
    </row>
    <row r="2" spans="1:16" ht="24" thickBot="1" x14ac:dyDescent="0.4">
      <c r="A2" s="205" t="s">
        <v>160</v>
      </c>
      <c r="B2" s="205"/>
      <c r="C2" s="205"/>
      <c r="D2" s="205"/>
      <c r="E2" s="205"/>
      <c r="F2" s="205"/>
      <c r="G2" s="205"/>
      <c r="H2" s="103"/>
      <c r="I2" s="103"/>
    </row>
    <row r="3" spans="1:16" ht="15.75" thickBot="1" x14ac:dyDescent="0.3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181" t="s">
        <v>539</v>
      </c>
      <c r="L3" s="181"/>
      <c r="M3" s="181"/>
      <c r="N3" s="181"/>
      <c r="O3" s="181"/>
      <c r="P3" s="181"/>
    </row>
    <row r="4" spans="1:16" ht="15.75" thickBot="1" x14ac:dyDescent="0.3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182"/>
      <c r="L4" s="182"/>
      <c r="M4" s="182"/>
      <c r="N4" s="182" t="s">
        <v>430</v>
      </c>
      <c r="O4" s="182"/>
      <c r="P4" s="182"/>
    </row>
    <row r="5" spans="1:16" ht="15.75" thickBot="1" x14ac:dyDescent="0.3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183" t="s">
        <v>160</v>
      </c>
      <c r="L5" s="183"/>
      <c r="M5" s="183"/>
      <c r="N5" s="183">
        <f>G63</f>
        <v>1147.9227799999999</v>
      </c>
      <c r="O5" s="183"/>
      <c r="P5" s="183"/>
    </row>
    <row r="6" spans="1:16" ht="15.75" thickBot="1" x14ac:dyDescent="0.3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183" t="s">
        <v>41</v>
      </c>
      <c r="L6" s="183"/>
      <c r="M6" s="183"/>
      <c r="N6" s="183">
        <f>G137</f>
        <v>1229.8197599999994</v>
      </c>
      <c r="O6" s="183"/>
      <c r="P6" s="183"/>
    </row>
    <row r="7" spans="1:16" ht="15.75" thickBot="1" x14ac:dyDescent="0.3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183" t="s">
        <v>59</v>
      </c>
      <c r="L7" s="183"/>
      <c r="M7" s="183"/>
      <c r="N7" s="183">
        <f>G201</f>
        <v>1068.55</v>
      </c>
      <c r="O7" s="183"/>
      <c r="P7" s="183"/>
    </row>
    <row r="8" spans="1:16" ht="15.75" thickBot="1" x14ac:dyDescent="0.3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184" t="s">
        <v>540</v>
      </c>
      <c r="L8" s="184"/>
      <c r="M8" s="184"/>
      <c r="N8" s="197">
        <f>N5+N6+N7</f>
        <v>3446.2925399999995</v>
      </c>
      <c r="O8" s="198"/>
      <c r="P8" s="199"/>
    </row>
    <row r="9" spans="1:16" ht="15.75" thickBot="1" x14ac:dyDescent="0.3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184"/>
      <c r="L9" s="184"/>
      <c r="M9" s="184"/>
      <c r="N9" s="200"/>
      <c r="O9" s="201"/>
      <c r="P9" s="202"/>
    </row>
    <row r="10" spans="1:16" ht="15.75" thickBot="1" x14ac:dyDescent="0.3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ht="15.75" thickBot="1" x14ac:dyDescent="0.3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ht="15.75" thickBot="1" x14ac:dyDescent="0.3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ht="15.75" thickBot="1" x14ac:dyDescent="0.3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ht="15.75" thickBot="1" x14ac:dyDescent="0.3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ht="15.75" thickBot="1" x14ac:dyDescent="0.3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ht="15.75" thickBot="1" x14ac:dyDescent="0.3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ht="15.75" thickBot="1" x14ac:dyDescent="0.3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ht="15.75" thickBot="1" x14ac:dyDescent="0.3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ht="15.75" thickBot="1" x14ac:dyDescent="0.3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ht="15.75" thickBot="1" x14ac:dyDescent="0.3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ht="15.75" thickBot="1" x14ac:dyDescent="0.3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ht="15.75" thickBot="1" x14ac:dyDescent="0.3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ht="15.75" thickBot="1" x14ac:dyDescent="0.3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ht="15.75" thickBot="1" x14ac:dyDescent="0.3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ht="15.75" thickBot="1" x14ac:dyDescent="0.3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ht="15.75" thickBot="1" x14ac:dyDescent="0.3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ht="15.75" thickBot="1" x14ac:dyDescent="0.3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ht="15.75" thickBot="1" x14ac:dyDescent="0.3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ht="15.75" thickBot="1" x14ac:dyDescent="0.3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ht="15.75" thickBot="1" x14ac:dyDescent="0.3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ht="15.75" thickBot="1" x14ac:dyDescent="0.3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ht="15.75" thickBot="1" x14ac:dyDescent="0.3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ht="15.75" thickBot="1" x14ac:dyDescent="0.3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ht="15.75" thickBot="1" x14ac:dyDescent="0.3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ht="15.75" thickBot="1" x14ac:dyDescent="0.3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ht="15.75" thickBot="1" x14ac:dyDescent="0.3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.75" thickBot="1" x14ac:dyDescent="0.3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.75" thickBot="1" x14ac:dyDescent="0.3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.75" thickBot="1" x14ac:dyDescent="0.3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.75" thickBot="1" x14ac:dyDescent="0.3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.75" thickBot="1" x14ac:dyDescent="0.3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.75" thickBot="1" x14ac:dyDescent="0.3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.75" thickBot="1" x14ac:dyDescent="0.3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.75" thickBot="1" x14ac:dyDescent="0.3">
      <c r="A44" s="81"/>
      <c r="B44" s="135" t="s">
        <v>450</v>
      </c>
      <c r="C44" s="135">
        <v>1.6048</v>
      </c>
      <c r="D44" s="135">
        <f>References!AW44*2</f>
        <v>1.6</v>
      </c>
      <c r="E44" s="135">
        <v>22.5</v>
      </c>
      <c r="F44" s="135">
        <v>24</v>
      </c>
      <c r="G44" s="136">
        <f t="shared" si="1"/>
        <v>3.8515200000000003</v>
      </c>
      <c r="H44" s="118"/>
    </row>
    <row r="45" spans="1:8" ht="15.75" thickBot="1" x14ac:dyDescent="0.3">
      <c r="A45" s="137" t="s">
        <v>367</v>
      </c>
      <c r="B45" s="135" t="s">
        <v>64</v>
      </c>
      <c r="C45" s="135">
        <v>2.3576000000000001</v>
      </c>
      <c r="D45" s="135">
        <f>References!AW45*2</f>
        <v>1.8</v>
      </c>
      <c r="E45" s="135">
        <v>22.5</v>
      </c>
      <c r="F45" s="135">
        <v>28</v>
      </c>
      <c r="G45" s="136">
        <f t="shared" si="1"/>
        <v>23.340240000000001</v>
      </c>
      <c r="H45" s="118"/>
    </row>
    <row r="46" spans="1:8" ht="15.75" thickBot="1" x14ac:dyDescent="0.3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.75" thickBot="1" x14ac:dyDescent="0.3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.75" thickBot="1" x14ac:dyDescent="0.3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.75" thickBot="1" x14ac:dyDescent="0.3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.75" thickBot="1" x14ac:dyDescent="0.3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.75" thickBot="1" x14ac:dyDescent="0.3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.75" thickBot="1" x14ac:dyDescent="0.3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.75" thickBot="1" x14ac:dyDescent="0.3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.75" thickBot="1" x14ac:dyDescent="0.3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.75" thickBot="1" x14ac:dyDescent="0.3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.75" thickBot="1" x14ac:dyDescent="0.3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.75" thickBot="1" x14ac:dyDescent="0.3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.75" thickBot="1" x14ac:dyDescent="0.3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.75" thickBot="1" x14ac:dyDescent="0.3">
      <c r="A59" s="138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.75" thickBot="1" x14ac:dyDescent="0.3">
      <c r="A60" s="137" t="s">
        <v>30</v>
      </c>
      <c r="B60" s="135" t="s">
        <v>64</v>
      </c>
      <c r="C60" s="135">
        <v>2.3576000000000001</v>
      </c>
      <c r="D60" s="135">
        <f>References!AW60*2</f>
        <v>4</v>
      </c>
      <c r="E60" s="135">
        <v>24</v>
      </c>
      <c r="F60" s="135">
        <v>28</v>
      </c>
      <c r="G60" s="136">
        <f t="shared" si="1"/>
        <v>37.721600000000002</v>
      </c>
      <c r="H60" s="118"/>
    </row>
    <row r="61" spans="1:8" ht="15.75" thickBot="1" x14ac:dyDescent="0.3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.75" thickBot="1" x14ac:dyDescent="0.3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.75" thickBot="1" x14ac:dyDescent="0.3">
      <c r="F63" s="41" t="s">
        <v>333</v>
      </c>
      <c r="G63" s="41">
        <f>SUM(Table26[Qs (W)])</f>
        <v>1147.9227799999999</v>
      </c>
    </row>
    <row r="65" spans="1:9" ht="24" thickBot="1" x14ac:dyDescent="0.4">
      <c r="A65" s="205" t="s">
        <v>41</v>
      </c>
      <c r="B65" s="205"/>
      <c r="C65" s="205"/>
      <c r="D65" s="205"/>
      <c r="E65" s="205"/>
      <c r="F65" s="205"/>
      <c r="G65" s="205"/>
      <c r="H65" s="131"/>
      <c r="I65" s="119"/>
    </row>
    <row r="66" spans="1:9" ht="15.75" thickBot="1" x14ac:dyDescent="0.3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.75" thickBot="1" x14ac:dyDescent="0.3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.75" thickBot="1" x14ac:dyDescent="0.3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.75" thickBot="1" x14ac:dyDescent="0.3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.75" thickBot="1" x14ac:dyDescent="0.3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.75" thickBot="1" x14ac:dyDescent="0.3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.75" thickBot="1" x14ac:dyDescent="0.3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.75" thickBot="1" x14ac:dyDescent="0.3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.75" thickBot="1" x14ac:dyDescent="0.3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.75" thickBot="1" x14ac:dyDescent="0.3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.75" thickBot="1" x14ac:dyDescent="0.3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.75" thickBot="1" x14ac:dyDescent="0.3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.75" thickBot="1" x14ac:dyDescent="0.3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.75" thickBot="1" x14ac:dyDescent="0.3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.75" thickBot="1" x14ac:dyDescent="0.3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.75" thickBot="1" x14ac:dyDescent="0.3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.75" thickBot="1" x14ac:dyDescent="0.3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.75" thickBot="1" x14ac:dyDescent="0.3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.75" thickBot="1" x14ac:dyDescent="0.3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.75" thickBot="1" x14ac:dyDescent="0.3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.75" thickBot="1" x14ac:dyDescent="0.3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.75" thickBot="1" x14ac:dyDescent="0.3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.75" thickBot="1" x14ac:dyDescent="0.3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.75" thickBot="1" x14ac:dyDescent="0.3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.75" thickBot="1" x14ac:dyDescent="0.3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.75" thickBot="1" x14ac:dyDescent="0.3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.75" thickBot="1" x14ac:dyDescent="0.3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.75" thickBot="1" x14ac:dyDescent="0.3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.75" thickBot="1" x14ac:dyDescent="0.3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.75" thickBot="1" x14ac:dyDescent="0.3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.75" thickBot="1" x14ac:dyDescent="0.3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.75" thickBot="1" x14ac:dyDescent="0.3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.75" thickBot="1" x14ac:dyDescent="0.3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.75" thickBot="1" x14ac:dyDescent="0.3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.75" thickBot="1" x14ac:dyDescent="0.3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.75" thickBot="1" x14ac:dyDescent="0.3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.75" thickBot="1" x14ac:dyDescent="0.3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.75" thickBot="1" x14ac:dyDescent="0.3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.75" thickBot="1" x14ac:dyDescent="0.3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.75" thickBot="1" x14ac:dyDescent="0.3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.75" thickBot="1" x14ac:dyDescent="0.3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.75" thickBot="1" x14ac:dyDescent="0.3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.75" thickBot="1" x14ac:dyDescent="0.3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.75" thickBot="1" x14ac:dyDescent="0.3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.75" thickBot="1" x14ac:dyDescent="0.3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.75" thickBot="1" x14ac:dyDescent="0.3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.75" thickBot="1" x14ac:dyDescent="0.3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.75" thickBot="1" x14ac:dyDescent="0.3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.75" thickBot="1" x14ac:dyDescent="0.3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.75" thickBot="1" x14ac:dyDescent="0.3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.75" thickBot="1" x14ac:dyDescent="0.3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.75" thickBot="1" x14ac:dyDescent="0.3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.75" thickBot="1" x14ac:dyDescent="0.3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.75" thickBot="1" x14ac:dyDescent="0.3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.75" thickBot="1" x14ac:dyDescent="0.3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.75" thickBot="1" x14ac:dyDescent="0.3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.75" thickBot="1" x14ac:dyDescent="0.3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.75" thickBot="1" x14ac:dyDescent="0.3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.75" thickBot="1" x14ac:dyDescent="0.3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.75" thickBot="1" x14ac:dyDescent="0.3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.75" thickBot="1" x14ac:dyDescent="0.3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.75" thickBot="1" x14ac:dyDescent="0.3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.75" thickBot="1" x14ac:dyDescent="0.3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.75" thickBot="1" x14ac:dyDescent="0.3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.75" thickBot="1" x14ac:dyDescent="0.3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.75" thickBot="1" x14ac:dyDescent="0.3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.75" thickBot="1" x14ac:dyDescent="0.3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.75" thickBot="1" x14ac:dyDescent="0.3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.75" thickBot="1" x14ac:dyDescent="0.3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.75" thickBot="1" x14ac:dyDescent="0.3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.75" thickBot="1" x14ac:dyDescent="0.3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.75" thickBot="1" x14ac:dyDescent="0.3">
      <c r="F137" s="122" t="s">
        <v>333</v>
      </c>
      <c r="G137" s="122">
        <f>SUM(Table27[Qs (W)])</f>
        <v>1229.8197599999994</v>
      </c>
    </row>
    <row r="138" spans="1:8" s="119" customFormat="1" x14ac:dyDescent="0.25"/>
    <row r="139" spans="1:8" s="119" customFormat="1" x14ac:dyDescent="0.25"/>
    <row r="140" spans="1:8" ht="15.75" thickBot="1" x14ac:dyDescent="0.3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.75" thickBot="1" x14ac:dyDescent="0.3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.75" thickBot="1" x14ac:dyDescent="0.3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.75" thickBot="1" x14ac:dyDescent="0.3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.75" thickBot="1" x14ac:dyDescent="0.3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.75" thickBot="1" x14ac:dyDescent="0.3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.75" thickBot="1" x14ac:dyDescent="0.3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.75" thickBot="1" x14ac:dyDescent="0.3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.75" thickBot="1" x14ac:dyDescent="0.3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.75" thickBot="1" x14ac:dyDescent="0.3">
      <c r="A149" s="139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.75" thickBot="1" x14ac:dyDescent="0.3">
      <c r="A150" s="140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.75" thickBot="1" x14ac:dyDescent="0.3">
      <c r="A151" s="139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.75" thickBot="1" x14ac:dyDescent="0.3">
      <c r="A152" s="140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.75" thickBot="1" x14ac:dyDescent="0.3">
      <c r="A153" s="139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.75" thickBot="1" x14ac:dyDescent="0.3">
      <c r="A154" s="140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.75" thickBot="1" x14ac:dyDescent="0.3">
      <c r="A155" s="139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.75" thickBot="1" x14ac:dyDescent="0.3">
      <c r="A156" s="140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.75" thickBot="1" x14ac:dyDescent="0.3">
      <c r="A157" s="138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.75" thickBot="1" x14ac:dyDescent="0.3">
      <c r="A158" s="138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.75" thickBot="1" x14ac:dyDescent="0.3">
      <c r="A159" s="138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.75" thickBot="1" x14ac:dyDescent="0.3">
      <c r="A160" s="138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.75" thickBot="1" x14ac:dyDescent="0.3">
      <c r="A161" s="139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.75" thickBot="1" x14ac:dyDescent="0.3">
      <c r="A162" s="140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.75" thickBot="1" x14ac:dyDescent="0.3">
      <c r="A163" s="139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.75" thickBot="1" x14ac:dyDescent="0.3">
      <c r="A164" s="140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.75" thickBot="1" x14ac:dyDescent="0.3">
      <c r="A165" s="139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.75" thickBot="1" x14ac:dyDescent="0.3">
      <c r="A166" s="140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.75" thickBot="1" x14ac:dyDescent="0.3">
      <c r="A167" s="139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.75" thickBot="1" x14ac:dyDescent="0.3">
      <c r="A168" s="140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.75" thickBot="1" x14ac:dyDescent="0.3">
      <c r="A169" s="139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.75" thickBot="1" x14ac:dyDescent="0.3">
      <c r="A170" s="140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.75" thickBot="1" x14ac:dyDescent="0.3">
      <c r="A171" s="139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.75" thickBot="1" x14ac:dyDescent="0.3">
      <c r="A172" s="140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.75" thickBot="1" x14ac:dyDescent="0.3">
      <c r="A173" s="139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.75" thickBot="1" x14ac:dyDescent="0.3">
      <c r="A174" s="140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.75" thickBot="1" x14ac:dyDescent="0.3">
      <c r="A175" s="139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.75" thickBot="1" x14ac:dyDescent="0.3">
      <c r="A176" s="140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.75" thickBot="1" x14ac:dyDescent="0.3">
      <c r="A177" s="139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.75" thickBot="1" x14ac:dyDescent="0.3">
      <c r="A178" s="140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.75" thickBot="1" x14ac:dyDescent="0.3">
      <c r="A179" s="139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.75" thickBot="1" x14ac:dyDescent="0.3">
      <c r="A180" s="140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.75" thickBot="1" x14ac:dyDescent="0.3">
      <c r="A181" s="139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.75" thickBot="1" x14ac:dyDescent="0.3">
      <c r="A182" s="140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.75" thickBot="1" x14ac:dyDescent="0.3">
      <c r="A183" s="139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.75" thickBot="1" x14ac:dyDescent="0.3">
      <c r="A184" s="140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.75" thickBot="1" x14ac:dyDescent="0.3">
      <c r="A185" s="139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.75" thickBot="1" x14ac:dyDescent="0.3">
      <c r="A186" s="140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.75" thickBot="1" x14ac:dyDescent="0.3">
      <c r="A187" s="139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.75" thickBot="1" x14ac:dyDescent="0.3">
      <c r="A188" s="140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.75" thickBot="1" x14ac:dyDescent="0.3">
      <c r="A189" s="139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.75" thickBot="1" x14ac:dyDescent="0.3">
      <c r="A190" s="140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.75" thickBot="1" x14ac:dyDescent="0.3">
      <c r="A191" s="139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.75" thickBot="1" x14ac:dyDescent="0.3">
      <c r="A192" s="140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.75" thickBot="1" x14ac:dyDescent="0.3">
      <c r="A193" s="139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.75" thickBot="1" x14ac:dyDescent="0.3">
      <c r="A194" s="140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.75" thickBot="1" x14ac:dyDescent="0.3">
      <c r="A195" s="138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.75" thickBot="1" x14ac:dyDescent="0.3">
      <c r="A196" s="138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.75" thickBot="1" x14ac:dyDescent="0.3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.75" thickBot="1" x14ac:dyDescent="0.3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.75" thickBot="1" x14ac:dyDescent="0.3">
      <c r="A199" s="138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.75" thickBot="1" x14ac:dyDescent="0.3">
      <c r="A200" s="139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.75" thickBot="1" x14ac:dyDescent="0.3">
      <c r="A201" s="112"/>
      <c r="B201" s="112"/>
      <c r="E201" s="112"/>
      <c r="F201" s="122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80" priority="7" operator="equal">
      <formula>$J$1</formula>
    </cfRule>
  </conditionalFormatting>
  <conditionalFormatting sqref="D135:G136 D67:H134 C67:C136">
    <cfRule type="cellIs" dxfId="79" priority="6" operator="equal">
      <formula>$I$65</formula>
    </cfRule>
  </conditionalFormatting>
  <conditionalFormatting sqref="D141:H200">
    <cfRule type="cellIs" dxfId="78" priority="5" operator="equal">
      <formula>$J$182</formula>
    </cfRule>
  </conditionalFormatting>
  <conditionalFormatting sqref="C141:C200">
    <cfRule type="cellIs" dxfId="77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2019-11-02T15:48:31Z</cp:lastPrinted>
  <dcterms:created xsi:type="dcterms:W3CDTF">2019-11-02T03:45:14Z</dcterms:created>
  <dcterms:modified xsi:type="dcterms:W3CDTF">2019-11-16T10:04:13Z</dcterms:modified>
</cp:coreProperties>
</file>