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School\Aircon\Aircon\Excel\"/>
    </mc:Choice>
  </mc:AlternateContent>
  <xr:revisionPtr revIDLastSave="0" documentId="8_{70F387FE-33C9-4629-B1CA-8F161BAB1D5F}" xr6:coauthVersionLast="45" xr6:coauthVersionMax="45" xr10:uidLastSave="{00000000-0000-0000-0000-000000000000}"/>
  <bookViews>
    <workbookView xWindow="-120" yWindow="-120" windowWidth="29040" windowHeight="15990" firstSheet="2" activeTab="2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DOOR PARTITION LOAD" sheetId="11" r:id="rId9"/>
    <sheet name="LIGHTING LOAD" sheetId="10" r:id="rId10"/>
    <sheet name="SUMMARY" sheetId="12" r:id="rId11"/>
    <sheet name="References" sheetId="4" r:id="rId12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1" hidden="1">References!$A$4:$B$36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3" i="3" l="1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B143" i="3"/>
  <c r="C143" i="3" s="1"/>
  <c r="B228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9" i="3"/>
  <c r="B230" i="3"/>
  <c r="B231" i="3"/>
  <c r="B232" i="3"/>
  <c r="I143" i="3" l="1"/>
  <c r="H143" i="3"/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4" i="3"/>
  <c r="Y72" i="4"/>
  <c r="C72" i="3" l="1"/>
  <c r="H72" i="3"/>
  <c r="I72" i="3"/>
  <c r="C71" i="3"/>
  <c r="D3" i="12"/>
  <c r="B11" i="12"/>
  <c r="C10" i="12"/>
  <c r="D10" i="12" s="1"/>
  <c r="B10" i="12"/>
  <c r="D11" i="12"/>
  <c r="D9" i="12"/>
  <c r="D8" i="12"/>
  <c r="D7" i="12"/>
  <c r="C9" i="12"/>
  <c r="B9" i="12"/>
  <c r="B8" i="12"/>
  <c r="B7" i="12"/>
  <c r="D6" i="12"/>
  <c r="C6" i="12"/>
  <c r="B6" i="12"/>
  <c r="D4" i="12"/>
  <c r="C4" i="12"/>
  <c r="B4" i="12"/>
  <c r="M6" i="10"/>
  <c r="M5" i="10"/>
  <c r="Q6" i="9"/>
  <c r="Q5" i="9"/>
  <c r="S7" i="9"/>
  <c r="R7" i="9"/>
  <c r="Q7" i="9"/>
  <c r="R6" i="9"/>
  <c r="Q8" i="9"/>
  <c r="R5" i="9"/>
  <c r="R8" i="9" s="1"/>
  <c r="AQ97" i="4"/>
  <c r="AP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L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L14" i="4"/>
  <c r="AM13" i="4"/>
  <c r="AM12" i="4"/>
  <c r="AM11" i="4"/>
  <c r="AL11" i="4"/>
  <c r="AM10" i="4"/>
  <c r="AM9" i="4"/>
  <c r="AM8" i="4"/>
  <c r="AL8" i="4"/>
  <c r="AM7" i="4"/>
  <c r="AM6" i="4"/>
  <c r="AM5" i="4"/>
  <c r="AL5" i="4"/>
  <c r="AM4" i="4"/>
  <c r="AL4" i="4"/>
  <c r="AH4" i="4"/>
  <c r="AI4" i="4"/>
  <c r="AI5" i="4"/>
  <c r="AH6" i="4"/>
  <c r="AI6" i="4"/>
  <c r="AI7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I15" i="4"/>
  <c r="AI16" i="4"/>
  <c r="AH17" i="4"/>
  <c r="AI17" i="4"/>
  <c r="AH18" i="4"/>
  <c r="AI18" i="4"/>
  <c r="AH19" i="4"/>
  <c r="AI19" i="4"/>
  <c r="AH20" i="4"/>
  <c r="AI20" i="4"/>
  <c r="AI21" i="4"/>
  <c r="AI22" i="4"/>
  <c r="AH23" i="4"/>
  <c r="AI23" i="4"/>
  <c r="AI24" i="4"/>
  <c r="AI25" i="4"/>
  <c r="AH26" i="4"/>
  <c r="AI26" i="4"/>
  <c r="AI27" i="4"/>
  <c r="AH28" i="4"/>
  <c r="AI28" i="4"/>
  <c r="AG29" i="4"/>
  <c r="AH29" i="4"/>
  <c r="AI29" i="4"/>
  <c r="AI30" i="4"/>
  <c r="AH31" i="4"/>
  <c r="AI31" i="4"/>
  <c r="AH32" i="4"/>
  <c r="AI32" i="4"/>
  <c r="AI33" i="4"/>
  <c r="AH34" i="4"/>
  <c r="AI34" i="4"/>
  <c r="AI35" i="4"/>
  <c r="AI36" i="4"/>
  <c r="AI37" i="4"/>
  <c r="AH38" i="4"/>
  <c r="AI38" i="4"/>
  <c r="AH39" i="4"/>
  <c r="AI39" i="4"/>
  <c r="AH40" i="4"/>
  <c r="AI40" i="4"/>
  <c r="AI41" i="4"/>
  <c r="AI42" i="4"/>
  <c r="AH43" i="4"/>
  <c r="AI43" i="4"/>
  <c r="AI44" i="4"/>
  <c r="AI45" i="4"/>
  <c r="AI46" i="4"/>
  <c r="AH47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H76" i="4"/>
  <c r="AI76" i="4"/>
  <c r="AI77" i="4"/>
  <c r="AI78" i="4"/>
  <c r="AH79" i="4"/>
  <c r="AI79" i="4"/>
  <c r="AI80" i="4"/>
  <c r="AI81" i="4"/>
  <c r="AH82" i="4"/>
  <c r="AI82" i="4"/>
  <c r="AI83" i="4"/>
  <c r="AI84" i="4"/>
  <c r="AI85" i="4"/>
  <c r="AI86" i="4"/>
  <c r="AI87" i="4"/>
  <c r="AI88" i="4"/>
  <c r="AI89" i="4"/>
  <c r="D5" i="11"/>
  <c r="H71" i="3" l="1"/>
  <c r="I71" i="3"/>
  <c r="S5" i="9"/>
  <c r="S6" i="9"/>
  <c r="O6" i="6"/>
  <c r="P7" i="5"/>
  <c r="P6" i="5"/>
  <c r="P5" i="5"/>
  <c r="O7" i="5"/>
  <c r="O6" i="5"/>
  <c r="O5" i="5"/>
  <c r="Q7" i="5"/>
  <c r="Q6" i="5"/>
  <c r="P8" i="5"/>
  <c r="O8" i="5"/>
  <c r="B164" i="10"/>
  <c r="H126" i="9"/>
  <c r="H125" i="9"/>
  <c r="G125" i="9"/>
  <c r="H91" i="9"/>
  <c r="H90" i="9"/>
  <c r="G90" i="9"/>
  <c r="H42" i="9"/>
  <c r="H41" i="9"/>
  <c r="G41" i="9"/>
  <c r="S8" i="9" l="1"/>
  <c r="Q5" i="5"/>
  <c r="Q8" i="5" s="1"/>
  <c r="A82" i="4" l="1"/>
  <c r="D160" i="11" l="1"/>
  <c r="G160" i="11" s="1"/>
  <c r="G5" i="11"/>
  <c r="D82" i="11"/>
  <c r="G82" i="11" s="1"/>
  <c r="D116" i="11"/>
  <c r="G116" i="11" s="1"/>
  <c r="D135" i="11"/>
  <c r="G135" i="11" s="1"/>
  <c r="D136" i="11"/>
  <c r="G136" i="11" s="1"/>
  <c r="D59" i="11"/>
  <c r="G59" i="11" s="1"/>
  <c r="D43" i="11"/>
  <c r="G43" i="11" s="1"/>
  <c r="D42" i="11"/>
  <c r="G42" i="11" s="1"/>
  <c r="D41" i="11"/>
  <c r="G41" i="11" s="1"/>
  <c r="D13" i="11"/>
  <c r="G13" i="11" s="1"/>
  <c r="D12" i="11"/>
  <c r="G12" i="11" s="1"/>
  <c r="D11" i="11"/>
  <c r="G11" i="11" s="1"/>
  <c r="D10" i="11"/>
  <c r="G10" i="11" s="1"/>
  <c r="D118" i="11"/>
  <c r="G118" i="11" s="1"/>
  <c r="D88" i="11"/>
  <c r="G88" i="11" s="1"/>
  <c r="D90" i="11"/>
  <c r="G90" i="11" s="1"/>
  <c r="D87" i="11"/>
  <c r="G87" i="11" s="1"/>
  <c r="D200" i="11" l="1"/>
  <c r="G200" i="11" s="1"/>
  <c r="D199" i="11"/>
  <c r="G199" i="11" s="1"/>
  <c r="D198" i="11"/>
  <c r="G198" i="11" s="1"/>
  <c r="D197" i="11"/>
  <c r="G197" i="11" s="1"/>
  <c r="D196" i="11"/>
  <c r="G196" i="11" s="1"/>
  <c r="D195" i="11"/>
  <c r="G195" i="11" s="1"/>
  <c r="D194" i="11"/>
  <c r="G194" i="11" s="1"/>
  <c r="D193" i="11"/>
  <c r="G193" i="11" s="1"/>
  <c r="D192" i="11"/>
  <c r="G192" i="11" s="1"/>
  <c r="D191" i="11"/>
  <c r="G191" i="11" s="1"/>
  <c r="D190" i="11"/>
  <c r="G190" i="11" s="1"/>
  <c r="D189" i="11"/>
  <c r="G189" i="11" s="1"/>
  <c r="D188" i="11"/>
  <c r="G188" i="11" s="1"/>
  <c r="D187" i="11"/>
  <c r="G187" i="11" s="1"/>
  <c r="D186" i="11"/>
  <c r="G186" i="11" s="1"/>
  <c r="D185" i="11"/>
  <c r="G185" i="11" s="1"/>
  <c r="D184" i="11"/>
  <c r="G184" i="11" s="1"/>
  <c r="D183" i="11"/>
  <c r="G183" i="11" s="1"/>
  <c r="D182" i="11"/>
  <c r="G182" i="11" s="1"/>
  <c r="D181" i="11"/>
  <c r="G181" i="11" s="1"/>
  <c r="D180" i="11"/>
  <c r="G180" i="11" s="1"/>
  <c r="D179" i="11"/>
  <c r="G179" i="11" s="1"/>
  <c r="D178" i="11"/>
  <c r="G178" i="11" s="1"/>
  <c r="D177" i="11"/>
  <c r="G177" i="11" s="1"/>
  <c r="D176" i="11"/>
  <c r="G176" i="11" s="1"/>
  <c r="D175" i="11"/>
  <c r="G175" i="11" s="1"/>
  <c r="D174" i="11"/>
  <c r="G174" i="11" s="1"/>
  <c r="D173" i="11"/>
  <c r="G173" i="11" s="1"/>
  <c r="D172" i="11"/>
  <c r="G172" i="11" s="1"/>
  <c r="D171" i="11"/>
  <c r="G171" i="11" s="1"/>
  <c r="D170" i="11"/>
  <c r="G170" i="11" s="1"/>
  <c r="D169" i="11"/>
  <c r="G169" i="11" s="1"/>
  <c r="D168" i="11"/>
  <c r="G168" i="11" s="1"/>
  <c r="D167" i="11"/>
  <c r="G167" i="11" s="1"/>
  <c r="D166" i="11"/>
  <c r="G166" i="11" s="1"/>
  <c r="D165" i="11"/>
  <c r="G165" i="11" s="1"/>
  <c r="D164" i="11"/>
  <c r="G164" i="11" s="1"/>
  <c r="D163" i="11"/>
  <c r="G163" i="11" s="1"/>
  <c r="D162" i="11"/>
  <c r="G162" i="11" s="1"/>
  <c r="D161" i="11"/>
  <c r="G161" i="11" s="1"/>
  <c r="D159" i="11"/>
  <c r="G159" i="11" s="1"/>
  <c r="D158" i="11"/>
  <c r="G158" i="11" s="1"/>
  <c r="D157" i="11"/>
  <c r="G157" i="11" s="1"/>
  <c r="D156" i="11"/>
  <c r="G156" i="11" s="1"/>
  <c r="D155" i="11"/>
  <c r="G155" i="11" s="1"/>
  <c r="D154" i="11"/>
  <c r="G154" i="11" s="1"/>
  <c r="D153" i="11"/>
  <c r="G153" i="11" s="1"/>
  <c r="D152" i="11"/>
  <c r="G152" i="11" s="1"/>
  <c r="D151" i="11"/>
  <c r="G151" i="11" s="1"/>
  <c r="D150" i="11"/>
  <c r="G150" i="11" s="1"/>
  <c r="D149" i="11"/>
  <c r="G149" i="11" s="1"/>
  <c r="D148" i="11"/>
  <c r="G148" i="11" s="1"/>
  <c r="D147" i="11"/>
  <c r="G147" i="11" s="1"/>
  <c r="D146" i="11"/>
  <c r="G146" i="11" s="1"/>
  <c r="D145" i="11"/>
  <c r="G145" i="11" s="1"/>
  <c r="D144" i="11"/>
  <c r="G144" i="11" s="1"/>
  <c r="D143" i="11"/>
  <c r="G143" i="11" s="1"/>
  <c r="D142" i="11"/>
  <c r="G142" i="11" s="1"/>
  <c r="D141" i="11"/>
  <c r="G141" i="11" s="1"/>
  <c r="G201" i="11" s="1"/>
  <c r="N7" i="11" s="1"/>
  <c r="D134" i="11"/>
  <c r="G134" i="11" s="1"/>
  <c r="D133" i="11"/>
  <c r="G133" i="11" s="1"/>
  <c r="D132" i="11"/>
  <c r="G132" i="11" s="1"/>
  <c r="D131" i="11"/>
  <c r="G131" i="11" s="1"/>
  <c r="D130" i="11"/>
  <c r="G130" i="11" s="1"/>
  <c r="D129" i="11"/>
  <c r="G129" i="11" s="1"/>
  <c r="D128" i="11"/>
  <c r="G128" i="11" s="1"/>
  <c r="D127" i="11"/>
  <c r="G127" i="11" s="1"/>
  <c r="D126" i="11"/>
  <c r="G126" i="11" s="1"/>
  <c r="D125" i="11"/>
  <c r="G125" i="11" s="1"/>
  <c r="D124" i="11"/>
  <c r="G124" i="11" s="1"/>
  <c r="D123" i="11"/>
  <c r="G123" i="11" s="1"/>
  <c r="D122" i="11"/>
  <c r="G122" i="11" s="1"/>
  <c r="D121" i="11"/>
  <c r="G121" i="11" s="1"/>
  <c r="D120" i="11"/>
  <c r="G120" i="11" s="1"/>
  <c r="D119" i="11"/>
  <c r="G119" i="11" s="1"/>
  <c r="D117" i="11"/>
  <c r="G117" i="11" s="1"/>
  <c r="D115" i="11"/>
  <c r="G115" i="11" s="1"/>
  <c r="D114" i="11"/>
  <c r="G114" i="11" s="1"/>
  <c r="D113" i="11"/>
  <c r="G113" i="11" s="1"/>
  <c r="D112" i="11"/>
  <c r="G112" i="11" s="1"/>
  <c r="D111" i="11"/>
  <c r="G111" i="11" s="1"/>
  <c r="D110" i="11"/>
  <c r="G110" i="11" s="1"/>
  <c r="D109" i="11"/>
  <c r="G109" i="11" s="1"/>
  <c r="D108" i="11"/>
  <c r="G108" i="11" s="1"/>
  <c r="D107" i="11"/>
  <c r="G107" i="11" s="1"/>
  <c r="D106" i="11"/>
  <c r="G106" i="11" s="1"/>
  <c r="D105" i="11"/>
  <c r="G105" i="11" s="1"/>
  <c r="D104" i="11"/>
  <c r="G104" i="11" s="1"/>
  <c r="D103" i="11"/>
  <c r="G103" i="11" s="1"/>
  <c r="D102" i="11"/>
  <c r="G102" i="11" s="1"/>
  <c r="D101" i="11"/>
  <c r="G101" i="11" s="1"/>
  <c r="D100" i="11"/>
  <c r="G100" i="11" s="1"/>
  <c r="D99" i="11"/>
  <c r="G99" i="11" s="1"/>
  <c r="D98" i="11"/>
  <c r="G98" i="11" s="1"/>
  <c r="D97" i="11"/>
  <c r="G97" i="11" s="1"/>
  <c r="D96" i="11"/>
  <c r="G96" i="11" s="1"/>
  <c r="D95" i="11"/>
  <c r="G95" i="11" s="1"/>
  <c r="D94" i="11"/>
  <c r="G94" i="11" s="1"/>
  <c r="D93" i="11"/>
  <c r="G93" i="11" s="1"/>
  <c r="D92" i="11"/>
  <c r="G92" i="11" s="1"/>
  <c r="D91" i="11"/>
  <c r="G91" i="11" s="1"/>
  <c r="D89" i="11"/>
  <c r="G89" i="11" s="1"/>
  <c r="D86" i="11"/>
  <c r="G86" i="11" s="1"/>
  <c r="D85" i="11"/>
  <c r="G85" i="11" s="1"/>
  <c r="D84" i="11"/>
  <c r="G84" i="11" s="1"/>
  <c r="D83" i="11"/>
  <c r="G83" i="11" s="1"/>
  <c r="D81" i="11"/>
  <c r="G81" i="11" s="1"/>
  <c r="D80" i="11"/>
  <c r="G80" i="11" s="1"/>
  <c r="D79" i="11"/>
  <c r="G79" i="11" s="1"/>
  <c r="D78" i="11"/>
  <c r="G78" i="11" s="1"/>
  <c r="D77" i="11"/>
  <c r="G77" i="11" s="1"/>
  <c r="D76" i="11"/>
  <c r="G76" i="11" s="1"/>
  <c r="D75" i="11"/>
  <c r="G75" i="11" s="1"/>
  <c r="D74" i="11"/>
  <c r="G74" i="11" s="1"/>
  <c r="D73" i="11"/>
  <c r="G73" i="11" s="1"/>
  <c r="D72" i="11"/>
  <c r="G72" i="11" s="1"/>
  <c r="D71" i="11"/>
  <c r="G71" i="11" s="1"/>
  <c r="D70" i="11"/>
  <c r="G70" i="11" s="1"/>
  <c r="D69" i="11"/>
  <c r="G69" i="11" s="1"/>
  <c r="D68" i="11"/>
  <c r="G68" i="11" s="1"/>
  <c r="D67" i="11"/>
  <c r="G67" i="11" s="1"/>
  <c r="D62" i="11"/>
  <c r="G62" i="11" s="1"/>
  <c r="D61" i="11"/>
  <c r="G61" i="11" s="1"/>
  <c r="D60" i="11"/>
  <c r="G60" i="11" s="1"/>
  <c r="D58" i="11"/>
  <c r="G58" i="11" s="1"/>
  <c r="D57" i="11"/>
  <c r="G57" i="11" s="1"/>
  <c r="D56" i="11"/>
  <c r="G56" i="11" s="1"/>
  <c r="D55" i="11"/>
  <c r="G55" i="11" s="1"/>
  <c r="D54" i="11"/>
  <c r="G54" i="11" s="1"/>
  <c r="D53" i="11"/>
  <c r="G53" i="11" s="1"/>
  <c r="D52" i="11"/>
  <c r="G52" i="11" s="1"/>
  <c r="D51" i="11"/>
  <c r="G51" i="11" s="1"/>
  <c r="D50" i="11"/>
  <c r="G50" i="11" s="1"/>
  <c r="D49" i="11"/>
  <c r="G49" i="11" s="1"/>
  <c r="D48" i="11"/>
  <c r="G48" i="11" s="1"/>
  <c r="D47" i="11"/>
  <c r="G47" i="11" s="1"/>
  <c r="D46" i="11"/>
  <c r="G46" i="11" s="1"/>
  <c r="D45" i="11"/>
  <c r="G45" i="11" s="1"/>
  <c r="D44" i="11"/>
  <c r="G44" i="11" s="1"/>
  <c r="D40" i="11"/>
  <c r="G40" i="11" s="1"/>
  <c r="D39" i="11"/>
  <c r="G39" i="11" s="1"/>
  <c r="D38" i="11"/>
  <c r="G38" i="11" s="1"/>
  <c r="D37" i="11"/>
  <c r="G37" i="11" s="1"/>
  <c r="D36" i="11"/>
  <c r="G36" i="11" s="1"/>
  <c r="D35" i="11"/>
  <c r="G35" i="11" s="1"/>
  <c r="D34" i="11"/>
  <c r="G34" i="11" s="1"/>
  <c r="D33" i="11"/>
  <c r="G33" i="11" s="1"/>
  <c r="D32" i="11"/>
  <c r="G32" i="11" s="1"/>
  <c r="D31" i="11"/>
  <c r="G31" i="11" s="1"/>
  <c r="D30" i="11"/>
  <c r="G30" i="11" s="1"/>
  <c r="D29" i="11"/>
  <c r="G29" i="11" s="1"/>
  <c r="D28" i="11"/>
  <c r="G28" i="11" s="1"/>
  <c r="D27" i="11"/>
  <c r="G27" i="11" s="1"/>
  <c r="D26" i="11"/>
  <c r="G26" i="11" s="1"/>
  <c r="D25" i="11"/>
  <c r="G25" i="11" s="1"/>
  <c r="D24" i="11"/>
  <c r="G24" i="11" s="1"/>
  <c r="D23" i="11"/>
  <c r="G23" i="11" s="1"/>
  <c r="D22" i="11"/>
  <c r="G22" i="11" s="1"/>
  <c r="D21" i="11"/>
  <c r="G21" i="11" s="1"/>
  <c r="D20" i="11"/>
  <c r="G20" i="11" s="1"/>
  <c r="D19" i="11"/>
  <c r="G19" i="11" s="1"/>
  <c r="D18" i="11"/>
  <c r="G18" i="11" s="1"/>
  <c r="D17" i="11"/>
  <c r="G17" i="11" s="1"/>
  <c r="D16" i="11"/>
  <c r="G16" i="11" s="1"/>
  <c r="D15" i="11"/>
  <c r="G15" i="11" s="1"/>
  <c r="D14" i="11"/>
  <c r="G14" i="11" s="1"/>
  <c r="D9" i="11"/>
  <c r="G9" i="11" s="1"/>
  <c r="D8" i="11"/>
  <c r="G8" i="11" s="1"/>
  <c r="D7" i="11"/>
  <c r="G7" i="11" s="1"/>
  <c r="D6" i="11"/>
  <c r="G6" i="11" s="1"/>
  <c r="D4" i="11"/>
  <c r="G4" i="11" s="1"/>
  <c r="G63" i="11" l="1"/>
  <c r="N5" i="11" s="1"/>
  <c r="G137" i="11"/>
  <c r="N6" i="11" s="1"/>
  <c r="F164" i="10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21" i="10"/>
  <c r="F121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F101" i="10"/>
  <c r="B101" i="10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F92" i="10" s="1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F79" i="10" s="1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B51" i="10"/>
  <c r="F51" i="10" s="1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B39" i="10"/>
  <c r="F39" i="10" s="1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N8" i="11" l="1"/>
  <c r="F117" i="10"/>
  <c r="F165" i="10"/>
  <c r="M7" i="10" s="1"/>
  <c r="M8" i="10" s="1"/>
  <c r="B12" i="12" s="1"/>
  <c r="D12" i="12" s="1"/>
  <c r="F63" i="10"/>
  <c r="G46" i="9"/>
  <c r="H46" i="9"/>
  <c r="G47" i="9"/>
  <c r="H47" i="9"/>
  <c r="G48" i="9"/>
  <c r="H48" i="9"/>
  <c r="G49" i="9"/>
  <c r="H49" i="9"/>
  <c r="G50" i="9"/>
  <c r="H50" i="9"/>
  <c r="G51" i="9"/>
  <c r="H51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G124" i="8"/>
  <c r="C124" i="8"/>
  <c r="G123" i="8"/>
  <c r="C123" i="8"/>
  <c r="G122" i="8"/>
  <c r="C122" i="8"/>
  <c r="G121" i="8"/>
  <c r="C121" i="8"/>
  <c r="G120" i="8"/>
  <c r="C120" i="8"/>
  <c r="G119" i="8"/>
  <c r="C119" i="8"/>
  <c r="G118" i="8"/>
  <c r="C118" i="8"/>
  <c r="G117" i="8"/>
  <c r="C117" i="8"/>
  <c r="G116" i="8"/>
  <c r="C116" i="8"/>
  <c r="G115" i="8"/>
  <c r="C115" i="8"/>
  <c r="G114" i="8"/>
  <c r="C114" i="8"/>
  <c r="G113" i="8"/>
  <c r="C113" i="8"/>
  <c r="G112" i="8"/>
  <c r="C112" i="8"/>
  <c r="G111" i="8"/>
  <c r="C111" i="8"/>
  <c r="G110" i="8"/>
  <c r="C110" i="8"/>
  <c r="G109" i="8"/>
  <c r="C109" i="8"/>
  <c r="G108" i="8"/>
  <c r="C108" i="8"/>
  <c r="G107" i="8"/>
  <c r="C107" i="8"/>
  <c r="G106" i="8"/>
  <c r="C106" i="8"/>
  <c r="G105" i="8"/>
  <c r="C105" i="8"/>
  <c r="G104" i="8"/>
  <c r="C104" i="8"/>
  <c r="G103" i="8"/>
  <c r="C103" i="8"/>
  <c r="G102" i="8"/>
  <c r="C102" i="8"/>
  <c r="G101" i="8"/>
  <c r="C101" i="8"/>
  <c r="G100" i="8"/>
  <c r="C100" i="8"/>
  <c r="G99" i="8"/>
  <c r="C99" i="8"/>
  <c r="G98" i="8"/>
  <c r="C98" i="8"/>
  <c r="G97" i="8"/>
  <c r="C97" i="8"/>
  <c r="G96" i="8"/>
  <c r="C96" i="8"/>
  <c r="G95" i="8"/>
  <c r="C95" i="8"/>
  <c r="G89" i="8"/>
  <c r="C89" i="8"/>
  <c r="G88" i="8"/>
  <c r="C88" i="8"/>
  <c r="G87" i="8"/>
  <c r="C87" i="8"/>
  <c r="H87" i="8" s="1"/>
  <c r="G86" i="8"/>
  <c r="C86" i="8"/>
  <c r="G85" i="8"/>
  <c r="C85" i="8"/>
  <c r="G84" i="8"/>
  <c r="C84" i="8"/>
  <c r="H84" i="8" s="1"/>
  <c r="G83" i="8"/>
  <c r="C83" i="8"/>
  <c r="G82" i="8"/>
  <c r="C82" i="8"/>
  <c r="G81" i="8"/>
  <c r="C81" i="8"/>
  <c r="H81" i="8" s="1"/>
  <c r="G80" i="8"/>
  <c r="C80" i="8"/>
  <c r="G79" i="8"/>
  <c r="C79" i="8"/>
  <c r="G78" i="8"/>
  <c r="C78" i="8"/>
  <c r="H78" i="8" s="1"/>
  <c r="G77" i="8"/>
  <c r="C77" i="8"/>
  <c r="G76" i="8"/>
  <c r="C76" i="8"/>
  <c r="G75" i="8"/>
  <c r="C75" i="8"/>
  <c r="H75" i="8" s="1"/>
  <c r="G74" i="8"/>
  <c r="C74" i="8"/>
  <c r="G73" i="8"/>
  <c r="C73" i="8"/>
  <c r="G72" i="8"/>
  <c r="C72" i="8"/>
  <c r="H72" i="8" s="1"/>
  <c r="G71" i="8"/>
  <c r="C71" i="8"/>
  <c r="G70" i="8"/>
  <c r="C70" i="8"/>
  <c r="G69" i="8"/>
  <c r="C69" i="8"/>
  <c r="G68" i="8"/>
  <c r="C68" i="8"/>
  <c r="G67" i="8"/>
  <c r="C67" i="8"/>
  <c r="G66" i="8"/>
  <c r="C66" i="8"/>
  <c r="G65" i="8"/>
  <c r="C65" i="8"/>
  <c r="G64" i="8"/>
  <c r="C64" i="8"/>
  <c r="G63" i="8"/>
  <c r="C63" i="8"/>
  <c r="G62" i="8"/>
  <c r="C62" i="8"/>
  <c r="G61" i="8"/>
  <c r="C61" i="8"/>
  <c r="G60" i="8"/>
  <c r="C60" i="8"/>
  <c r="G59" i="8"/>
  <c r="C59" i="8"/>
  <c r="G58" i="8"/>
  <c r="C58" i="8"/>
  <c r="G57" i="8"/>
  <c r="C57" i="8"/>
  <c r="G56" i="8"/>
  <c r="C56" i="8"/>
  <c r="G55" i="8"/>
  <c r="C55" i="8"/>
  <c r="G54" i="8"/>
  <c r="C54" i="8"/>
  <c r="G53" i="8"/>
  <c r="C53" i="8"/>
  <c r="G52" i="8"/>
  <c r="C52" i="8"/>
  <c r="G51" i="8"/>
  <c r="C51" i="8"/>
  <c r="G50" i="8"/>
  <c r="C50" i="8"/>
  <c r="G49" i="8"/>
  <c r="C49" i="8"/>
  <c r="G48" i="8"/>
  <c r="C48" i="8"/>
  <c r="G47" i="8"/>
  <c r="C47" i="8"/>
  <c r="G46" i="8"/>
  <c r="C46" i="8"/>
  <c r="C40" i="8"/>
  <c r="I40" i="8" s="1"/>
  <c r="C39" i="8"/>
  <c r="I39" i="8" s="1"/>
  <c r="C38" i="8"/>
  <c r="I38" i="8" s="1"/>
  <c r="C37" i="8"/>
  <c r="I37" i="8" s="1"/>
  <c r="C36" i="8"/>
  <c r="I36" i="8" s="1"/>
  <c r="C35" i="8"/>
  <c r="I35" i="8" s="1"/>
  <c r="C34" i="8"/>
  <c r="I34" i="8" s="1"/>
  <c r="C33" i="8"/>
  <c r="H33" i="8" s="1"/>
  <c r="C32" i="8"/>
  <c r="I32" i="8" s="1"/>
  <c r="C31" i="8"/>
  <c r="I31" i="8" s="1"/>
  <c r="C30" i="8"/>
  <c r="H30" i="8" s="1"/>
  <c r="C29" i="8"/>
  <c r="I29" i="8" s="1"/>
  <c r="C28" i="8"/>
  <c r="I28" i="8" s="1"/>
  <c r="C27" i="8"/>
  <c r="I27" i="8" s="1"/>
  <c r="C26" i="8"/>
  <c r="H26" i="8" s="1"/>
  <c r="C25" i="8"/>
  <c r="I25" i="8" s="1"/>
  <c r="C24" i="8"/>
  <c r="I24" i="8" s="1"/>
  <c r="C23" i="8"/>
  <c r="I23" i="8" s="1"/>
  <c r="C22" i="8"/>
  <c r="I22" i="8" s="1"/>
  <c r="C21" i="8"/>
  <c r="H21" i="8" s="1"/>
  <c r="C20" i="8"/>
  <c r="I20" i="8" s="1"/>
  <c r="C19" i="8"/>
  <c r="I19" i="8" s="1"/>
  <c r="C18" i="8"/>
  <c r="H18" i="8" s="1"/>
  <c r="C17" i="8"/>
  <c r="H17" i="8" s="1"/>
  <c r="C16" i="8"/>
  <c r="I16" i="8" s="1"/>
  <c r="C15" i="8"/>
  <c r="I15" i="8" s="1"/>
  <c r="C14" i="8"/>
  <c r="I14" i="8" s="1"/>
  <c r="C13" i="8"/>
  <c r="I13" i="8" s="1"/>
  <c r="C12" i="8"/>
  <c r="I12" i="8" s="1"/>
  <c r="C11" i="8"/>
  <c r="I11" i="8" s="1"/>
  <c r="C10" i="8"/>
  <c r="H10" i="8" s="1"/>
  <c r="C9" i="8"/>
  <c r="I9" i="8" s="1"/>
  <c r="C8" i="8"/>
  <c r="I8" i="8" s="1"/>
  <c r="C7" i="8"/>
  <c r="I7" i="8" s="1"/>
  <c r="C6" i="8"/>
  <c r="H6" i="8" s="1"/>
  <c r="C5" i="8"/>
  <c r="I5" i="8" s="1"/>
  <c r="C4" i="8"/>
  <c r="I4" i="8" s="1"/>
  <c r="I72" i="8" l="1"/>
  <c r="I84" i="8"/>
  <c r="I78" i="8"/>
  <c r="I75" i="8"/>
  <c r="I81" i="8"/>
  <c r="I87" i="8"/>
  <c r="I47" i="8"/>
  <c r="I53" i="8"/>
  <c r="I59" i="8"/>
  <c r="I65" i="8"/>
  <c r="I70" i="8"/>
  <c r="I76" i="8"/>
  <c r="I82" i="8"/>
  <c r="I88" i="8"/>
  <c r="I99" i="8"/>
  <c r="I105" i="8"/>
  <c r="I111" i="8"/>
  <c r="I117" i="8"/>
  <c r="I123" i="8"/>
  <c r="I48" i="8"/>
  <c r="I54" i="8"/>
  <c r="I60" i="8"/>
  <c r="I66" i="8"/>
  <c r="I71" i="8"/>
  <c r="I77" i="8"/>
  <c r="I83" i="8"/>
  <c r="I89" i="8"/>
  <c r="I100" i="8"/>
  <c r="I106" i="8"/>
  <c r="I112" i="8"/>
  <c r="I118" i="8"/>
  <c r="I124" i="8"/>
  <c r="I49" i="8"/>
  <c r="I55" i="8"/>
  <c r="I61" i="8"/>
  <c r="I67" i="8"/>
  <c r="I95" i="8"/>
  <c r="I101" i="8"/>
  <c r="I107" i="8"/>
  <c r="I113" i="8"/>
  <c r="I119" i="8"/>
  <c r="I50" i="8"/>
  <c r="I56" i="8"/>
  <c r="I62" i="8"/>
  <c r="I68" i="8"/>
  <c r="I73" i="8"/>
  <c r="I79" i="8"/>
  <c r="I85" i="8"/>
  <c r="I96" i="8"/>
  <c r="I102" i="8"/>
  <c r="I108" i="8"/>
  <c r="I114" i="8"/>
  <c r="I120" i="8"/>
  <c r="I51" i="8"/>
  <c r="I57" i="8"/>
  <c r="I63" i="8"/>
  <c r="I69" i="8"/>
  <c r="I74" i="8"/>
  <c r="I80" i="8"/>
  <c r="I86" i="8"/>
  <c r="I97" i="8"/>
  <c r="I103" i="8"/>
  <c r="I109" i="8"/>
  <c r="I115" i="8"/>
  <c r="I121" i="8"/>
  <c r="I46" i="8"/>
  <c r="I52" i="8"/>
  <c r="I58" i="8"/>
  <c r="I64" i="8"/>
  <c r="I98" i="8"/>
  <c r="I104" i="8"/>
  <c r="I110" i="8"/>
  <c r="I116" i="8"/>
  <c r="I122" i="8"/>
  <c r="H95" i="8"/>
  <c r="H98" i="8"/>
  <c r="H101" i="8"/>
  <c r="H104" i="8"/>
  <c r="H107" i="8"/>
  <c r="H110" i="8"/>
  <c r="H113" i="8"/>
  <c r="H116" i="8"/>
  <c r="H119" i="8"/>
  <c r="H122" i="8"/>
  <c r="H96" i="8"/>
  <c r="H99" i="8"/>
  <c r="H102" i="8"/>
  <c r="H105" i="8"/>
  <c r="H108" i="8"/>
  <c r="H111" i="8"/>
  <c r="H114" i="8"/>
  <c r="H117" i="8"/>
  <c r="H120" i="8"/>
  <c r="H123" i="8"/>
  <c r="H97" i="8"/>
  <c r="H100" i="8"/>
  <c r="H103" i="8"/>
  <c r="H106" i="8"/>
  <c r="H109" i="8"/>
  <c r="H112" i="8"/>
  <c r="H115" i="8"/>
  <c r="H118" i="8"/>
  <c r="H121" i="8"/>
  <c r="H124" i="8"/>
  <c r="H46" i="8"/>
  <c r="H49" i="8"/>
  <c r="H52" i="8"/>
  <c r="H55" i="8"/>
  <c r="H58" i="8"/>
  <c r="H61" i="8"/>
  <c r="H64" i="8"/>
  <c r="H67" i="8"/>
  <c r="H47" i="8"/>
  <c r="H53" i="8"/>
  <c r="H59" i="8"/>
  <c r="H62" i="8"/>
  <c r="H65" i="8"/>
  <c r="H68" i="8"/>
  <c r="H70" i="8"/>
  <c r="H73" i="8"/>
  <c r="H76" i="8"/>
  <c r="H79" i="8"/>
  <c r="H82" i="8"/>
  <c r="H85" i="8"/>
  <c r="H88" i="8"/>
  <c r="H50" i="8"/>
  <c r="H56" i="8"/>
  <c r="H48" i="8"/>
  <c r="H51" i="8"/>
  <c r="H54" i="8"/>
  <c r="H57" i="8"/>
  <c r="H60" i="8"/>
  <c r="H63" i="8"/>
  <c r="H66" i="8"/>
  <c r="H69" i="8"/>
  <c r="H71" i="8"/>
  <c r="H74" i="8"/>
  <c r="H77" i="8"/>
  <c r="H80" i="8"/>
  <c r="H83" i="8"/>
  <c r="H86" i="8"/>
  <c r="H89" i="8"/>
  <c r="H37" i="8"/>
  <c r="I17" i="8"/>
  <c r="H13" i="8"/>
  <c r="I21" i="8"/>
  <c r="H25" i="8"/>
  <c r="I33" i="8"/>
  <c r="H14" i="8"/>
  <c r="H34" i="8"/>
  <c r="H38" i="8"/>
  <c r="H22" i="8"/>
  <c r="I6" i="8"/>
  <c r="I10" i="8"/>
  <c r="I18" i="8"/>
  <c r="I26" i="8"/>
  <c r="I30" i="8"/>
  <c r="H5" i="8"/>
  <c r="H11" i="8"/>
  <c r="H19" i="8"/>
  <c r="H27" i="8"/>
  <c r="H31" i="8"/>
  <c r="H35" i="8"/>
  <c r="H39" i="8"/>
  <c r="H9" i="8"/>
  <c r="H7" i="8"/>
  <c r="H15" i="8"/>
  <c r="H23" i="8"/>
  <c r="H29" i="8"/>
  <c r="H4" i="8"/>
  <c r="H8" i="8"/>
  <c r="H12" i="8"/>
  <c r="H16" i="8"/>
  <c r="H20" i="8"/>
  <c r="H24" i="8"/>
  <c r="H28" i="8"/>
  <c r="H32" i="8"/>
  <c r="H36" i="8"/>
  <c r="H40" i="8"/>
  <c r="H125" i="8" l="1"/>
  <c r="R7" i="8" s="1"/>
  <c r="I125" i="8"/>
  <c r="S7" i="8" s="1"/>
  <c r="I90" i="8"/>
  <c r="S6" i="8" s="1"/>
  <c r="H41" i="8"/>
  <c r="R5" i="8" s="1"/>
  <c r="H90" i="8"/>
  <c r="I41" i="8"/>
  <c r="D264" i="7"/>
  <c r="G264" i="7" s="1"/>
  <c r="D236" i="7"/>
  <c r="G236" i="7" s="1"/>
  <c r="D237" i="7"/>
  <c r="G237" i="7" s="1"/>
  <c r="D255" i="7"/>
  <c r="G255" i="7" s="1"/>
  <c r="D214" i="7"/>
  <c r="G214" i="7" s="1"/>
  <c r="D215" i="7"/>
  <c r="G215" i="7" s="1"/>
  <c r="D295" i="7"/>
  <c r="G295" i="7" s="1"/>
  <c r="D294" i="7"/>
  <c r="G294" i="7" s="1"/>
  <c r="D293" i="7"/>
  <c r="G293" i="7" s="1"/>
  <c r="D292" i="7"/>
  <c r="G292" i="7" s="1"/>
  <c r="D291" i="7"/>
  <c r="G291" i="7" s="1"/>
  <c r="D290" i="7"/>
  <c r="G290" i="7" s="1"/>
  <c r="D289" i="7"/>
  <c r="G289" i="7" s="1"/>
  <c r="D288" i="7"/>
  <c r="G288" i="7" s="1"/>
  <c r="D287" i="7"/>
  <c r="G287" i="7" s="1"/>
  <c r="D286" i="7"/>
  <c r="G286" i="7" s="1"/>
  <c r="D285" i="7"/>
  <c r="G285" i="7" s="1"/>
  <c r="D284" i="7"/>
  <c r="G284" i="7" s="1"/>
  <c r="D283" i="7"/>
  <c r="G283" i="7" s="1"/>
  <c r="D282" i="7"/>
  <c r="G282" i="7" s="1"/>
  <c r="D281" i="7"/>
  <c r="G281" i="7" s="1"/>
  <c r="D280" i="7"/>
  <c r="G280" i="7" s="1"/>
  <c r="D279" i="7"/>
  <c r="G279" i="7" s="1"/>
  <c r="D278" i="7"/>
  <c r="G278" i="7" s="1"/>
  <c r="D277" i="7"/>
  <c r="G277" i="7" s="1"/>
  <c r="D276" i="7"/>
  <c r="G276" i="7" s="1"/>
  <c r="D275" i="7"/>
  <c r="G275" i="7" s="1"/>
  <c r="D274" i="7"/>
  <c r="G274" i="7" s="1"/>
  <c r="D270" i="7"/>
  <c r="G270" i="7" s="1"/>
  <c r="D273" i="7"/>
  <c r="G273" i="7" s="1"/>
  <c r="D272" i="7"/>
  <c r="G272" i="7" s="1"/>
  <c r="D271" i="7"/>
  <c r="G271" i="7" s="1"/>
  <c r="D253" i="7"/>
  <c r="G253" i="7" s="1"/>
  <c r="D269" i="7"/>
  <c r="G269" i="7" s="1"/>
  <c r="D268" i="7"/>
  <c r="G268" i="7" s="1"/>
  <c r="D267" i="7"/>
  <c r="G267" i="7" s="1"/>
  <c r="D266" i="7"/>
  <c r="G266" i="7" s="1"/>
  <c r="D265" i="7"/>
  <c r="G265" i="7" s="1"/>
  <c r="D263" i="7"/>
  <c r="G263" i="7" s="1"/>
  <c r="D262" i="7"/>
  <c r="G262" i="7" s="1"/>
  <c r="D261" i="7"/>
  <c r="G261" i="7" s="1"/>
  <c r="D260" i="7"/>
  <c r="G260" i="7" s="1"/>
  <c r="D259" i="7"/>
  <c r="G259" i="7" s="1"/>
  <c r="D258" i="7"/>
  <c r="G258" i="7" s="1"/>
  <c r="D257" i="7"/>
  <c r="G257" i="7" s="1"/>
  <c r="D256" i="7"/>
  <c r="G256" i="7" s="1"/>
  <c r="D254" i="7"/>
  <c r="G254" i="7" s="1"/>
  <c r="D252" i="7"/>
  <c r="G252" i="7" s="1"/>
  <c r="D251" i="7"/>
  <c r="G251" i="7" s="1"/>
  <c r="D250" i="7"/>
  <c r="G250" i="7" s="1"/>
  <c r="D249" i="7"/>
  <c r="G249" i="7" s="1"/>
  <c r="D248" i="7"/>
  <c r="G248" i="7" s="1"/>
  <c r="D247" i="7"/>
  <c r="G247" i="7" s="1"/>
  <c r="D246" i="7"/>
  <c r="G246" i="7" s="1"/>
  <c r="D245" i="7"/>
  <c r="G245" i="7" s="1"/>
  <c r="D244" i="7"/>
  <c r="G244" i="7" s="1"/>
  <c r="D243" i="7"/>
  <c r="G243" i="7" s="1"/>
  <c r="D242" i="7"/>
  <c r="G242" i="7" s="1"/>
  <c r="D239" i="7"/>
  <c r="G239" i="7" s="1"/>
  <c r="D241" i="7"/>
  <c r="G241" i="7" s="1"/>
  <c r="D240" i="7"/>
  <c r="G240" i="7" s="1"/>
  <c r="D238" i="7"/>
  <c r="G238" i="7" s="1"/>
  <c r="D235" i="7"/>
  <c r="G235" i="7" s="1"/>
  <c r="D234" i="7"/>
  <c r="G234" i="7" s="1"/>
  <c r="D233" i="7"/>
  <c r="G233" i="7" s="1"/>
  <c r="D232" i="7"/>
  <c r="G232" i="7" s="1"/>
  <c r="D231" i="7"/>
  <c r="G231" i="7" s="1"/>
  <c r="D230" i="7"/>
  <c r="G230" i="7" s="1"/>
  <c r="D229" i="7"/>
  <c r="G229" i="7" s="1"/>
  <c r="D228" i="7"/>
  <c r="G228" i="7" s="1"/>
  <c r="D227" i="7"/>
  <c r="G227" i="7" s="1"/>
  <c r="D226" i="7"/>
  <c r="G226" i="7" s="1"/>
  <c r="D225" i="7"/>
  <c r="G225" i="7" s="1"/>
  <c r="D224" i="7"/>
  <c r="G224" i="7" s="1"/>
  <c r="D223" i="7"/>
  <c r="G223" i="7" s="1"/>
  <c r="D222" i="7"/>
  <c r="G222" i="7" s="1"/>
  <c r="D221" i="7"/>
  <c r="G221" i="7" s="1"/>
  <c r="D220" i="7"/>
  <c r="G220" i="7" s="1"/>
  <c r="D219" i="7"/>
  <c r="G219" i="7" s="1"/>
  <c r="D218" i="7"/>
  <c r="G218" i="7" s="1"/>
  <c r="D217" i="7"/>
  <c r="G217" i="7" s="1"/>
  <c r="D216" i="7"/>
  <c r="G216" i="7" s="1"/>
  <c r="D213" i="7"/>
  <c r="G213" i="7" s="1"/>
  <c r="D212" i="7"/>
  <c r="G212" i="7" s="1"/>
  <c r="D211" i="7"/>
  <c r="G211" i="7" s="1"/>
  <c r="D210" i="7"/>
  <c r="G210" i="7" s="1"/>
  <c r="D209" i="7"/>
  <c r="G209" i="7" s="1"/>
  <c r="D208" i="7"/>
  <c r="G208" i="7" s="1"/>
  <c r="D207" i="7"/>
  <c r="G207" i="7" s="1"/>
  <c r="D206" i="7"/>
  <c r="G206" i="7" s="1"/>
  <c r="D205" i="7"/>
  <c r="G205" i="7" s="1"/>
  <c r="D204" i="7"/>
  <c r="G204" i="7" s="1"/>
  <c r="D203" i="7"/>
  <c r="G203" i="7" s="1"/>
  <c r="D202" i="7"/>
  <c r="G202" i="7" s="1"/>
  <c r="T7" i="8" l="1"/>
  <c r="I42" i="8"/>
  <c r="S5" i="8"/>
  <c r="S8" i="8" s="1"/>
  <c r="I91" i="8"/>
  <c r="R6" i="8"/>
  <c r="T6" i="8" s="1"/>
  <c r="R8" i="8"/>
  <c r="T5" i="8"/>
  <c r="T8" i="8" s="1"/>
  <c r="I126" i="8"/>
  <c r="G296" i="7"/>
  <c r="N7" i="7" s="1"/>
  <c r="D107" i="7"/>
  <c r="G107" i="7" s="1"/>
  <c r="D108" i="7"/>
  <c r="G108" i="7" s="1"/>
  <c r="D130" i="7"/>
  <c r="G130" i="7" s="1"/>
  <c r="D131" i="7"/>
  <c r="G131" i="7" s="1"/>
  <c r="D197" i="7" l="1"/>
  <c r="G197" i="7" s="1"/>
  <c r="D196" i="7"/>
  <c r="G196" i="7" s="1"/>
  <c r="D195" i="7"/>
  <c r="G195" i="7" s="1"/>
  <c r="D194" i="7"/>
  <c r="G194" i="7" s="1"/>
  <c r="D193" i="7"/>
  <c r="G193" i="7" s="1"/>
  <c r="D192" i="7"/>
  <c r="G192" i="7" s="1"/>
  <c r="D191" i="7"/>
  <c r="G191" i="7" s="1"/>
  <c r="D190" i="7"/>
  <c r="G190" i="7" s="1"/>
  <c r="D189" i="7"/>
  <c r="G189" i="7" s="1"/>
  <c r="D188" i="7"/>
  <c r="G188" i="7" s="1"/>
  <c r="D187" i="7"/>
  <c r="G187" i="7" s="1"/>
  <c r="D186" i="7"/>
  <c r="G186" i="7" s="1"/>
  <c r="D185" i="7"/>
  <c r="G185" i="7" s="1"/>
  <c r="D184" i="7"/>
  <c r="G184" i="7" s="1"/>
  <c r="D183" i="7"/>
  <c r="G183" i="7" s="1"/>
  <c r="D182" i="7"/>
  <c r="G182" i="7" s="1"/>
  <c r="D181" i="7"/>
  <c r="G181" i="7" s="1"/>
  <c r="D180" i="7"/>
  <c r="G180" i="7" s="1"/>
  <c r="D179" i="7"/>
  <c r="G179" i="7" s="1"/>
  <c r="D178" i="7"/>
  <c r="G178" i="7" s="1"/>
  <c r="D177" i="7"/>
  <c r="G177" i="7" s="1"/>
  <c r="D176" i="7"/>
  <c r="G176" i="7" s="1"/>
  <c r="D175" i="7"/>
  <c r="G175" i="7" s="1"/>
  <c r="D174" i="7"/>
  <c r="G174" i="7" s="1"/>
  <c r="D173" i="7"/>
  <c r="G173" i="7" s="1"/>
  <c r="D172" i="7"/>
  <c r="G172" i="7" s="1"/>
  <c r="D171" i="7"/>
  <c r="G171" i="7" s="1"/>
  <c r="D170" i="7"/>
  <c r="G170" i="7" s="1"/>
  <c r="D169" i="7"/>
  <c r="G169" i="7" s="1"/>
  <c r="D168" i="7"/>
  <c r="G168" i="7" s="1"/>
  <c r="D167" i="7"/>
  <c r="G167" i="7" s="1"/>
  <c r="D166" i="7"/>
  <c r="G166" i="7" s="1"/>
  <c r="D165" i="7"/>
  <c r="G165" i="7" s="1"/>
  <c r="D164" i="7"/>
  <c r="G164" i="7" s="1"/>
  <c r="D163" i="7"/>
  <c r="G163" i="7" s="1"/>
  <c r="D162" i="7"/>
  <c r="G162" i="7" s="1"/>
  <c r="D161" i="7"/>
  <c r="G161" i="7" s="1"/>
  <c r="D159" i="7"/>
  <c r="G159" i="7" s="1"/>
  <c r="D158" i="7"/>
  <c r="G158" i="7" s="1"/>
  <c r="D157" i="7"/>
  <c r="G157" i="7" s="1"/>
  <c r="D160" i="7"/>
  <c r="G160" i="7" s="1"/>
  <c r="D156" i="7"/>
  <c r="G156" i="7" s="1"/>
  <c r="D155" i="7"/>
  <c r="G155" i="7" s="1"/>
  <c r="D154" i="7"/>
  <c r="G154" i="7" s="1"/>
  <c r="D153" i="7"/>
  <c r="G153" i="7" s="1"/>
  <c r="D152" i="7"/>
  <c r="G152" i="7" s="1"/>
  <c r="D151" i="7"/>
  <c r="G151" i="7" s="1"/>
  <c r="D149" i="7"/>
  <c r="G149" i="7" s="1"/>
  <c r="D150" i="7"/>
  <c r="G150" i="7" s="1"/>
  <c r="D148" i="7"/>
  <c r="G148" i="7" s="1"/>
  <c r="D146" i="7"/>
  <c r="G146" i="7" s="1"/>
  <c r="D145" i="7"/>
  <c r="G145" i="7" s="1"/>
  <c r="D147" i="7"/>
  <c r="G147" i="7" s="1"/>
  <c r="D144" i="7"/>
  <c r="G144" i="7" s="1"/>
  <c r="D143" i="7"/>
  <c r="G143" i="7" s="1"/>
  <c r="D142" i="7"/>
  <c r="G142" i="7" s="1"/>
  <c r="D141" i="7"/>
  <c r="G141" i="7" s="1"/>
  <c r="D140" i="7"/>
  <c r="G140" i="7" s="1"/>
  <c r="D139" i="7"/>
  <c r="G139" i="7" s="1"/>
  <c r="D138" i="7"/>
  <c r="G138" i="7" s="1"/>
  <c r="D137" i="7"/>
  <c r="G137" i="7" s="1"/>
  <c r="D136" i="7"/>
  <c r="G136" i="7" s="1"/>
  <c r="D135" i="7"/>
  <c r="G135" i="7" s="1"/>
  <c r="D134" i="7"/>
  <c r="G134" i="7" s="1"/>
  <c r="D133" i="7"/>
  <c r="G133" i="7" s="1"/>
  <c r="D132" i="7"/>
  <c r="G132" i="7" s="1"/>
  <c r="D129" i="7"/>
  <c r="G129" i="7" s="1"/>
  <c r="D128" i="7"/>
  <c r="G128" i="7" s="1"/>
  <c r="D127" i="7"/>
  <c r="G127" i="7" s="1"/>
  <c r="D126" i="7"/>
  <c r="G126" i="7" s="1"/>
  <c r="D125" i="7"/>
  <c r="G125" i="7" s="1"/>
  <c r="D124" i="7"/>
  <c r="G124" i="7" s="1"/>
  <c r="D114" i="7"/>
  <c r="G114" i="7" s="1"/>
  <c r="D123" i="7"/>
  <c r="G123" i="7" s="1"/>
  <c r="D122" i="7"/>
  <c r="G122" i="7" s="1"/>
  <c r="D121" i="7"/>
  <c r="G121" i="7" s="1"/>
  <c r="D117" i="7"/>
  <c r="G117" i="7" s="1"/>
  <c r="D119" i="7"/>
  <c r="G119" i="7" s="1"/>
  <c r="D118" i="7"/>
  <c r="G118" i="7" s="1"/>
  <c r="D115" i="7"/>
  <c r="G115" i="7" s="1"/>
  <c r="D110" i="7"/>
  <c r="G110" i="7" s="1"/>
  <c r="D111" i="7"/>
  <c r="G111" i="7" s="1"/>
  <c r="D112" i="7"/>
  <c r="G112" i="7" s="1"/>
  <c r="D116" i="7"/>
  <c r="G116" i="7" s="1"/>
  <c r="D113" i="7"/>
  <c r="G113" i="7" s="1"/>
  <c r="D109" i="7"/>
  <c r="G109" i="7" s="1"/>
  <c r="D106" i="7"/>
  <c r="G106" i="7" s="1"/>
  <c r="D105" i="7"/>
  <c r="G105" i="7" s="1"/>
  <c r="D103" i="7"/>
  <c r="G103" i="7" s="1"/>
  <c r="D102" i="7"/>
  <c r="G102" i="7" s="1"/>
  <c r="D104" i="7"/>
  <c r="G104" i="7" s="1"/>
  <c r="D100" i="7"/>
  <c r="G100" i="7" s="1"/>
  <c r="D120" i="7" l="1"/>
  <c r="G120" i="7" s="1"/>
  <c r="D101" i="7"/>
  <c r="G101" i="7" s="1"/>
  <c r="D98" i="7"/>
  <c r="G98" i="7" s="1"/>
  <c r="D97" i="7"/>
  <c r="G97" i="7" s="1"/>
  <c r="D96" i="7"/>
  <c r="G96" i="7" s="1"/>
  <c r="D95" i="7" l="1"/>
  <c r="G95" i="7" s="1"/>
  <c r="D99" i="7"/>
  <c r="G99" i="7" s="1"/>
  <c r="D24" i="7"/>
  <c r="G24" i="7" s="1"/>
  <c r="D26" i="7"/>
  <c r="G26" i="7" s="1"/>
  <c r="D89" i="7"/>
  <c r="G89" i="7" s="1"/>
  <c r="D88" i="7"/>
  <c r="G88" i="7" s="1"/>
  <c r="D87" i="7"/>
  <c r="G87" i="7" s="1"/>
  <c r="D86" i="7"/>
  <c r="G86" i="7" s="1"/>
  <c r="D85" i="7"/>
  <c r="G85" i="7" s="1"/>
  <c r="D84" i="7"/>
  <c r="G84" i="7" s="1"/>
  <c r="D83" i="7"/>
  <c r="G83" i="7" s="1"/>
  <c r="D81" i="7"/>
  <c r="G81" i="7" s="1"/>
  <c r="D80" i="7"/>
  <c r="G80" i="7" s="1"/>
  <c r="D78" i="7"/>
  <c r="G78" i="7" s="1"/>
  <c r="D77" i="7"/>
  <c r="G77" i="7" s="1"/>
  <c r="D75" i="7"/>
  <c r="G75" i="7" s="1"/>
  <c r="D74" i="7"/>
  <c r="G74" i="7" s="1"/>
  <c r="D73" i="7"/>
  <c r="G73" i="7" s="1"/>
  <c r="D72" i="7"/>
  <c r="G72" i="7" s="1"/>
  <c r="D71" i="7"/>
  <c r="G71" i="7" s="1"/>
  <c r="D70" i="7"/>
  <c r="G70" i="7" s="1"/>
  <c r="D69" i="7"/>
  <c r="G69" i="7" s="1"/>
  <c r="D68" i="7"/>
  <c r="G68" i="7" s="1"/>
  <c r="D67" i="7"/>
  <c r="G67" i="7" s="1"/>
  <c r="D66" i="7"/>
  <c r="G66" i="7" s="1"/>
  <c r="D65" i="7"/>
  <c r="G65" i="7" s="1"/>
  <c r="D64" i="7"/>
  <c r="G64" i="7" s="1"/>
  <c r="D63" i="7"/>
  <c r="G63" i="7" s="1"/>
  <c r="D62" i="7"/>
  <c r="G62" i="7" s="1"/>
  <c r="D61" i="7"/>
  <c r="G61" i="7" s="1"/>
  <c r="D60" i="7"/>
  <c r="G60" i="7" s="1"/>
  <c r="D59" i="7"/>
  <c r="G59" i="7" s="1"/>
  <c r="D58" i="7"/>
  <c r="G58" i="7" s="1"/>
  <c r="D57" i="7"/>
  <c r="G57" i="7" s="1"/>
  <c r="D56" i="7"/>
  <c r="G56" i="7" s="1"/>
  <c r="D55" i="7"/>
  <c r="G55" i="7" s="1"/>
  <c r="D54" i="7"/>
  <c r="G54" i="7" s="1"/>
  <c r="D53" i="7"/>
  <c r="G53" i="7" s="1"/>
  <c r="D52" i="7"/>
  <c r="G52" i="7" s="1"/>
  <c r="D51" i="7"/>
  <c r="G51" i="7" s="1"/>
  <c r="D50" i="7"/>
  <c r="G50" i="7" s="1"/>
  <c r="D45" i="7"/>
  <c r="G45" i="7" s="1"/>
  <c r="D49" i="7"/>
  <c r="G49" i="7" s="1"/>
  <c r="D48" i="7"/>
  <c r="G48" i="7" s="1"/>
  <c r="D46" i="7"/>
  <c r="G46" i="7" s="1"/>
  <c r="D44" i="7"/>
  <c r="G44" i="7" s="1"/>
  <c r="D42" i="7"/>
  <c r="G42" i="7" s="1"/>
  <c r="D41" i="7"/>
  <c r="G41" i="7" s="1"/>
  <c r="D37" i="7"/>
  <c r="G37" i="7" s="1"/>
  <c r="D36" i="7"/>
  <c r="G36" i="7" s="1"/>
  <c r="D35" i="7"/>
  <c r="G35" i="7" s="1"/>
  <c r="D33" i="7"/>
  <c r="G33" i="7" s="1"/>
  <c r="D30" i="7"/>
  <c r="G30" i="7" s="1"/>
  <c r="D27" i="7"/>
  <c r="G27" i="7" s="1"/>
  <c r="D25" i="7"/>
  <c r="G25" i="7" s="1"/>
  <c r="D22" i="7"/>
  <c r="G22" i="7" s="1"/>
  <c r="D21" i="7"/>
  <c r="G21" i="7" s="1"/>
  <c r="D19" i="7"/>
  <c r="G19" i="7" s="1"/>
  <c r="D16" i="7"/>
  <c r="G16" i="7" s="1"/>
  <c r="D15" i="7"/>
  <c r="G15" i="7" s="1"/>
  <c r="D8" i="7"/>
  <c r="G8" i="7" s="1"/>
  <c r="D7" i="7"/>
  <c r="G7" i="7" s="1"/>
  <c r="D5" i="7"/>
  <c r="G5" i="7" s="1"/>
  <c r="D43" i="7" l="1"/>
  <c r="G43" i="7" s="1"/>
  <c r="D76" i="7"/>
  <c r="G76" i="7" s="1"/>
  <c r="D4" i="7"/>
  <c r="G4" i="7" s="1"/>
  <c r="G198" i="7"/>
  <c r="N6" i="7" s="1"/>
  <c r="D28" i="7"/>
  <c r="G28" i="7" s="1"/>
  <c r="D20" i="7"/>
  <c r="G20" i="7" s="1"/>
  <c r="D79" i="7"/>
  <c r="G79" i="7" s="1"/>
  <c r="D29" i="7"/>
  <c r="G29" i="7" s="1"/>
  <c r="D11" i="7"/>
  <c r="G11" i="7" s="1"/>
  <c r="D17" i="7"/>
  <c r="G17" i="7" s="1"/>
  <c r="D23" i="7"/>
  <c r="G23" i="7" s="1"/>
  <c r="D9" i="7"/>
  <c r="G9" i="7" s="1"/>
  <c r="D10" i="7"/>
  <c r="G10" i="7" s="1"/>
  <c r="D12" i="7"/>
  <c r="G12" i="7" s="1"/>
  <c r="D31" i="7"/>
  <c r="G31" i="7" s="1"/>
  <c r="D38" i="7"/>
  <c r="G38" i="7" s="1"/>
  <c r="D82" i="7"/>
  <c r="G82" i="7" s="1"/>
  <c r="D14" i="7"/>
  <c r="G14" i="7" s="1"/>
  <c r="D39" i="7"/>
  <c r="G39" i="7" s="1"/>
  <c r="D6" i="7"/>
  <c r="G6" i="7" s="1"/>
  <c r="D32" i="7"/>
  <c r="G32" i="7" s="1"/>
  <c r="D18" i="7"/>
  <c r="G18" i="7" s="1"/>
  <c r="D40" i="7"/>
  <c r="G40" i="7" s="1"/>
  <c r="D34" i="7"/>
  <c r="G34" i="7" s="1"/>
  <c r="D47" i="7"/>
  <c r="G47" i="7" s="1"/>
  <c r="D13" i="7"/>
  <c r="G13" i="7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G90" i="7" l="1"/>
  <c r="N5" i="7" s="1"/>
  <c r="N8" i="7" s="1"/>
  <c r="H90" i="5"/>
  <c r="G90" i="5"/>
  <c r="G91" i="5" s="1"/>
  <c r="G45" i="5"/>
  <c r="H45" i="5"/>
  <c r="H47" i="6"/>
  <c r="O7" i="6" s="1"/>
  <c r="O8" i="6" s="1"/>
  <c r="G128" i="5"/>
  <c r="H128" i="5"/>
  <c r="AD73" i="4"/>
  <c r="C232" i="3" s="1"/>
  <c r="AD72" i="4"/>
  <c r="C231" i="3" s="1"/>
  <c r="AD71" i="4"/>
  <c r="C230" i="3" s="1"/>
  <c r="AD70" i="4"/>
  <c r="C229" i="3" s="1"/>
  <c r="AD69" i="4"/>
  <c r="C228" i="3" s="1"/>
  <c r="AD68" i="4"/>
  <c r="C227" i="3" s="1"/>
  <c r="AD67" i="4"/>
  <c r="C226" i="3" s="1"/>
  <c r="AD66" i="4"/>
  <c r="C225" i="3" s="1"/>
  <c r="AD65" i="4"/>
  <c r="C224" i="3" s="1"/>
  <c r="AD64" i="4"/>
  <c r="C223" i="3" s="1"/>
  <c r="AD63" i="4"/>
  <c r="C222" i="3" s="1"/>
  <c r="AD62" i="4"/>
  <c r="C221" i="3" s="1"/>
  <c r="AD61" i="4"/>
  <c r="C220" i="3" s="1"/>
  <c r="AD60" i="4"/>
  <c r="C219" i="3" s="1"/>
  <c r="AD59" i="4"/>
  <c r="C218" i="3" s="1"/>
  <c r="AD58" i="4"/>
  <c r="C217" i="3" s="1"/>
  <c r="AD57" i="4"/>
  <c r="C216" i="3" s="1"/>
  <c r="AD56" i="4"/>
  <c r="C215" i="3" s="1"/>
  <c r="AD55" i="4"/>
  <c r="C214" i="3" s="1"/>
  <c r="AD54" i="4"/>
  <c r="C213" i="3" s="1"/>
  <c r="AD53" i="4"/>
  <c r="C212" i="3" s="1"/>
  <c r="AD52" i="4"/>
  <c r="C211" i="3" s="1"/>
  <c r="AD51" i="4"/>
  <c r="C210" i="3" s="1"/>
  <c r="AD50" i="4"/>
  <c r="C209" i="3" s="1"/>
  <c r="AD49" i="4"/>
  <c r="C208" i="3" s="1"/>
  <c r="AD48" i="4"/>
  <c r="C207" i="3" s="1"/>
  <c r="AD47" i="4"/>
  <c r="C206" i="3" s="1"/>
  <c r="AD46" i="4"/>
  <c r="C205" i="3" s="1"/>
  <c r="AD45" i="4"/>
  <c r="C204" i="3" s="1"/>
  <c r="AD44" i="4"/>
  <c r="C203" i="3" s="1"/>
  <c r="AD43" i="4"/>
  <c r="C202" i="3" s="1"/>
  <c r="AD42" i="4"/>
  <c r="C201" i="3" s="1"/>
  <c r="AD41" i="4"/>
  <c r="C200" i="3" s="1"/>
  <c r="AD40" i="4"/>
  <c r="C199" i="3" s="1"/>
  <c r="AD39" i="4"/>
  <c r="C198" i="3" s="1"/>
  <c r="AD38" i="4"/>
  <c r="C197" i="3" s="1"/>
  <c r="AD37" i="4"/>
  <c r="C196" i="3" s="1"/>
  <c r="AD36" i="4"/>
  <c r="C195" i="3" s="1"/>
  <c r="AD35" i="4"/>
  <c r="C194" i="3" s="1"/>
  <c r="AD34" i="4"/>
  <c r="C193" i="3" s="1"/>
  <c r="AD33" i="4"/>
  <c r="C192" i="3" s="1"/>
  <c r="AD32" i="4"/>
  <c r="C191" i="3" s="1"/>
  <c r="AD31" i="4"/>
  <c r="C190" i="3" s="1"/>
  <c r="AD30" i="4"/>
  <c r="C189" i="3" s="1"/>
  <c r="AD29" i="4"/>
  <c r="C188" i="3" s="1"/>
  <c r="AD28" i="4"/>
  <c r="C187" i="3" s="1"/>
  <c r="AD27" i="4"/>
  <c r="C186" i="3" s="1"/>
  <c r="AD26" i="4"/>
  <c r="C185" i="3" s="1"/>
  <c r="AD25" i="4"/>
  <c r="C184" i="3" s="1"/>
  <c r="AD24" i="4"/>
  <c r="C183" i="3" s="1"/>
  <c r="AD23" i="4"/>
  <c r="C182" i="3" s="1"/>
  <c r="AD22" i="4"/>
  <c r="C181" i="3" s="1"/>
  <c r="AD21" i="4"/>
  <c r="C180" i="3" s="1"/>
  <c r="AD20" i="4"/>
  <c r="C179" i="3" s="1"/>
  <c r="AD19" i="4"/>
  <c r="C178" i="3" s="1"/>
  <c r="AD18" i="4"/>
  <c r="C177" i="3" s="1"/>
  <c r="AD17" i="4"/>
  <c r="C176" i="3" s="1"/>
  <c r="AD16" i="4"/>
  <c r="C175" i="3" s="1"/>
  <c r="AD15" i="4"/>
  <c r="C174" i="3" s="1"/>
  <c r="AD14" i="4"/>
  <c r="C173" i="3" s="1"/>
  <c r="AD13" i="4"/>
  <c r="C172" i="3" s="1"/>
  <c r="AD12" i="4"/>
  <c r="C171" i="3" s="1"/>
  <c r="AD11" i="4"/>
  <c r="C170" i="3" s="1"/>
  <c r="AD10" i="4"/>
  <c r="C169" i="3" s="1"/>
  <c r="AD9" i="4"/>
  <c r="C168" i="3" s="1"/>
  <c r="AD8" i="4"/>
  <c r="C167" i="3" s="1"/>
  <c r="AD7" i="4"/>
  <c r="C166" i="3" s="1"/>
  <c r="AD6" i="4"/>
  <c r="C165" i="3" s="1"/>
  <c r="AD5" i="4"/>
  <c r="C164" i="3" s="1"/>
  <c r="AD4" i="4"/>
  <c r="C163" i="3" s="1"/>
  <c r="Y4" i="4"/>
  <c r="C4" i="3" s="1"/>
  <c r="Y5" i="4"/>
  <c r="C5" i="3" s="1"/>
  <c r="Y6" i="4"/>
  <c r="C6" i="3" s="1"/>
  <c r="Y7" i="4"/>
  <c r="C7" i="3" s="1"/>
  <c r="Y8" i="4"/>
  <c r="C8" i="3" s="1"/>
  <c r="Y9" i="4"/>
  <c r="C9" i="3" s="1"/>
  <c r="Y10" i="4"/>
  <c r="C10" i="3" s="1"/>
  <c r="Y11" i="4"/>
  <c r="C11" i="3" s="1"/>
  <c r="Y12" i="4"/>
  <c r="C12" i="3" s="1"/>
  <c r="Y13" i="4"/>
  <c r="C13" i="3" s="1"/>
  <c r="Y14" i="4"/>
  <c r="C14" i="3" s="1"/>
  <c r="Y15" i="4"/>
  <c r="C15" i="3" s="1"/>
  <c r="Y16" i="4"/>
  <c r="C16" i="3" s="1"/>
  <c r="Y17" i="4"/>
  <c r="C17" i="3" s="1"/>
  <c r="Y18" i="4"/>
  <c r="C18" i="3" s="1"/>
  <c r="Y19" i="4"/>
  <c r="C19" i="3" s="1"/>
  <c r="Y20" i="4"/>
  <c r="C20" i="3" s="1"/>
  <c r="Y21" i="4"/>
  <c r="C21" i="3" s="1"/>
  <c r="Y22" i="4"/>
  <c r="C22" i="3" s="1"/>
  <c r="Y23" i="4"/>
  <c r="Y24" i="4"/>
  <c r="C23" i="3" s="1"/>
  <c r="Y25" i="4"/>
  <c r="C24" i="3" s="1"/>
  <c r="Y26" i="4"/>
  <c r="C25" i="3" s="1"/>
  <c r="Y27" i="4"/>
  <c r="C26" i="3" s="1"/>
  <c r="Y28" i="4"/>
  <c r="C27" i="3" s="1"/>
  <c r="Y29" i="4"/>
  <c r="C28" i="3" s="1"/>
  <c r="Y30" i="4"/>
  <c r="C29" i="3" s="1"/>
  <c r="Y31" i="4"/>
  <c r="C30" i="3" s="1"/>
  <c r="Y32" i="4"/>
  <c r="C31" i="3" s="1"/>
  <c r="Y33" i="4"/>
  <c r="C32" i="3" s="1"/>
  <c r="Y34" i="4"/>
  <c r="C33" i="3" s="1"/>
  <c r="Y35" i="4"/>
  <c r="C34" i="3" s="1"/>
  <c r="Y36" i="4"/>
  <c r="C35" i="3" s="1"/>
  <c r="Y37" i="4"/>
  <c r="C36" i="3" s="1"/>
  <c r="Y38" i="4"/>
  <c r="C37" i="3" s="1"/>
  <c r="Y39" i="4"/>
  <c r="C38" i="3" s="1"/>
  <c r="Y40" i="4"/>
  <c r="C39" i="3" s="1"/>
  <c r="Y41" i="4"/>
  <c r="C40" i="3" s="1"/>
  <c r="Y42" i="4"/>
  <c r="C41" i="3" s="1"/>
  <c r="Y43" i="4"/>
  <c r="C42" i="3" s="1"/>
  <c r="Y44" i="4"/>
  <c r="C43" i="3" s="1"/>
  <c r="Y45" i="4"/>
  <c r="C44" i="3" s="1"/>
  <c r="Y46" i="4"/>
  <c r="C45" i="3" s="1"/>
  <c r="Y47" i="4"/>
  <c r="Y48" i="4"/>
  <c r="C46" i="3" s="1"/>
  <c r="Y49" i="4"/>
  <c r="C47" i="3" s="1"/>
  <c r="Y50" i="4"/>
  <c r="C48" i="3" s="1"/>
  <c r="Y51" i="4"/>
  <c r="C49" i="3" s="1"/>
  <c r="Y52" i="4"/>
  <c r="C50" i="3" s="1"/>
  <c r="Y53" i="4"/>
  <c r="C51" i="3" s="1"/>
  <c r="Y54" i="4"/>
  <c r="C52" i="3" s="1"/>
  <c r="Y55" i="4"/>
  <c r="C53" i="3" s="1"/>
  <c r="Y56" i="4"/>
  <c r="C54" i="3" s="1"/>
  <c r="Y57" i="4"/>
  <c r="C55" i="3" s="1"/>
  <c r="Y58" i="4"/>
  <c r="C56" i="3" s="1"/>
  <c r="Y59" i="4"/>
  <c r="C57" i="3" s="1"/>
  <c r="Y60" i="4"/>
  <c r="C58" i="3" s="1"/>
  <c r="Y61" i="4"/>
  <c r="C59" i="3" s="1"/>
  <c r="Y62" i="4"/>
  <c r="C60" i="3" s="1"/>
  <c r="Y63" i="4"/>
  <c r="C61" i="3" s="1"/>
  <c r="Y64" i="4"/>
  <c r="C62" i="3" s="1"/>
  <c r="Y65" i="4"/>
  <c r="C63" i="3" s="1"/>
  <c r="Y66" i="4"/>
  <c r="C64" i="3" s="1"/>
  <c r="Y67" i="4"/>
  <c r="C65" i="3" s="1"/>
  <c r="Y68" i="4"/>
  <c r="C66" i="3" s="1"/>
  <c r="Y69" i="4"/>
  <c r="C67" i="3" s="1"/>
  <c r="Y70" i="4"/>
  <c r="C68" i="3" s="1"/>
  <c r="Y71" i="4"/>
  <c r="C69" i="3" s="1"/>
  <c r="Y73" i="4"/>
  <c r="C70" i="3" s="1"/>
  <c r="I228" i="3" l="1"/>
  <c r="H228" i="3"/>
  <c r="H36" i="3"/>
  <c r="I36" i="3"/>
  <c r="H24" i="3"/>
  <c r="I24" i="3"/>
  <c r="H13" i="3"/>
  <c r="I13" i="3"/>
  <c r="H58" i="3"/>
  <c r="I58" i="3"/>
  <c r="H35" i="3"/>
  <c r="I35" i="3"/>
  <c r="H23" i="3"/>
  <c r="I23" i="3"/>
  <c r="H12" i="3"/>
  <c r="I12" i="3"/>
  <c r="H59" i="3"/>
  <c r="I59" i="3"/>
  <c r="H69" i="3"/>
  <c r="I69" i="3"/>
  <c r="H57" i="3"/>
  <c r="I57" i="3"/>
  <c r="H34" i="3"/>
  <c r="I34" i="3"/>
  <c r="H11" i="3"/>
  <c r="I11" i="3"/>
  <c r="H47" i="3"/>
  <c r="I47" i="3"/>
  <c r="H68" i="3"/>
  <c r="I68" i="3"/>
  <c r="H56" i="3"/>
  <c r="I56" i="3"/>
  <c r="H45" i="3"/>
  <c r="I45" i="3"/>
  <c r="H33" i="3"/>
  <c r="I33" i="3"/>
  <c r="H22" i="3"/>
  <c r="I22" i="3"/>
  <c r="H10" i="3"/>
  <c r="I10" i="3"/>
  <c r="H44" i="3"/>
  <c r="I44" i="3"/>
  <c r="H32" i="3"/>
  <c r="I32" i="3"/>
  <c r="H21" i="3"/>
  <c r="I21" i="3"/>
  <c r="H9" i="3"/>
  <c r="I9" i="3"/>
  <c r="H67" i="3"/>
  <c r="I67" i="3"/>
  <c r="H43" i="3"/>
  <c r="I43" i="3"/>
  <c r="H31" i="3"/>
  <c r="I31" i="3"/>
  <c r="H20" i="3"/>
  <c r="I20" i="3"/>
  <c r="H8" i="3"/>
  <c r="I8" i="3"/>
  <c r="H70" i="3"/>
  <c r="I70" i="3"/>
  <c r="H54" i="3"/>
  <c r="I54" i="3"/>
  <c r="H53" i="3"/>
  <c r="I53" i="3"/>
  <c r="H42" i="3"/>
  <c r="I42" i="3"/>
  <c r="H30" i="3"/>
  <c r="I30" i="3"/>
  <c r="H19" i="3"/>
  <c r="I19" i="3"/>
  <c r="H7" i="3"/>
  <c r="I7" i="3"/>
  <c r="I62" i="3"/>
  <c r="H62" i="3"/>
  <c r="H55" i="3"/>
  <c r="I55" i="3"/>
  <c r="H64" i="3"/>
  <c r="I64" i="3"/>
  <c r="H41" i="3"/>
  <c r="I41" i="3"/>
  <c r="H18" i="3"/>
  <c r="I18" i="3"/>
  <c r="H6" i="3"/>
  <c r="I6" i="3"/>
  <c r="H46" i="3"/>
  <c r="I46" i="3"/>
  <c r="I66" i="3"/>
  <c r="H66" i="3"/>
  <c r="H65" i="3"/>
  <c r="I65" i="3"/>
  <c r="I52" i="3"/>
  <c r="H52" i="3"/>
  <c r="H29" i="3"/>
  <c r="I29" i="3"/>
  <c r="H63" i="3"/>
  <c r="I63" i="3"/>
  <c r="H51" i="3"/>
  <c r="I51" i="3"/>
  <c r="I40" i="3"/>
  <c r="H40" i="3"/>
  <c r="H28" i="3"/>
  <c r="I28" i="3"/>
  <c r="H17" i="3"/>
  <c r="I17" i="3"/>
  <c r="H5" i="3"/>
  <c r="I5" i="3"/>
  <c r="I50" i="3"/>
  <c r="H50" i="3"/>
  <c r="H27" i="3"/>
  <c r="I27" i="3"/>
  <c r="I16" i="3"/>
  <c r="H16" i="3"/>
  <c r="H61" i="3"/>
  <c r="I61" i="3"/>
  <c r="I38" i="3"/>
  <c r="H38" i="3"/>
  <c r="I26" i="3"/>
  <c r="H26" i="3"/>
  <c r="H15" i="3"/>
  <c r="I15" i="3"/>
  <c r="H39" i="3"/>
  <c r="I39" i="3"/>
  <c r="H4" i="3"/>
  <c r="I4" i="3"/>
  <c r="H49" i="3"/>
  <c r="I49" i="3"/>
  <c r="H60" i="3"/>
  <c r="I60" i="3"/>
  <c r="H48" i="3"/>
  <c r="I48" i="3"/>
  <c r="H37" i="3"/>
  <c r="I37" i="3"/>
  <c r="H25" i="3"/>
  <c r="I25" i="3"/>
  <c r="I14" i="3"/>
  <c r="H14" i="3"/>
  <c r="H184" i="3"/>
  <c r="I202" i="3"/>
  <c r="I208" i="3"/>
  <c r="H177" i="3"/>
  <c r="I219" i="3"/>
  <c r="H185" i="3"/>
  <c r="I194" i="3"/>
  <c r="H230" i="3"/>
  <c r="G129" i="5"/>
  <c r="H171" i="3"/>
  <c r="H232" i="3"/>
  <c r="G46" i="5"/>
  <c r="H168" i="3"/>
  <c r="H180" i="3"/>
  <c r="I192" i="3"/>
  <c r="I204" i="3"/>
  <c r="I216" i="3"/>
  <c r="I225" i="3"/>
  <c r="H169" i="3"/>
  <c r="I181" i="3"/>
  <c r="I193" i="3"/>
  <c r="H205" i="3"/>
  <c r="I217" i="3"/>
  <c r="I229" i="3"/>
  <c r="H170" i="3"/>
  <c r="H182" i="3"/>
  <c r="I206" i="3"/>
  <c r="H218" i="3"/>
  <c r="I196" i="3"/>
  <c r="I220" i="3"/>
  <c r="I174" i="3"/>
  <c r="I186" i="3"/>
  <c r="H198" i="3"/>
  <c r="I210" i="3"/>
  <c r="I222" i="3"/>
  <c r="I187" i="3"/>
  <c r="H199" i="3"/>
  <c r="I211" i="3"/>
  <c r="I223" i="3"/>
  <c r="H164" i="3"/>
  <c r="I176" i="3"/>
  <c r="H188" i="3"/>
  <c r="I200" i="3"/>
  <c r="I212" i="3"/>
  <c r="H224" i="3"/>
  <c r="I178" i="3"/>
  <c r="I190" i="3"/>
  <c r="I214" i="3"/>
  <c r="H226" i="3"/>
  <c r="H227" i="3"/>
  <c r="H195" i="3"/>
  <c r="H163" i="3"/>
  <c r="H191" i="3"/>
  <c r="H209" i="3"/>
  <c r="I221" i="3"/>
  <c r="H179" i="3"/>
  <c r="H189" i="3"/>
  <c r="I165" i="3"/>
  <c r="I175" i="3"/>
  <c r="I215" i="3"/>
  <c r="H167" i="3"/>
  <c r="H197" i="3"/>
  <c r="I207" i="3"/>
  <c r="I231" i="3"/>
  <c r="I173" i="3"/>
  <c r="H183" i="3"/>
  <c r="H203" i="3"/>
  <c r="I213" i="3"/>
  <c r="I172" i="3"/>
  <c r="H172" i="3"/>
  <c r="I201" i="3"/>
  <c r="H201" i="3"/>
  <c r="I166" i="3"/>
  <c r="H166" i="3"/>
  <c r="H202" i="3"/>
  <c r="I230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4" i="3"/>
  <c r="B145" i="3"/>
  <c r="B146" i="3"/>
  <c r="B147" i="3"/>
  <c r="B148" i="3"/>
  <c r="B149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157" i="3"/>
  <c r="B150" i="3"/>
  <c r="B151" i="3"/>
  <c r="B152" i="3"/>
  <c r="B153" i="3"/>
  <c r="B154" i="3"/>
  <c r="B155" i="3"/>
  <c r="B156" i="3"/>
  <c r="B78" i="3"/>
  <c r="C105" i="3" l="1"/>
  <c r="C151" i="3"/>
  <c r="C84" i="3"/>
  <c r="C106" i="3"/>
  <c r="C94" i="3"/>
  <c r="I94" i="3" s="1"/>
  <c r="C138" i="3"/>
  <c r="C126" i="3"/>
  <c r="C114" i="3"/>
  <c r="C82" i="3"/>
  <c r="C93" i="3"/>
  <c r="I93" i="3" s="1"/>
  <c r="C135" i="3"/>
  <c r="H135" i="3" s="1"/>
  <c r="C123" i="3"/>
  <c r="H123" i="3" s="1"/>
  <c r="C125" i="3"/>
  <c r="C104" i="3"/>
  <c r="C80" i="3"/>
  <c r="C121" i="3"/>
  <c r="I121" i="3" s="1"/>
  <c r="C150" i="3"/>
  <c r="C157" i="3"/>
  <c r="C92" i="3"/>
  <c r="C91" i="3"/>
  <c r="C132" i="3"/>
  <c r="C83" i="3"/>
  <c r="C103" i="3"/>
  <c r="I103" i="3" s="1"/>
  <c r="C122" i="3"/>
  <c r="H122" i="3" s="1"/>
  <c r="C133" i="3"/>
  <c r="C90" i="3"/>
  <c r="C100" i="3"/>
  <c r="C156" i="3"/>
  <c r="C111" i="3"/>
  <c r="I111" i="3" s="1"/>
  <c r="C119" i="3"/>
  <c r="C149" i="3"/>
  <c r="C124" i="3"/>
  <c r="C102" i="3"/>
  <c r="C79" i="3"/>
  <c r="H79" i="3" s="1"/>
  <c r="C89" i="3"/>
  <c r="H89" i="3" s="1"/>
  <c r="C99" i="3"/>
  <c r="H99" i="3" s="1"/>
  <c r="C131" i="3"/>
  <c r="C155" i="3"/>
  <c r="C88" i="3"/>
  <c r="C110" i="3"/>
  <c r="C98" i="3"/>
  <c r="H98" i="3" s="1"/>
  <c r="C142" i="3"/>
  <c r="C130" i="3"/>
  <c r="C118" i="3"/>
  <c r="C148" i="3"/>
  <c r="I148" i="3" s="1"/>
  <c r="C146" i="3"/>
  <c r="I146" i="3" s="1"/>
  <c r="C109" i="3"/>
  <c r="I109" i="3" s="1"/>
  <c r="C137" i="3"/>
  <c r="H137" i="3" s="1"/>
  <c r="C136" i="3"/>
  <c r="C147" i="3"/>
  <c r="C134" i="3"/>
  <c r="C145" i="3"/>
  <c r="H145" i="3" s="1"/>
  <c r="C78" i="3"/>
  <c r="H78" i="3" s="1"/>
  <c r="C144" i="3"/>
  <c r="H144" i="3" s="1"/>
  <c r="C154" i="3"/>
  <c r="C141" i="3"/>
  <c r="H141" i="3" s="1"/>
  <c r="C117" i="3"/>
  <c r="H117" i="3" s="1"/>
  <c r="C86" i="3"/>
  <c r="H86" i="3" s="1"/>
  <c r="C96" i="3"/>
  <c r="H96" i="3" s="1"/>
  <c r="C128" i="3"/>
  <c r="H128" i="3" s="1"/>
  <c r="C116" i="3"/>
  <c r="C113" i="3"/>
  <c r="C81" i="3"/>
  <c r="C101" i="3"/>
  <c r="I101" i="3" s="1"/>
  <c r="C112" i="3"/>
  <c r="C120" i="3"/>
  <c r="H120" i="3" s="1"/>
  <c r="C87" i="3"/>
  <c r="C97" i="3"/>
  <c r="C129" i="3"/>
  <c r="C153" i="3"/>
  <c r="I153" i="3" s="1"/>
  <c r="C108" i="3"/>
  <c r="I108" i="3" s="1"/>
  <c r="C140" i="3"/>
  <c r="H140" i="3" s="1"/>
  <c r="C152" i="3"/>
  <c r="C85" i="3"/>
  <c r="C107" i="3"/>
  <c r="C95" i="3"/>
  <c r="H95" i="3" s="1"/>
  <c r="C139" i="3"/>
  <c r="H139" i="3" s="1"/>
  <c r="C127" i="3"/>
  <c r="H127" i="3" s="1"/>
  <c r="C115" i="3"/>
  <c r="H115" i="3" s="1"/>
  <c r="I177" i="3"/>
  <c r="H225" i="3"/>
  <c r="I185" i="3"/>
  <c r="H219" i="3"/>
  <c r="H194" i="3"/>
  <c r="I184" i="3"/>
  <c r="I73" i="3"/>
  <c r="H73" i="3"/>
  <c r="H90" i="3"/>
  <c r="H100" i="3"/>
  <c r="I147" i="3"/>
  <c r="I134" i="3"/>
  <c r="H110" i="3"/>
  <c r="I142" i="3"/>
  <c r="I130" i="3"/>
  <c r="H129" i="3"/>
  <c r="H116" i="3"/>
  <c r="H155" i="3"/>
  <c r="H97" i="3"/>
  <c r="I127" i="3"/>
  <c r="H133" i="3"/>
  <c r="H154" i="3"/>
  <c r="H152" i="3"/>
  <c r="I151" i="3"/>
  <c r="H84" i="3"/>
  <c r="H106" i="3"/>
  <c r="H138" i="3"/>
  <c r="H126" i="3"/>
  <c r="H114" i="3"/>
  <c r="H102" i="3"/>
  <c r="I88" i="3"/>
  <c r="H85" i="3"/>
  <c r="I150" i="3"/>
  <c r="H83" i="3"/>
  <c r="H105" i="3"/>
  <c r="I149" i="3"/>
  <c r="H125" i="3"/>
  <c r="I113" i="3"/>
  <c r="H208" i="3"/>
  <c r="H91" i="3"/>
  <c r="H156" i="3"/>
  <c r="I87" i="3"/>
  <c r="H157" i="3"/>
  <c r="H104" i="3"/>
  <c r="H136" i="3"/>
  <c r="H124" i="3"/>
  <c r="I232" i="3"/>
  <c r="H181" i="3"/>
  <c r="I198" i="3"/>
  <c r="I169" i="3"/>
  <c r="I180" i="3"/>
  <c r="H173" i="3"/>
  <c r="H186" i="3"/>
  <c r="I168" i="3"/>
  <c r="H212" i="3"/>
  <c r="I171" i="3"/>
  <c r="H222" i="3"/>
  <c r="H193" i="3"/>
  <c r="H190" i="3"/>
  <c r="I182" i="3"/>
  <c r="H229" i="3"/>
  <c r="I170" i="3"/>
  <c r="I226" i="3"/>
  <c r="I164" i="3"/>
  <c r="I218" i="3"/>
  <c r="I227" i="3"/>
  <c r="H204" i="3"/>
  <c r="H211" i="3"/>
  <c r="I82" i="3"/>
  <c r="H187" i="3"/>
  <c r="H176" i="3"/>
  <c r="I183" i="3"/>
  <c r="I224" i="3"/>
  <c r="H200" i="3"/>
  <c r="I209" i="3"/>
  <c r="H196" i="3"/>
  <c r="I188" i="3"/>
  <c r="H220" i="3"/>
  <c r="H174" i="3"/>
  <c r="H206" i="3"/>
  <c r="H223" i="3"/>
  <c r="H214" i="3"/>
  <c r="H217" i="3"/>
  <c r="H165" i="3"/>
  <c r="I199" i="3"/>
  <c r="H216" i="3"/>
  <c r="H192" i="3"/>
  <c r="I195" i="3"/>
  <c r="H210" i="3"/>
  <c r="H178" i="3"/>
  <c r="I163" i="3"/>
  <c r="I107" i="3"/>
  <c r="I205" i="3"/>
  <c r="H221" i="3"/>
  <c r="I179" i="3"/>
  <c r="H231" i="3"/>
  <c r="I191" i="3"/>
  <c r="I189" i="3"/>
  <c r="H213" i="3"/>
  <c r="H207" i="3"/>
  <c r="I203" i="3"/>
  <c r="I167" i="3"/>
  <c r="H215" i="3"/>
  <c r="I197" i="3"/>
  <c r="H175" i="3"/>
  <c r="H81" i="3"/>
  <c r="I81" i="3"/>
  <c r="H92" i="3"/>
  <c r="I92" i="3"/>
  <c r="H112" i="3"/>
  <c r="I112" i="3"/>
  <c r="I144" i="3"/>
  <c r="I131" i="3"/>
  <c r="H131" i="3"/>
  <c r="I119" i="3"/>
  <c r="H119" i="3"/>
  <c r="I155" i="3"/>
  <c r="H88" i="3"/>
  <c r="H142" i="3"/>
  <c r="I118" i="3"/>
  <c r="H118" i="3"/>
  <c r="I80" i="3"/>
  <c r="H80" i="3"/>
  <c r="I90" i="3"/>
  <c r="I132" i="3"/>
  <c r="H132" i="3"/>
  <c r="H87" i="3"/>
  <c r="H151" i="3"/>
  <c r="I83" i="3"/>
  <c r="H149" i="3"/>
  <c r="H107" i="3"/>
  <c r="H147" i="3"/>
  <c r="I97" i="3"/>
  <c r="I95" i="3"/>
  <c r="K67" i="2"/>
  <c r="H67" i="2"/>
  <c r="G67" i="2"/>
  <c r="K66" i="2"/>
  <c r="H66" i="2"/>
  <c r="G66" i="2"/>
  <c r="K65" i="2"/>
  <c r="H65" i="2"/>
  <c r="G65" i="2"/>
  <c r="K64" i="2"/>
  <c r="H64" i="2"/>
  <c r="G64" i="2"/>
  <c r="K63" i="2"/>
  <c r="H63" i="2"/>
  <c r="G63" i="2"/>
  <c r="K62" i="2"/>
  <c r="H62" i="2"/>
  <c r="G62" i="2"/>
  <c r="K61" i="2"/>
  <c r="H61" i="2"/>
  <c r="G61" i="2"/>
  <c r="K60" i="2"/>
  <c r="H60" i="2"/>
  <c r="G60" i="2"/>
  <c r="K59" i="2"/>
  <c r="H59" i="2"/>
  <c r="G59" i="2"/>
  <c r="K58" i="2"/>
  <c r="H58" i="2"/>
  <c r="G58" i="2"/>
  <c r="K57" i="2"/>
  <c r="H57" i="2"/>
  <c r="G57" i="2"/>
  <c r="K56" i="2"/>
  <c r="H56" i="2"/>
  <c r="G56" i="2"/>
  <c r="K55" i="2"/>
  <c r="H55" i="2"/>
  <c r="G55" i="2"/>
  <c r="K54" i="2"/>
  <c r="H54" i="2"/>
  <c r="G54" i="2"/>
  <c r="K53" i="2"/>
  <c r="H53" i="2"/>
  <c r="G53" i="2"/>
  <c r="K52" i="2"/>
  <c r="H52" i="2"/>
  <c r="G52" i="2"/>
  <c r="K51" i="2"/>
  <c r="H51" i="2"/>
  <c r="G51" i="2"/>
  <c r="K50" i="2"/>
  <c r="H50" i="2"/>
  <c r="G50" i="2"/>
  <c r="K49" i="2"/>
  <c r="H49" i="2"/>
  <c r="G49" i="2"/>
  <c r="K48" i="2"/>
  <c r="H48" i="2"/>
  <c r="G48" i="2"/>
  <c r="K47" i="2"/>
  <c r="H47" i="2"/>
  <c r="G47" i="2"/>
  <c r="K46" i="2"/>
  <c r="H46" i="2"/>
  <c r="G46" i="2"/>
  <c r="K45" i="2"/>
  <c r="H45" i="2"/>
  <c r="G45" i="2"/>
  <c r="K44" i="2"/>
  <c r="H44" i="2"/>
  <c r="G44" i="2"/>
  <c r="K43" i="2"/>
  <c r="H43" i="2"/>
  <c r="G43" i="2"/>
  <c r="K42" i="2"/>
  <c r="H42" i="2"/>
  <c r="G42" i="2"/>
  <c r="K41" i="2"/>
  <c r="H41" i="2"/>
  <c r="G41" i="2"/>
  <c r="K40" i="2"/>
  <c r="H40" i="2"/>
  <c r="G40" i="2"/>
  <c r="K39" i="2"/>
  <c r="H39" i="2"/>
  <c r="G39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I122" i="3" l="1"/>
  <c r="I135" i="3"/>
  <c r="I137" i="3"/>
  <c r="H146" i="3"/>
  <c r="I117" i="3"/>
  <c r="I96" i="3"/>
  <c r="I78" i="3"/>
  <c r="H111" i="3"/>
  <c r="I140" i="3"/>
  <c r="I145" i="3"/>
  <c r="I139" i="3"/>
  <c r="H101" i="3"/>
  <c r="H103" i="3"/>
  <c r="H108" i="3"/>
  <c r="H93" i="3"/>
  <c r="I86" i="3"/>
  <c r="H150" i="3"/>
  <c r="I106" i="3"/>
  <c r="I84" i="3"/>
  <c r="I85" i="3"/>
  <c r="H153" i="3"/>
  <c r="H109" i="3"/>
  <c r="I116" i="3"/>
  <c r="I126" i="3"/>
  <c r="I133" i="3"/>
  <c r="I104" i="3"/>
  <c r="I100" i="3"/>
  <c r="H130" i="3"/>
  <c r="I154" i="3"/>
  <c r="I125" i="3"/>
  <c r="I128" i="3"/>
  <c r="I124" i="3"/>
  <c r="I120" i="3"/>
  <c r="I102" i="3"/>
  <c r="I114" i="3"/>
  <c r="I91" i="3"/>
  <c r="I110" i="3"/>
  <c r="I129" i="3"/>
  <c r="I138" i="3"/>
  <c r="I123" i="3"/>
  <c r="I152" i="3"/>
  <c r="H113" i="3"/>
  <c r="I141" i="3"/>
  <c r="H134" i="3"/>
  <c r="I98" i="3"/>
  <c r="H94" i="3"/>
  <c r="I115" i="3"/>
  <c r="I89" i="3"/>
  <c r="I79" i="3"/>
  <c r="I105" i="3"/>
  <c r="I157" i="3"/>
  <c r="I99" i="3"/>
  <c r="I156" i="3"/>
  <c r="H148" i="3"/>
  <c r="H121" i="3"/>
  <c r="I136" i="3"/>
  <c r="P5" i="3"/>
  <c r="H82" i="3"/>
  <c r="J66" i="2"/>
  <c r="J58" i="2"/>
  <c r="J62" i="2"/>
  <c r="J52" i="2"/>
  <c r="J57" i="2"/>
  <c r="J55" i="2"/>
  <c r="K68" i="2"/>
  <c r="S6" i="2" s="1"/>
  <c r="J63" i="2"/>
  <c r="J64" i="2"/>
  <c r="K85" i="1"/>
  <c r="Q6" i="1" s="1"/>
  <c r="J61" i="2"/>
  <c r="J42" i="2"/>
  <c r="J46" i="2"/>
  <c r="J50" i="2"/>
  <c r="J67" i="2"/>
  <c r="J39" i="2"/>
  <c r="J43" i="2"/>
  <c r="J47" i="2"/>
  <c r="J51" i="2"/>
  <c r="J54" i="2"/>
  <c r="J40" i="2"/>
  <c r="J44" i="2"/>
  <c r="J48" i="2"/>
  <c r="J59" i="2"/>
  <c r="J56" i="2"/>
  <c r="J41" i="2"/>
  <c r="J45" i="2"/>
  <c r="J49" i="2"/>
  <c r="J60" i="2"/>
  <c r="J53" i="2"/>
  <c r="J65" i="2"/>
  <c r="I233" i="3"/>
  <c r="P7" i="3" s="1"/>
  <c r="H233" i="3"/>
  <c r="O7" i="3" s="1"/>
  <c r="H158" i="3" l="1"/>
  <c r="O6" i="3" s="1"/>
  <c r="I158" i="3"/>
  <c r="P6" i="3" s="1"/>
  <c r="Q7" i="3"/>
  <c r="H74" i="3"/>
  <c r="O5" i="3"/>
  <c r="O8" i="3" s="1"/>
  <c r="B5" i="12" s="1"/>
  <c r="J68" i="2"/>
  <c r="H234" i="3"/>
  <c r="H159" i="3"/>
  <c r="F94" i="2"/>
  <c r="K94" i="2" s="1"/>
  <c r="F95" i="2"/>
  <c r="K95" i="2" s="1"/>
  <c r="F96" i="2"/>
  <c r="K96" i="2" s="1"/>
  <c r="F97" i="2"/>
  <c r="K97" i="2" s="1"/>
  <c r="F98" i="2"/>
  <c r="F74" i="2"/>
  <c r="F75" i="2"/>
  <c r="F76" i="2"/>
  <c r="F77" i="2"/>
  <c r="F78" i="2"/>
  <c r="K78" i="2" s="1"/>
  <c r="F79" i="2"/>
  <c r="K79" i="2" s="1"/>
  <c r="F80" i="2"/>
  <c r="F81" i="2"/>
  <c r="F82" i="2"/>
  <c r="K82" i="2" s="1"/>
  <c r="F83" i="2"/>
  <c r="K83" i="2" s="1"/>
  <c r="F84" i="2"/>
  <c r="K84" i="2" s="1"/>
  <c r="F85" i="2"/>
  <c r="K85" i="2" s="1"/>
  <c r="F86" i="2"/>
  <c r="F87" i="2"/>
  <c r="F88" i="2"/>
  <c r="F89" i="2"/>
  <c r="K89" i="2" s="1"/>
  <c r="F90" i="2"/>
  <c r="F91" i="2"/>
  <c r="K91" i="2" s="1"/>
  <c r="F92" i="2"/>
  <c r="K92" i="2" s="1"/>
  <c r="F93" i="2"/>
  <c r="K93" i="2" s="1"/>
  <c r="F73" i="2"/>
  <c r="K73" i="2" s="1"/>
  <c r="H98" i="2"/>
  <c r="G98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H73" i="2"/>
  <c r="G7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G29" i="2"/>
  <c r="G30" i="2"/>
  <c r="G31" i="2"/>
  <c r="G32" i="2"/>
  <c r="G3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13" i="2"/>
  <c r="K13" i="2" s="1"/>
  <c r="F33" i="2"/>
  <c r="F5" i="2"/>
  <c r="J5" i="2" s="1"/>
  <c r="F6" i="2"/>
  <c r="K6" i="2" s="1"/>
  <c r="F7" i="2"/>
  <c r="K7" i="2" s="1"/>
  <c r="F8" i="2"/>
  <c r="F9" i="2"/>
  <c r="F10" i="2"/>
  <c r="F11" i="2"/>
  <c r="F12" i="2"/>
  <c r="F14" i="2"/>
  <c r="K14" i="2" s="1"/>
  <c r="F15" i="2"/>
  <c r="F16" i="2"/>
  <c r="F17" i="2"/>
  <c r="K17" i="2" s="1"/>
  <c r="F18" i="2"/>
  <c r="K18" i="2" s="1"/>
  <c r="F19" i="2"/>
  <c r="F20" i="2"/>
  <c r="K20" i="2" s="1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F32" i="2"/>
  <c r="F4" i="2"/>
  <c r="B21" i="4"/>
  <c r="B20" i="4"/>
  <c r="Q6" i="3" l="1"/>
  <c r="P8" i="3"/>
  <c r="C5" i="12" s="1"/>
  <c r="C13" i="12" s="1"/>
  <c r="Q5" i="3"/>
  <c r="Q8" i="3" s="1"/>
  <c r="B13" i="12"/>
  <c r="D5" i="12"/>
  <c r="J69" i="2"/>
  <c r="R6" i="2"/>
  <c r="J11" i="2"/>
  <c r="J95" i="2"/>
  <c r="J84" i="2"/>
  <c r="J97" i="2"/>
  <c r="J25" i="2"/>
  <c r="J10" i="2"/>
  <c r="J96" i="2"/>
  <c r="J85" i="2"/>
  <c r="J83" i="2"/>
  <c r="J93" i="2"/>
  <c r="J29" i="2"/>
  <c r="J7" i="2"/>
  <c r="J73" i="2"/>
  <c r="J9" i="2"/>
  <c r="J8" i="2"/>
  <c r="J82" i="2"/>
  <c r="J90" i="2"/>
  <c r="J32" i="2"/>
  <c r="J77" i="2"/>
  <c r="J19" i="2"/>
  <c r="J88" i="2"/>
  <c r="J76" i="2"/>
  <c r="J87" i="2"/>
  <c r="J75" i="2"/>
  <c r="J4" i="2"/>
  <c r="J33" i="2"/>
  <c r="J86" i="2"/>
  <c r="J74" i="2"/>
  <c r="J31" i="2"/>
  <c r="J28" i="2"/>
  <c r="J16" i="2"/>
  <c r="K32" i="2"/>
  <c r="J98" i="2"/>
  <c r="J27" i="2"/>
  <c r="J15" i="2"/>
  <c r="K10" i="2"/>
  <c r="K76" i="2"/>
  <c r="J26" i="2"/>
  <c r="K8" i="2"/>
  <c r="J12" i="2"/>
  <c r="K88" i="2"/>
  <c r="J24" i="2"/>
  <c r="J81" i="2"/>
  <c r="K90" i="2"/>
  <c r="J80" i="2"/>
  <c r="J23" i="2"/>
  <c r="J79" i="2"/>
  <c r="J22" i="2"/>
  <c r="J78" i="2"/>
  <c r="K98" i="2"/>
  <c r="J21" i="2"/>
  <c r="K74" i="2"/>
  <c r="J91" i="2"/>
  <c r="J30" i="2"/>
  <c r="K86" i="2"/>
  <c r="K33" i="2"/>
  <c r="K5" i="2"/>
  <c r="J94" i="2"/>
  <c r="K75" i="2"/>
  <c r="K87" i="2"/>
  <c r="K77" i="2"/>
  <c r="J20" i="2"/>
  <c r="J89" i="2"/>
  <c r="K80" i="2"/>
  <c r="J18" i="2"/>
  <c r="K81" i="2"/>
  <c r="K19" i="2"/>
  <c r="K31" i="2"/>
  <c r="K29" i="2"/>
  <c r="J6" i="2"/>
  <c r="K28" i="2"/>
  <c r="K16" i="2"/>
  <c r="J17" i="2"/>
  <c r="K27" i="2"/>
  <c r="K15" i="2"/>
  <c r="K26" i="2"/>
  <c r="K12" i="2"/>
  <c r="K25" i="2"/>
  <c r="K11" i="2"/>
  <c r="J14" i="2"/>
  <c r="K24" i="2"/>
  <c r="J13" i="2"/>
  <c r="K9" i="2"/>
  <c r="J92" i="2"/>
  <c r="D13" i="12" l="1"/>
  <c r="T6" i="2"/>
  <c r="K99" i="2"/>
  <c r="S7" i="2" s="1"/>
  <c r="J99" i="2"/>
  <c r="R7" i="2" s="1"/>
  <c r="J34" i="2"/>
  <c r="R5" i="2" s="1"/>
  <c r="D23" i="1"/>
  <c r="K23" i="1" s="1"/>
  <c r="I23" i="1"/>
  <c r="J23" i="1" s="1"/>
  <c r="D21" i="1"/>
  <c r="K21" i="1" s="1"/>
  <c r="I21" i="1"/>
  <c r="J21" i="1" s="1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13" i="1"/>
  <c r="D112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K124" i="1" s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R8" i="2" l="1"/>
  <c r="T7" i="2"/>
  <c r="K127" i="1"/>
  <c r="K102" i="1"/>
  <c r="J100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Q7" i="1" s="1"/>
  <c r="K4" i="2"/>
  <c r="K34" i="2" s="1"/>
  <c r="K4" i="1"/>
  <c r="K38" i="1" s="1"/>
  <c r="Q5" i="1" s="1"/>
  <c r="Q8" i="1" s="1"/>
  <c r="B3" i="12" s="1"/>
  <c r="J35" i="2" l="1"/>
  <c r="S5" i="2"/>
  <c r="S8" i="2" l="1"/>
  <c r="T5" i="2"/>
  <c r="T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<sst xmlns="http://schemas.openxmlformats.org/spreadsheetml/2006/main" count="2502" uniqueCount="554">
  <si>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</si>
  <si>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</si>
  <si>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</si>
  <si>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</si>
  <si>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</si>
  <si>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</si>
  <si>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</si>
  <si>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</si>
  <si>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</si>
  <si>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</si>
  <si>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</si>
  <si>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</si>
  <si>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</si>
  <si>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</si>
  <si>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</si>
  <si>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</si>
  <si>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</si>
  <si>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</si>
  <si>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</si>
  <si>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</si>
  <si>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</si>
  <si>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</si>
  <si>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</si>
  <si>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</si>
  <si>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</si>
  <si>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</si>
  <si>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</si>
  <si>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</si>
  <si>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</si>
  <si>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</si>
  <si>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</si>
  <si>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</si>
  <si>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</si>
  <si>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</si>
  <si>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</si>
  <si>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</si>
  <si>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</si>
  <si>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</si>
  <si>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</si>
  <si>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</si>
  <si>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</si>
  <si>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</si>
  <si>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</si>
  <si>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</si>
  <si>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</si>
  <si>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</si>
  <si>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</si>
  <si>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</si>
  <si>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</si>
  <si>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</si>
  <si>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</si>
  <si>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</si>
  <si>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</si>
  <si>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</si>
  <si>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</si>
  <si>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</si>
  <si>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</si>
  <si>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</si>
  <si>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</si>
  <si>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</si>
  <si>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</si>
  <si>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</si>
  <si>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</si>
  <si>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</si>
  <si>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</si>
  <si>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</si>
  <si>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</si>
  <si>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</si>
  <si>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</si>
  <si>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</si>
  <si>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</si>
  <si>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</si>
  <si>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</si>
  <si>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</si>
  <si>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</si>
  <si>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</si>
  <si>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</si>
  <si>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</si>
  <si>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</si>
  <si>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</si>
  <si>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</si>
  <si>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</si>
  <si>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</si>
  <si>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</si>
  <si>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</si>
  <si>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</si>
  <si>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</si>
  <si>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</si>
  <si>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</si>
  <si>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</si>
  <si>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</si>
  <si>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</si>
  <si>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</si>
  <si>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</si>
  <si>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</si>
  <si>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</si>
  <si>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</si>
  <si>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</si>
  <si>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</si>
  <si>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</si>
  <si>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</si>
  <si>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</si>
  <si>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</si>
  <si>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</si>
  <si>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</si>
  <si>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</si>
  <si>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</si>
  <si>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</si>
  <si>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</si>
  <si>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</si>
  <si>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</si>
  <si>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</si>
  <si>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</si>
  <si>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</si>
  <si>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</si>
  <si>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</si>
  <si>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</si>
  <si>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</si>
  <si>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</si>
  <si>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</si>
  <si>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</si>
  <si>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</si>
  <si>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</si>
  <si>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</si>
  <si>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</si>
  <si>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</si>
  <si>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</si>
  <si>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</si>
  <si>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</si>
  <si>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</si>
  <si>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</si>
  <si>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</si>
  <si>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</si>
  <si>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</si>
  <si>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</si>
  <si>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</si>
  <si>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</si>
  <si>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</si>
  <si>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</si>
  <si>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</si>
  <si>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</si>
  <si>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</si>
  <si>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</si>
  <si>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</si>
  <si>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</si>
  <si>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</si>
  <si>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</si>
  <si>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</si>
  <si>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</si>
  <si>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</si>
  <si>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</si>
  <si>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</si>
  <si>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</si>
  <si>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</si>
  <si>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</si>
  <si>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</si>
  <si>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</si>
  <si>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</si>
  <si>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</si>
  <si>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</si>
  <si>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</si>
  <si>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</si>
  <si>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</si>
  <si>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</si>
  <si>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</si>
  <si>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</si>
  <si>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</si>
  <si>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</si>
  <si>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</si>
  <si>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</si>
  <si>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</si>
  <si>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</si>
  <si>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</si>
  <si>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</si>
  <si>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</si>
  <si>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</si>
  <si>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</si>
  <si>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</si>
  <si>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</si>
  <si>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</si>
  <si>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</si>
  <si>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</si>
  <si>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</si>
  <si>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</si>
  <si>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</si>
  <si>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</si>
  <si>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</si>
  <si>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</si>
  <si>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</si>
  <si>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</si>
  <si>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</si>
  <si>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</si>
  <si>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</si>
  <si>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</si>
  <si>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</si>
  <si>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</si>
  <si>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</si>
  <si>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</si>
  <si>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</si>
  <si>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</si>
  <si>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</si>
  <si>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</si>
  <si>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</si>
  <si>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</si>
  <si>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</si>
  <si>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</si>
  <si>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</si>
  <si>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</si>
  <si>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</si>
  <si>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</si>
  <si>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</si>
  <si>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</si>
  <si>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</si>
  <si>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</si>
  <si>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</si>
  <si>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</si>
  <si>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</si>
  <si>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</si>
  <si>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</si>
  <si>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</si>
  <si>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</si>
  <si>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</si>
  <si>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</si>
  <si>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</si>
  <si>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</si>
  <si>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</si>
  <si>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</si>
  <si>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</si>
  <si>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</si>
  <si>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</si>
  <si>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</si>
  <si>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</si>
  <si>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</si>
  <si>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</si>
  <si>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</si>
  <si>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</si>
  <si>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</si>
  <si>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</si>
  <si>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</si>
  <si>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</si>
  <si>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</si>
  <si>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</si>
  <si>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</si>
  <si>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</si>
  <si>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</si>
  <si>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</si>
  <si>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</si>
  <si>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</si>
  <si>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</si>
  <si>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</si>
  <si>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</si>
  <si>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</si>
  <si>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</si>
  <si>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</si>
  <si>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</si>
  <si>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</si>
  <si>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</si>
  <si>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</si>
  <si>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</si>
  <si>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</si>
  <si>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</si>
  <si>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</si>
  <si>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</si>
  <si>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</si>
  <si>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</si>
  <si>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</si>
  <si>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</si>
  <si>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</si>
  <si>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</si>
  <si>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</si>
  <si>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</si>
  <si>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</si>
  <si>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</si>
  <si>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</si>
  <si>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</si>
  <si>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</si>
  <si>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</si>
  <si>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</si>
  <si>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</si>
  <si>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</si>
  <si>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</si>
  <si>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</si>
  <si>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</si>
  <si>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</si>
  <si>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</si>
  <si>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</si>
  <si>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</si>
  <si>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</si>
  <si>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</si>
  <si>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</si>
  <si>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</si>
  <si>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</si>
  <si>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</si>
  <si>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</si>
  <si>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</si>
  <si>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</si>
  <si>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</si>
  <si>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</si>
  <si>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</si>
  <si>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</si>
  <si>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</si>
  <si>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</si>
  <si>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</si>
  <si>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</si>
  <si>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</si>
  <si>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</si>
  <si>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</si>
  <si>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</si>
  <si>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</si>
  <si>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</si>
  <si>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</si>
  <si>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</si>
  <si>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</si>
  <si>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</si>
  <si>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</si>
  <si>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</si>
  <si>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</si>
  <si>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</si>
  <si>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</si>
  <si>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</si>
  <si>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</si>
  <si>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</si>
  <si>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</si>
  <si>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</si>
  <si>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</si>
  <si>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</si>
  <si>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</si>
  <si>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</si>
  <si>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</si>
  <si>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</si>
  <si>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</si>
  <si>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</si>
  <si>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</si>
  <si>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</si>
  <si>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</si>
  <si>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</si>
  <si>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</si>
  <si>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</si>
  <si>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</si>
  <si>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</si>
  <si>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</si>
  <si>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</si>
  <si>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</si>
  <si>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</si>
  <si>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</si>
  <si>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</si>
  <si>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</si>
  <si>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</si>
  <si>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</si>
  <si>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</si>
  <si>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</si>
  <si>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</si>
  <si>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</si>
  <si>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</si>
  <si>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</si>
  <si>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</si>
  <si>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</si>
  <si>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</si>
  <si>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</si>
  <si>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</si>
  <si>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</si>
  <si>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</si>
  <si>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</si>
  <si>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</si>
  <si>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</si>
  <si>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</si>
  <si>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</si>
  <si>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</si>
  <si>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</si>
  <si>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</si>
  <si>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</si>
  <si>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</si>
  <si>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</si>
  <si>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</si>
  <si>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</si>
  <si>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</si>
  <si>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</si>
  <si>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</si>
  <si>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</si>
  <si>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</si>
  <si>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</si>
  <si>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</si>
  <si>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</si>
  <si>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</si>
  <si>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</si>
  <si>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</si>
  <si>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</si>
  <si>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</si>
  <si>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</si>
  <si>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</si>
  <si>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</si>
  <si>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</si>
  <si>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</si>
  <si>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</si>
  <si>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</si>
  <si>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</si>
  <si>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</si>
  <si>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</si>
  <si>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</si>
  <si>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</si>
  <si>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</si>
  <si>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</si>
  <si>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</si>
  <si>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</si>
  <si>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</si>
  <si>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</si>
  <si>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</si>
  <si>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</si>
  <si>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</si>
  <si>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</si>
  <si>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</si>
  <si>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</si>
  <si>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</si>
  <si>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</si>
  <si>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</si>
  <si>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</si>
  <si>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</si>
  <si>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</si>
  <si>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</si>
  <si>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</si>
  <si>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</si>
  <si>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</si>
  <si>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</si>
  <si>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</si>
  <si>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</si>
  <si>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</si>
  <si>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</si>
  <si>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</si>
  <si>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</si>
  <si>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</si>
  <si>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</si>
  <si>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</si>
  <si>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</si>
  <si>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</si>
  <si>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</si>
  <si>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</si>
  <si>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</si>
  <si>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</si>
  <si>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</si>
  <si>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</si>
  <si>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</si>
  <si>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Bulk Storage</t>
  </si>
  <si>
    <t>Medical Record Office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</si>
  <si>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</si>
  <si>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</si>
  <si>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</si>
  <si>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</si>
  <si>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</si>
  <si>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</si>
  <si>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</si>
  <si>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</si>
  <si>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</si>
  <si>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</si>
  <si>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</si>
  <si>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</si>
  <si>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</si>
  <si>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</si>
  <si>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</si>
  <si>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</si>
  <si>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</si>
  <si>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</si>
  <si>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</si>
  <si>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</si>
  <si>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</si>
  <si>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</si>
  <si>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</si>
  <si>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</si>
  <si>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</si>
  <si>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</si>
  <si>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</si>
  <si>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</si>
  <si>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</si>
  <si>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</si>
  <si>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</si>
  <si>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</si>
  <si>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</si>
  <si>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</si>
  <si>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</si>
  <si>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</si>
  <si>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</si>
  <si>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</si>
  <si>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</si>
  <si>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</si>
  <si>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</si>
  <si>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</si>
  <si>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</si>
  <si>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</si>
  <si>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</si>
  <si>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</si>
  <si>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</si>
  <si>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</si>
  <si>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</si>
  <si>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</si>
  <si>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</si>
  <si>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</si>
  <si>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</si>
  <si>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</si>
  <si>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</si>
  <si>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</si>
  <si>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</si>
  <si>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</si>
  <si>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</si>
  <si>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</si>
  <si>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</si>
  <si>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</si>
  <si>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</si>
  <si>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</si>
  <si>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</si>
  <si>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Privaate Room 6</t>
  </si>
  <si>
    <t xml:space="preserve">Water Tank </t>
  </si>
  <si>
    <t>Hospital main lobby</t>
  </si>
  <si>
    <t>DOOR PARTITION LOAD</t>
  </si>
  <si>
    <t xml:space="preserve">Supply Room </t>
  </si>
  <si>
    <t>PhilHealth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</si>
  <si>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</si>
  <si>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</si>
  <si>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</si>
  <si>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</si>
  <si>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</si>
  <si>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</si>
  <si>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</si>
  <si>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</si>
  <si>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</si>
  <si>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</si>
  <si>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</si>
  <si>
    <t xml:space="preserve">Hallway </t>
  </si>
  <si>
    <t>Examination/Treatment Obs Area CR</t>
  </si>
  <si>
    <t>Film File Storage Room</t>
  </si>
  <si>
    <t>XRAY Room CR</t>
  </si>
  <si>
    <t>Supply Receive Area</t>
  </si>
  <si>
    <t>Dietician's Office CR</t>
  </si>
  <si>
    <t>Personel's Dinning</t>
  </si>
  <si>
    <t>ROOF LOAD</t>
  </si>
  <si>
    <t>MISCELLANEOUS LOAD</t>
  </si>
  <si>
    <t>Tota Load</t>
  </si>
  <si>
    <t>LIGHTING LOAD</t>
  </si>
  <si>
    <t>PARTITION LOAD</t>
  </si>
  <si>
    <t>EXTERNAL WALL LOAD</t>
  </si>
  <si>
    <t>Sterile instrument supply Storage Area</t>
  </si>
  <si>
    <t>Summary of Data</t>
  </si>
  <si>
    <t>TOTAL</t>
  </si>
  <si>
    <t>QS</t>
  </si>
  <si>
    <t>QL</t>
  </si>
  <si>
    <t>ground</t>
  </si>
  <si>
    <t>Thirrd</t>
  </si>
  <si>
    <t>Space 2</t>
  </si>
  <si>
    <t>Space 1</t>
  </si>
  <si>
    <t>SUMMARY OF DATA</t>
  </si>
  <si>
    <r>
      <t>Q</t>
    </r>
    <r>
      <rPr>
        <b/>
        <sz val="9"/>
        <rFont val="Calibri"/>
        <family val="2"/>
        <scheme val="minor"/>
      </rPr>
      <t>s</t>
    </r>
  </si>
  <si>
    <r>
      <t>Q</t>
    </r>
    <r>
      <rPr>
        <b/>
        <sz val="9"/>
        <rFont val="Calibri"/>
        <family val="2"/>
        <scheme val="minor"/>
      </rPr>
      <t>l</t>
    </r>
  </si>
  <si>
    <r>
      <t>Q</t>
    </r>
    <r>
      <rPr>
        <b/>
        <sz val="9"/>
        <rFont val="Calibri"/>
        <family val="2"/>
        <scheme val="minor"/>
      </rPr>
      <t>total</t>
    </r>
  </si>
  <si>
    <t/>
  </si>
  <si>
    <t>1.9 Emergency Room</t>
  </si>
  <si>
    <t>X Ray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</si>
</sst>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6" borderId="0" applyNumberFormat="0" applyBorder="0" applyAlignment="0" applyProtection="0"/>
  </cellStyleXfs>
  <cellXfs count="180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ont="1" applyFill="1" applyBorder="1"/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2" applyFont="1" applyAlignment="1"/>
    <xf numFmtId="0" fontId="0" fillId="0" borderId="0" xfId="0" applyFill="1" applyAlignment="1"/>
    <xf numFmtId="0" fontId="1" fillId="0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0" fontId="16" fillId="6" borderId="0" xfId="3" applyFont="1" applyBorder="1" applyAlignment="1">
      <alignment vertical="center"/>
    </xf>
    <xf numFmtId="0" fontId="8" fillId="0" borderId="11" xfId="2" applyFont="1" applyFill="1" applyBorder="1" applyAlignment="1"/>
    <xf numFmtId="0" fontId="18" fillId="0" borderId="0" xfId="3" applyFont="1" applyFill="1" applyBorder="1" applyAlignment="1">
      <alignment vertical="center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5" borderId="1" xfId="0" applyFont="1" applyFill="1" applyBorder="1"/>
    <xf numFmtId="0" fontId="1" fillId="5" borderId="5" xfId="0" applyFont="1" applyFill="1" applyBorder="1"/>
    <xf numFmtId="0" fontId="1" fillId="9" borderId="9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6" fillId="6" borderId="0" xfId="3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2" applyFont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11" borderId="1" xfId="2" applyFont="1" applyFill="1" applyBorder="1" applyAlignment="1">
      <alignment horizontal="center" vertical="center"/>
    </xf>
  </cellXfs>
  <cellStyles count="4">
    <cellStyle name="Accent5" xfId="3" builtinId="45"/>
    <cellStyle name="Hyperlink" xfId="1" builtinId="8"/>
    <cellStyle name="Normal" xfId="0" builtinId="0"/>
    <cellStyle name="Title" xfId="2" builtinId="15"/>
  </cellStyles>
  <dxfs count="3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384" headerRowBorderDxfId="383" tableBorderDxfId="382" totalsRowBorderDxfId="381">
  <tableColumns count="11">
    <tableColumn id="1" xr3:uid="{00000000-0010-0000-0000-000001000000}" name="Space" dataDxfId="380"/>
    <tableColumn id="2" xr3:uid="{00000000-0010-0000-0000-000002000000}" name="Orientation" dataDxfId="379"/>
    <tableColumn id="3" xr3:uid="{00000000-0010-0000-0000-000003000000}" name="U" dataDxfId="378"/>
    <tableColumn id="4" xr3:uid="{00000000-0010-0000-0000-000004000000}" name="A(m^2)" dataDxfId="377"/>
    <tableColumn id="5" xr3:uid="{00000000-0010-0000-0000-000005000000}" name="CLTDsel" dataDxfId="376"/>
    <tableColumn id="6" xr3:uid="{00000000-0010-0000-0000-000006000000}" name="LM" dataDxfId="375"/>
    <tableColumn id="7" xr3:uid="{00000000-0010-0000-0000-000007000000}" name="k" dataDxfId="374"/>
    <tableColumn id="8" xr3:uid="{00000000-0010-0000-0000-000008000000}" name="Ti" dataDxfId="373"/>
    <tableColumn id="9" xr3:uid="{00000000-0010-0000-0000-000009000000}" name="Tave" dataDxfId="372">
      <calculatedColumnFormula>(References!T$4)-(References!T$3/2)</calculatedColumnFormula>
    </tableColumn>
    <tableColumn id="10" xr3:uid="{00000000-0010-0000-0000-00000A000000}" name="CLTD adj" dataDxfId="371">
      <calculatedColumnFormula>(E4+F4)*G4+(25-H4)+(I4-29)</calculatedColumnFormula>
    </tableColumn>
    <tableColumn id="11" xr3:uid="{00000000-0010-0000-0000-00000B000000}" name="Q(W)" dataDxfId="370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H44" totalsRowShown="0" headerRowDxfId="253" dataDxfId="251" headerRowBorderDxfId="252" tableBorderDxfId="250" totalsRowBorderDxfId="249">
  <tableColumns count="8">
    <tableColumn id="1" xr3:uid="{00000000-0010-0000-0900-000001000000}" name="SPACE" dataDxfId="248"/>
    <tableColumn id="2" xr3:uid="{00000000-0010-0000-0900-000002000000}" name="Equipment" dataDxfId="247"/>
    <tableColumn id="3" xr3:uid="{00000000-0010-0000-0900-000003000000}" name="WATTAGE" dataDxfId="246"/>
    <tableColumn id="4" xr3:uid="{00000000-0010-0000-0900-000004000000}" name="Cs" dataDxfId="245"/>
    <tableColumn id="5" xr3:uid="{00000000-0010-0000-0900-000005000000}" name="Cl" dataDxfId="244"/>
    <tableColumn id="6" xr3:uid="{00000000-0010-0000-0900-000006000000}" name="CLF" dataDxfId="243"/>
    <tableColumn id="7" xr3:uid="{00000000-0010-0000-0900-000007000000}" name="Qs (W)" dataDxfId="242">
      <calculatedColumnFormula>D4*C4*F4</calculatedColumnFormula>
    </tableColumn>
    <tableColumn id="8" xr3:uid="{00000000-0010-0000-0900-000008000000}" name="Ql (W)" dataDxfId="241">
      <calculatedColumnFormula>C4*E4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89" totalsRowShown="0" headerRowDxfId="240" headerRowBorderDxfId="239" tableBorderDxfId="238" totalsRowBorderDxfId="237">
  <tableColumns count="8">
    <tableColumn id="1" xr3:uid="{00000000-0010-0000-0A00-000001000000}" name="SPACE" dataDxfId="236"/>
    <tableColumn id="2" xr3:uid="{00000000-0010-0000-0A00-000002000000}" name="Equipment" dataDxfId="235"/>
    <tableColumn id="3" xr3:uid="{00000000-0010-0000-0A00-000003000000}" name="Wattage" dataDxfId="234"/>
    <tableColumn id="4" xr3:uid="{00000000-0010-0000-0A00-000004000000}" name="CS" dataDxfId="233"/>
    <tableColumn id="5" xr3:uid="{00000000-0010-0000-0A00-000005000000}" name="Cl" dataDxfId="232"/>
    <tableColumn id="6" xr3:uid="{00000000-0010-0000-0A00-000006000000}" name="CLF" dataDxfId="231"/>
    <tableColumn id="7" xr3:uid="{00000000-0010-0000-0A00-000007000000}" name="Qs (W)" dataDxfId="230">
      <calculatedColumnFormula>D50*C50*F50</calculatedColumnFormula>
    </tableColumn>
    <tableColumn id="8" xr3:uid="{00000000-0010-0000-0A00-000008000000}" name="Ql (W)" dataDxfId="229">
      <calculatedColumnFormula>E50*C50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4:H127" totalsRowShown="0" headerRowDxfId="228" headerRowBorderDxfId="227" tableBorderDxfId="226" totalsRowBorderDxfId="225">
  <tableColumns count="8">
    <tableColumn id="1" xr3:uid="{00000000-0010-0000-0B00-000001000000}" name="SPACE" dataDxfId="224"/>
    <tableColumn id="2" xr3:uid="{00000000-0010-0000-0B00-000002000000}" name="Equipment" dataDxfId="223"/>
    <tableColumn id="3" xr3:uid="{00000000-0010-0000-0B00-000003000000}" name="Wattage" dataDxfId="222"/>
    <tableColumn id="4" xr3:uid="{00000000-0010-0000-0B00-000004000000}" name="Cs" dataDxfId="221"/>
    <tableColumn id="5" xr3:uid="{00000000-0010-0000-0B00-000005000000}" name="Cl" dataDxfId="220"/>
    <tableColumn id="6" xr3:uid="{00000000-0010-0000-0B00-000006000000}" name="CLF" dataDxfId="219"/>
    <tableColumn id="7" xr3:uid="{00000000-0010-0000-0B00-000007000000}" name="Qs (W)" dataDxfId="218">
      <calculatedColumnFormula>C95*D95*F95</calculatedColumnFormula>
    </tableColumn>
    <tableColumn id="8" xr3:uid="{00000000-0010-0000-0B00-000008000000}" name="Qw (W)" dataDxfId="217">
      <calculatedColumnFormula>E95*C95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4:H46" totalsRowShown="0" headerRowDxfId="216" headerRowBorderDxfId="215" tableBorderDxfId="214" totalsRowBorderDxfId="213">
  <tableColumns count="8">
    <tableColumn id="1" xr3:uid="{00000000-0010-0000-0C00-000001000000}" name="SPACE" dataDxfId="212"/>
    <tableColumn id="2" xr3:uid="{00000000-0010-0000-0C00-000002000000}" name="U" dataDxfId="211"/>
    <tableColumn id="3" xr3:uid="{00000000-0010-0000-0C00-000003000000}" name="Area (m2)" dataDxfId="210"/>
    <tableColumn id="4" xr3:uid="{00000000-0010-0000-0C00-000004000000}" name="CLTDmax" dataDxfId="209"/>
    <tableColumn id="5" xr3:uid="{00000000-0010-0000-0C00-000005000000}" name="Ti" dataDxfId="208"/>
    <tableColumn id="6" xr3:uid="{00000000-0010-0000-0C00-000006000000}" name="Tave" dataDxfId="207"/>
    <tableColumn id="7" xr3:uid="{00000000-0010-0000-0C00-000007000000}" name="CLTDadj" dataDxfId="206">
      <calculatedColumnFormula>((D5*0.75)+(25-E5)+(F5-29))*0.75</calculatedColumnFormula>
    </tableColumn>
    <tableColumn id="8" xr3:uid="{00000000-0010-0000-0C00-000008000000}" name="Q(W)" dataDxfId="205">
      <calculatedColumnFormula>B5*C5*G5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94:G197" totalsRowShown="0" headerRowDxfId="203" headerRowBorderDxfId="202" tableBorderDxfId="201" totalsRowBorderDxfId="200">
  <tableColumns count="7">
    <tableColumn id="1" xr3:uid="{00000000-0010-0000-0E00-000001000000}" name="Space" dataDxfId="199"/>
    <tableColumn id="2" xr3:uid="{00000000-0010-0000-0E00-000002000000}" name="Spaces" dataDxfId="198"/>
    <tableColumn id="3" xr3:uid="{00000000-0010-0000-0E00-000003000000}" name="U" dataDxfId="197"/>
    <tableColumn id="4" xr3:uid="{00000000-0010-0000-0E00-000004000000}" name="A" dataDxfId="196">
      <calculatedColumnFormula>References!AM4-References!AL4-References!AK4</calculatedColumnFormula>
    </tableColumn>
    <tableColumn id="5" xr3:uid="{00000000-0010-0000-0E00-000005000000}" name="Ti" dataDxfId="195"/>
    <tableColumn id="6" xr3:uid="{00000000-0010-0000-0E00-000006000000}" name="Ti2" dataDxfId="194"/>
    <tableColumn id="7" xr3:uid="{00000000-0010-0000-0E00-000007000000}" name="Q" dataDxfId="193">
      <calculatedColumnFormula>ABS(C95*D95*(F95-E95))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01:G295" totalsRowShown="0" headerRowDxfId="192" headerRowBorderDxfId="191" tableBorderDxfId="190" totalsRowBorderDxfId="189">
  <tableColumns count="7">
    <tableColumn id="1" xr3:uid="{00000000-0010-0000-0F00-000001000000}" name="Space" dataDxfId="188"/>
    <tableColumn id="2" xr3:uid="{00000000-0010-0000-0F00-000002000000}" name="Spaces" dataDxfId="187"/>
    <tableColumn id="3" xr3:uid="{00000000-0010-0000-0F00-000003000000}" name="U" dataDxfId="186"/>
    <tableColumn id="4" xr3:uid="{00000000-0010-0000-0F00-000004000000}" name="A" dataDxfId="185">
      <calculatedColumnFormula>References!AQ4-References!AP4-References!AO4</calculatedColumnFormula>
    </tableColumn>
    <tableColumn id="5" xr3:uid="{00000000-0010-0000-0F00-000005000000}" name="Ti" dataDxfId="184"/>
    <tableColumn id="6" xr3:uid="{00000000-0010-0000-0F00-000006000000}" name="Ti2" dataDxfId="183"/>
    <tableColumn id="7" xr3:uid="{00000000-0010-0000-0F00-000007000000}" name="Q" dataDxfId="182">
      <calculatedColumnFormula>ABS(C202*D202*(F202-E202))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3:G89" totalsRowShown="0" headerRowDxfId="181" headerRowBorderDxfId="180" tableBorderDxfId="179" totalsRowBorderDxfId="178">
  <tableColumns count="7">
    <tableColumn id="1" xr3:uid="{00000000-0010-0000-0D00-000001000000}" name="Space" dataDxfId="177"/>
    <tableColumn id="2" xr3:uid="{00000000-0010-0000-0D00-000002000000}" name="Spaces" dataDxfId="176"/>
    <tableColumn id="3" xr3:uid="{00000000-0010-0000-0D00-000003000000}" name="U" dataDxfId="175"/>
    <tableColumn id="4" xr3:uid="{00000000-0010-0000-0D00-000004000000}" name="A" dataDxfId="174">
      <calculatedColumnFormula>References!AI4-References!AH4-References!AG4</calculatedColumnFormula>
    </tableColumn>
    <tableColumn id="5" xr3:uid="{00000000-0010-0000-0D00-000005000000}" name="Ti" dataDxfId="173"/>
    <tableColumn id="6" xr3:uid="{00000000-0010-0000-0D00-000006000000}" name="Ti2" dataDxfId="172"/>
    <tableColumn id="7" xr3:uid="{00000000-0010-0000-0D00-000007000000}" name="Q" dataDxfId="171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3:I40" totalsRowShown="0" headerRowDxfId="170" dataDxfId="168" headerRowBorderDxfId="169" tableBorderDxfId="167" totalsRowBorderDxfId="166">
  <tableColumns count="9">
    <tableColumn id="1" xr3:uid="{00000000-0010-0000-1000-000001000000}" name="SPACE" dataDxfId="165" totalsRowDxfId="164"/>
    <tableColumn id="2" xr3:uid="{00000000-0010-0000-1000-000002000000}" name="Occ" dataDxfId="163" totalsRowDxfId="162"/>
    <tableColumn id="3" xr3:uid="{00000000-0010-0000-1000-000003000000}" name="L/s" dataDxfId="161" totalsRowDxfId="160">
      <calculatedColumnFormula>B4*References!AS4</calculatedColumnFormula>
    </tableColumn>
    <tableColumn id="4" xr3:uid="{00000000-0010-0000-1000-000004000000}" name="To" dataDxfId="159" totalsRowDxfId="158"/>
    <tableColumn id="5" xr3:uid="{00000000-0010-0000-1000-000005000000}" name="Ti" dataDxfId="157" totalsRowDxfId="156"/>
    <tableColumn id="6" xr3:uid="{00000000-0010-0000-1000-000006000000}" name="Wo" dataDxfId="155" totalsRowDxfId="154"/>
    <tableColumn id="7" xr3:uid="{00000000-0010-0000-1000-000007000000}" name="Wi" dataDxfId="153" totalsRowDxfId="152"/>
    <tableColumn id="8" xr3:uid="{00000000-0010-0000-1000-000008000000}" name="Qs (W)" dataDxfId="151" totalsRowDxfId="150">
      <calculatedColumnFormula>1.232*C4*(D4-E4)</calculatedColumnFormula>
    </tableColumn>
    <tableColumn id="9" xr3:uid="{00000000-0010-0000-1000-000009000000}" name="Qw (W)" dataDxfId="149" totalsRowDxfId="148">
      <calculatedColumnFormula>3000*C4*(F4-G4)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45:I89" totalsRowShown="0" headerRowDxfId="147" dataDxfId="145" headerRowBorderDxfId="146" tableBorderDxfId="144" totalsRowBorderDxfId="143">
  <tableColumns count="9">
    <tableColumn id="1" xr3:uid="{00000000-0010-0000-1100-000001000000}" name="SPACE" dataDxfId="142"/>
    <tableColumn id="2" xr3:uid="{00000000-0010-0000-1100-000002000000}" name="Occ." dataDxfId="141"/>
    <tableColumn id="3" xr3:uid="{00000000-0010-0000-1100-000003000000}" name="L/s" dataDxfId="140">
      <calculatedColumnFormula>B46*References!AT4</calculatedColumnFormula>
    </tableColumn>
    <tableColumn id="4" xr3:uid="{00000000-0010-0000-1100-000004000000}" name="To" dataDxfId="139"/>
    <tableColumn id="5" xr3:uid="{00000000-0010-0000-1100-000005000000}" name="Ti" dataDxfId="138"/>
    <tableColumn id="6" xr3:uid="{00000000-0010-0000-1100-000006000000}" name="Wo" dataDxfId="137"/>
    <tableColumn id="7" xr3:uid="{00000000-0010-0000-1100-000007000000}" name="Wi" dataDxfId="136">
      <calculatedColumnFormula>_xlfn.IFS(E46=22.5,0.00848061,E46=22,0.00821976,E46=24,0.00929323)</calculatedColumnFormula>
    </tableColumn>
    <tableColumn id="8" xr3:uid="{00000000-0010-0000-1100-000008000000}" name="Qs(W)" dataDxfId="135">
      <calculatedColumnFormula>1.232*C46*(D46-E46)</calculatedColumnFormula>
    </tableColumn>
    <tableColumn id="9" xr3:uid="{00000000-0010-0000-1100-000009000000}" name="Ql(W)" dataDxfId="134">
      <calculatedColumnFormula>3000*C46*(F46-G46)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94:I124" totalsRowShown="0" headerRowDxfId="133" dataDxfId="131" headerRowBorderDxfId="132" tableBorderDxfId="130" totalsRowBorderDxfId="129">
  <tableColumns count="9">
    <tableColumn id="1" xr3:uid="{00000000-0010-0000-1200-000001000000}" name="Space" dataDxfId="128"/>
    <tableColumn id="2" xr3:uid="{00000000-0010-0000-1200-000002000000}" name="Occ." dataDxfId="127"/>
    <tableColumn id="3" xr3:uid="{00000000-0010-0000-1200-000003000000}" name="L/s" dataDxfId="126">
      <calculatedColumnFormula>B95*References!AU4</calculatedColumnFormula>
    </tableColumn>
    <tableColumn id="4" xr3:uid="{00000000-0010-0000-1200-000004000000}" name="To" dataDxfId="125"/>
    <tableColumn id="5" xr3:uid="{00000000-0010-0000-1200-000005000000}" name="Ti" dataDxfId="124"/>
    <tableColumn id="6" xr3:uid="{00000000-0010-0000-1200-000006000000}" name="Wo" dataDxfId="123"/>
    <tableColumn id="7" xr3:uid="{00000000-0010-0000-1200-000007000000}" name="Wi" dataDxfId="122">
      <calculatedColumnFormula>_xlfn.IFS(E95=22.5,0.00848031,E95=24,0.009293235,E95=22,0.00821976)</calculatedColumnFormula>
    </tableColumn>
    <tableColumn id="8" xr3:uid="{00000000-0010-0000-1200-000008000000}" name="Qs(W)" dataDxfId="121">
      <calculatedColumnFormula>1.232*C95*(D95-E95)</calculatedColumnFormula>
    </tableColumn>
    <tableColumn id="9" xr3:uid="{00000000-0010-0000-1200-000009000000}" name="Ql(W)" dataDxfId="120">
      <calculatedColumnFormula>3000*C95*(F95-G95)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369" headerRowBorderDxfId="368" tableBorderDxfId="367" totalsRowBorderDxfId="366">
  <tableColumns count="11">
    <tableColumn id="1" xr3:uid="{00000000-0010-0000-0100-000001000000}" name="Space" dataDxfId="365"/>
    <tableColumn id="2" xr3:uid="{00000000-0010-0000-0100-000002000000}" name="Orientation" dataDxfId="364"/>
    <tableColumn id="3" xr3:uid="{00000000-0010-0000-0100-000003000000}" name="U" dataDxfId="363"/>
    <tableColumn id="4" xr3:uid="{00000000-0010-0000-0100-000004000000}" name="A(m^2)" dataDxfId="362">
      <calculatedColumnFormula>(References!C41*4)-(References!B41*1)-(References!A41*2)</calculatedColumnFormula>
    </tableColumn>
    <tableColumn id="5" xr3:uid="{00000000-0010-0000-0100-000005000000}" name="CLTDsel" dataDxfId="361">
      <calculatedColumnFormula>_xlfn.IFS(B89="E",25,B89="N",13,B89="W",33,B89="S",22)</calculatedColumnFormula>
    </tableColumn>
    <tableColumn id="6" xr3:uid="{00000000-0010-0000-0100-000006000000}" name="LM" dataDxfId="360">
      <calculatedColumnFormula>_xlfn.IFS(B89="E",-0.55,B89="N",2.22,B89="W",-0.55,B89="S",-3.88)</calculatedColumnFormula>
    </tableColumn>
    <tableColumn id="7" xr3:uid="{00000000-0010-0000-0100-000007000000}" name="k" dataDxfId="359"/>
    <tableColumn id="8" xr3:uid="{00000000-0010-0000-0100-000008000000}" name="Ti" dataDxfId="358"/>
    <tableColumn id="9" xr3:uid="{00000000-0010-0000-0100-000009000000}" name="Tave" dataDxfId="357">
      <calculatedColumnFormula>(References!T$4)-(References!T$3/2)</calculatedColumnFormula>
    </tableColumn>
    <tableColumn id="10" xr3:uid="{00000000-0010-0000-0100-00000A000000}" name="CLTD adj" dataDxfId="356">
      <calculatedColumnFormula>(E89+F89)*G89+(25-H89)+(I89-29)</calculatedColumnFormula>
    </tableColumn>
    <tableColumn id="11" xr3:uid="{00000000-0010-0000-0100-00000B000000}" name="Q(W)" dataDxfId="355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94:H124" totalsRowShown="0" headerRowDxfId="119" dataDxfId="117" headerRowBorderDxfId="118" tableBorderDxfId="116" totalsRowBorderDxfId="115">
  <tableColumns count="8">
    <tableColumn id="1" xr3:uid="{00000000-0010-0000-1300-000001000000}" name="SPACE" dataDxfId="114"/>
    <tableColumn id="2" xr3:uid="{00000000-0010-0000-1300-000002000000}" name="Occ" dataDxfId="113"/>
    <tableColumn id="3" xr3:uid="{00000000-0010-0000-1300-000003000000}" name="Gain/person" dataDxfId="112"/>
    <tableColumn id="4" xr3:uid="{00000000-0010-0000-1300-000004000000}" name="Sensible" dataDxfId="111"/>
    <tableColumn id="5" xr3:uid="{00000000-0010-0000-1300-000005000000}" name="Latent" dataDxfId="110"/>
    <tableColumn id="6" xr3:uid="{00000000-0010-0000-1300-000006000000}" name="CLF" dataDxfId="109"/>
    <tableColumn id="7" xr3:uid="{00000000-0010-0000-1300-000007000000}" name="Qs (W)" dataDxfId="108">
      <calculatedColumnFormula>B95*C95*D95*F95</calculatedColumnFormula>
    </tableColumn>
    <tableColumn id="8" xr3:uid="{00000000-0010-0000-1300-000008000000}" name="Ql (W)" dataDxfId="107">
      <calculatedColumnFormula>B95*C95*E95*F95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5:H89" totalsRowShown="0" headerRowDxfId="106" dataDxfId="104" headerRowBorderDxfId="105" tableBorderDxfId="103" totalsRowBorderDxfId="102">
  <tableColumns count="8">
    <tableColumn id="1" xr3:uid="{00000000-0010-0000-1400-000001000000}" name="SPACE" dataDxfId="101"/>
    <tableColumn id="2" xr3:uid="{00000000-0010-0000-1400-000002000000}" name="Occ" dataDxfId="100"/>
    <tableColumn id="3" xr3:uid="{00000000-0010-0000-1400-000003000000}" name="Gain/person" dataDxfId="99"/>
    <tableColumn id="4" xr3:uid="{00000000-0010-0000-1400-000004000000}" name="Sensible" dataDxfId="98"/>
    <tableColumn id="5" xr3:uid="{00000000-0010-0000-1400-000005000000}" name="Latent" dataDxfId="97"/>
    <tableColumn id="6" xr3:uid="{00000000-0010-0000-1400-000006000000}" name="CLF" dataDxfId="96"/>
    <tableColumn id="7" xr3:uid="{00000000-0010-0000-1400-000007000000}" name="Qs (W)" dataDxfId="95">
      <calculatedColumnFormula>B46*C46*D46*F46</calculatedColumnFormula>
    </tableColumn>
    <tableColumn id="8" xr3:uid="{00000000-0010-0000-1400-000008000000}" name="Ql (W)" dataDxfId="94">
      <calculatedColumnFormula>B46*C46*E46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3:H40" totalsRowShown="0" headerRowDxfId="93" dataDxfId="91" headerRowBorderDxfId="92" tableBorderDxfId="90" totalsRowBorderDxfId="89">
  <tableColumns count="8">
    <tableColumn id="1" xr3:uid="{00000000-0010-0000-1500-000001000000}" name="SPACE" dataDxfId="88"/>
    <tableColumn id="2" xr3:uid="{00000000-0010-0000-1500-000002000000}" name="Occ" dataDxfId="87"/>
    <tableColumn id="3" xr3:uid="{00000000-0010-0000-1500-000003000000}" name="Gain/person" dataDxfId="86"/>
    <tableColumn id="4" xr3:uid="{00000000-0010-0000-1500-000004000000}" name="Sensible" dataDxfId="85"/>
    <tableColumn id="5" xr3:uid="{00000000-0010-0000-1500-000005000000}" name="Latent" dataDxfId="84"/>
    <tableColumn id="6" xr3:uid="{00000000-0010-0000-1500-000006000000}" name="CLF" dataDxfId="83"/>
    <tableColumn id="7" xr3:uid="{00000000-0010-0000-1500-000007000000}" name="Qs (W)" dataDxfId="82">
      <calculatedColumnFormula>B4*C4*D4*F4</calculatedColumnFormula>
    </tableColumn>
    <tableColumn id="8" xr3:uid="{00000000-0010-0000-1500-000008000000}" name="Ql (W)" dataDxfId="81">
      <calculatedColumnFormula>C4*E4*F4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4F8AD3E-DA26-4AB7-A8B3-FED43A0DA675}" name="Table26" displayName="Table26" ref="A3:G62" totalsRowShown="0" headerRowDxfId="76" dataDxfId="74" headerRowBorderDxfId="75" tableBorderDxfId="73" totalsRowBorderDxfId="72">
  <tableColumns count="7">
    <tableColumn id="1" xr3:uid="{3D15F0BA-E56A-48AD-8475-8EDB97578663}" name="Space 1" dataDxfId="71"/>
    <tableColumn id="2" xr3:uid="{E6499B88-C35B-459A-B806-100CCDCDCA2B}" name="Space 2" dataDxfId="70"/>
    <tableColumn id="3" xr3:uid="{D2D2D7C6-259A-4E15-80D5-76BCB5F2755C}" name="U" dataDxfId="69"/>
    <tableColumn id="4" xr3:uid="{0764F60A-9AFF-45C7-9B37-2675DAC3354B}" name="Area" dataDxfId="68">
      <calculatedColumnFormula>References!AW4*2</calculatedColumnFormula>
    </tableColumn>
    <tableColumn id="5" xr3:uid="{089F04A6-59E5-4D01-9963-34848ABB08D8}" name="Ti" dataDxfId="67"/>
    <tableColumn id="6" xr3:uid="{6D9BF11B-E4DD-49A6-BD0B-97AA2C4E05C7}" name="To" dataDxfId="66"/>
    <tableColumn id="7" xr3:uid="{5A992B19-DB89-40D9-A7B7-A2A63D74CAB2}" name="Qs (W)" dataDxfId="65">
      <calculatedColumnFormula>C4*D4*(F4-E4)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BF95BE4-81ED-476D-A997-E43089A78204}" name="Table27" displayName="Table27" ref="A66:G136" totalsRowShown="0" headerRowDxfId="64" dataDxfId="62" headerRowBorderDxfId="63" tableBorderDxfId="61" totalsRowBorderDxfId="60">
  <tableColumns count="7">
    <tableColumn id="1" xr3:uid="{69C0A91B-A3FC-4753-82E6-7AD406608DA3}" name="Space 1" dataDxfId="59"/>
    <tableColumn id="2" xr3:uid="{AEE5E517-E89F-4369-AB32-02BDCE5550D6}" name="Space 2" dataDxfId="58"/>
    <tableColumn id="3" xr3:uid="{534EF880-A31A-4F02-8D63-58BC01851CB2}" name="U" dataDxfId="57"/>
    <tableColumn id="4" xr3:uid="{ADBF381F-28C0-4B1C-A4BB-4EC3FA91953E}" name="Area" dataDxfId="56">
      <calculatedColumnFormula>2*References!AX4</calculatedColumnFormula>
    </tableColumn>
    <tableColumn id="5" xr3:uid="{08AF1E93-1E3D-45EA-A5CD-31D81BB6DB0E}" name="Ti" dataDxfId="55"/>
    <tableColumn id="6" xr3:uid="{83FA9F78-25A4-454A-8AD3-5A7975FA8352}" name="To" dataDxfId="54"/>
    <tableColumn id="7" xr3:uid="{F7BB9612-AFD7-41F9-9A2B-39116DFCDF64}" name="Qs (W)" dataDxfId="53">
      <calculatedColumnFormula>C67*D67*(F67-E67)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EC8EFE-4C0E-46A7-9559-595CD2FC3D4F}" name="Table31" displayName="Table31" ref="A140:G200" totalsRowShown="0" headerRowDxfId="52" dataDxfId="50" headerRowBorderDxfId="51" tableBorderDxfId="49">
  <tableColumns count="7">
    <tableColumn id="1" xr3:uid="{AEFCFF34-ED8A-4D1B-928C-1A4AC9803B91}" name="Space 1" dataDxfId="48"/>
    <tableColumn id="2" xr3:uid="{55781A89-E632-4F5A-B9AE-B40CDA4E25A8}" name="Space 2" dataDxfId="47"/>
    <tableColumn id="3" xr3:uid="{16E0CBE7-3940-41CE-8530-A2D6900F4684}" name="U" dataDxfId="46"/>
    <tableColumn id="4" xr3:uid="{9A5A6631-C755-4076-9BF0-63662EC62164}" name="Area" dataDxfId="45">
      <calculatedColumnFormula>2*References!AY4</calculatedColumnFormula>
    </tableColumn>
    <tableColumn id="5" xr3:uid="{31F594E5-5372-4099-AA2F-E0C7F12066AA}" name="Ti" dataDxfId="44"/>
    <tableColumn id="6" xr3:uid="{28C0F865-E043-41E8-A8E9-9B5DE187E7CF}" name="To" dataDxfId="43"/>
    <tableColumn id="7" xr3:uid="{A12774DA-FA6C-45F2-A816-9E6CC1F9185F}" name="Qs (W)" dataDxfId="42">
      <calculatedColumnFormula>C141*D141*(F141-E141)</calculatedColumnFormula>
    </tableColumn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3:F62" totalsRowShown="0" headerRowDxfId="41" dataDxfId="39" headerRowBorderDxfId="40" tableBorderDxfId="38" totalsRowBorderDxfId="37">
  <tableColumns count="6">
    <tableColumn id="1" xr3:uid="{00000000-0010-0000-1600-000001000000}" name="SPACE" dataDxfId="36"/>
    <tableColumn id="2" xr3:uid="{00000000-0010-0000-1600-000002000000}" name="W" dataDxfId="35">
      <calculatedColumnFormula>13*References!BA4</calculatedColumnFormula>
    </tableColumn>
    <tableColumn id="3" xr3:uid="{00000000-0010-0000-1600-000003000000}" name="Fu" dataDxfId="34"/>
    <tableColumn id="4" xr3:uid="{00000000-0010-0000-1600-000004000000}" name="Fb" dataDxfId="33"/>
    <tableColumn id="5" xr3:uid="{00000000-0010-0000-1600-000005000000}" name="CLF" dataDxfId="32"/>
    <tableColumn id="6" xr3:uid="{00000000-0010-0000-1600-000006000000}" name="Qs (W)" dataDxfId="31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66:F116" totalsRowShown="0" headerRowDxfId="30" dataDxfId="28" headerRowBorderDxfId="29" tableBorderDxfId="27" totalsRowBorderDxfId="26">
  <tableColumns count="6">
    <tableColumn id="1" xr3:uid="{00000000-0010-0000-1700-000001000000}" name="SPACE" dataDxfId="25"/>
    <tableColumn id="2" xr3:uid="{00000000-0010-0000-1700-000002000000}" name="W" dataDxfId="24">
      <calculatedColumnFormula>13*References!BB4</calculatedColumnFormula>
    </tableColumn>
    <tableColumn id="3" xr3:uid="{00000000-0010-0000-1700-000003000000}" name="Fu" dataDxfId="23"/>
    <tableColumn id="4" xr3:uid="{00000000-0010-0000-1700-000004000000}" name="Fb" dataDxfId="22"/>
    <tableColumn id="5" xr3:uid="{00000000-0010-0000-1700-000005000000}" name="CLF" dataDxfId="21"/>
    <tableColumn id="6" xr3:uid="{00000000-0010-0000-1700-000006000000}" name="Qs (W)" dataDxfId="20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20:F164" totalsRowShown="0" headerRowDxfId="19" dataDxfId="17" headerRowBorderDxfId="18" tableBorderDxfId="16" totalsRowBorderDxfId="15">
  <tableColumns count="6">
    <tableColumn id="1" xr3:uid="{00000000-0010-0000-1800-000001000000}" name="SPACE" dataDxfId="14"/>
    <tableColumn id="2" xr3:uid="{00000000-0010-0000-1800-000002000000}" name="W" dataDxfId="13"/>
    <tableColumn id="3" xr3:uid="{00000000-0010-0000-1800-000003000000}" name="Fu" dataDxfId="12"/>
    <tableColumn id="4" xr3:uid="{00000000-0010-0000-1800-000004000000}" name="Fb" dataDxfId="11"/>
    <tableColumn id="5" xr3:uid="{00000000-0010-0000-1800-000005000000}" name="CLF" dataDxfId="10"/>
    <tableColumn id="6" xr3:uid="{00000000-0010-0000-1800-000006000000}" name="Qs (W)" dataDxfId="9">
      <calculatedColumnFormula>B121*C121*D121*E121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354" headerRowBorderDxfId="353" tableBorderDxfId="352" totalsRowBorderDxfId="351">
  <tableColumns count="11">
    <tableColumn id="1" xr3:uid="{00000000-0010-0000-0200-000001000000}" name="Space" dataDxfId="350"/>
    <tableColumn id="2" xr3:uid="{00000000-0010-0000-0200-000002000000}" name="Orientation" dataDxfId="349"/>
    <tableColumn id="3" xr3:uid="{00000000-0010-0000-0200-000003000000}" name="U" dataDxfId="348"/>
    <tableColumn id="4" xr3:uid="{00000000-0010-0000-0200-000004000000}" name="A(m^2)" dataDxfId="347"/>
    <tableColumn id="5" xr3:uid="{00000000-0010-0000-0200-000005000000}" name="CLTDsel" dataDxfId="346"/>
    <tableColumn id="6" xr3:uid="{00000000-0010-0000-0200-000006000000}" name="LM" dataDxfId="345"/>
    <tableColumn id="7" xr3:uid="{00000000-0010-0000-0200-000007000000}" name="k" dataDxfId="344"/>
    <tableColumn id="8" xr3:uid="{00000000-0010-0000-0200-000008000000}" name="Ti" dataDxfId="343"/>
    <tableColumn id="9" xr3:uid="{00000000-0010-0000-0200-000009000000}" name="Tave" dataDxfId="342"/>
    <tableColumn id="10" xr3:uid="{00000000-0010-0000-0200-00000A000000}" name="CLTD adj" dataDxfId="341">
      <calculatedColumnFormula>(E42+F42)*G42+(25-H42)+(I42-29)</calculatedColumnFormula>
    </tableColumn>
    <tableColumn id="11" xr3:uid="{00000000-0010-0000-0200-00000B000000}" name="Q(W)" dataDxfId="340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338" headerRowBorderDxfId="337" tableBorderDxfId="336" totalsRowBorderDxfId="335">
  <tableColumns count="11">
    <tableColumn id="1" xr3:uid="{00000000-0010-0000-0300-000001000000}" name="Space" dataDxfId="334"/>
    <tableColumn id="2" xr3:uid="{00000000-0010-0000-0300-000002000000}" name="Orientation" dataDxfId="333"/>
    <tableColumn id="3" xr3:uid="{00000000-0010-0000-0300-000003000000}" name="U" dataDxfId="332"/>
    <tableColumn id="4" xr3:uid="{00000000-0010-0000-0300-000004000000}" name="To" dataDxfId="331"/>
    <tableColumn id="5" xr3:uid="{00000000-0010-0000-0300-000005000000}" name="Ti" dataDxfId="330"/>
    <tableColumn id="6" xr3:uid="{00000000-0010-0000-0300-000006000000}" name="A(m^2)" dataDxfId="329">
      <calculatedColumnFormula>References!E5*References!F5</calculatedColumnFormula>
    </tableColumn>
    <tableColumn id="7" xr3:uid="{00000000-0010-0000-0300-000007000000}" name="SHGF" dataDxfId="328">
      <calculatedColumnFormula>_xlfn.IFS(B4="E",685,B4="N",120,B4="W",685,B4="S",230)</calculatedColumnFormula>
    </tableColumn>
    <tableColumn id="8" xr3:uid="{00000000-0010-0000-0300-000008000000}" name="SCL" dataDxfId="327">
      <calculatedColumnFormula>_xlfn.IFS(B4="E",0.8,B4="N",0.91,B4="W",0.82,B4="S",0.83)</calculatedColumnFormula>
    </tableColumn>
    <tableColumn id="9" xr3:uid="{00000000-0010-0000-0300-000009000000}" name="SC" dataDxfId="326"/>
    <tableColumn id="10" xr3:uid="{00000000-0010-0000-0300-00000A000000}" name="Qsg (W)" dataDxfId="325">
      <calculatedColumnFormula>G4*H4*F4*I4</calculatedColumnFormula>
    </tableColumn>
    <tableColumn id="11" xr3:uid="{00000000-0010-0000-0300-00000B000000}" name="Qth (W)" dataDxfId="324">
      <calculatedColumnFormula>(C4*F4)*(D4-E4)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2:K98" totalsRowShown="0" headerRowDxfId="323" dataDxfId="321" headerRowBorderDxfId="322" tableBorderDxfId="320" totalsRowBorderDxfId="319">
  <tableColumns count="11">
    <tableColumn id="1" xr3:uid="{00000000-0010-0000-0400-000001000000}" name="Space" dataDxfId="318"/>
    <tableColumn id="2" xr3:uid="{00000000-0010-0000-0400-000002000000}" name="Orientation" dataDxfId="317"/>
    <tableColumn id="3" xr3:uid="{00000000-0010-0000-0400-000003000000}" name="U" dataDxfId="316"/>
    <tableColumn id="4" xr3:uid="{00000000-0010-0000-0400-000004000000}" name="To" dataDxfId="315"/>
    <tableColumn id="5" xr3:uid="{00000000-0010-0000-0400-000005000000}" name="Ti" dataDxfId="314"/>
    <tableColumn id="6" xr3:uid="{00000000-0010-0000-0400-000006000000}" name="A(m^2)" dataDxfId="313">
      <calculatedColumnFormula>References!E41*References!F41</calculatedColumnFormula>
    </tableColumn>
    <tableColumn id="7" xr3:uid="{00000000-0010-0000-0400-000007000000}" name="SHGF" dataDxfId="312">
      <calculatedColumnFormula>_xlfn.IFS(B73="E",685,B73="N",120,B73="W",685,B73="S",230)</calculatedColumnFormula>
    </tableColumn>
    <tableColumn id="8" xr3:uid="{00000000-0010-0000-0400-000008000000}" name="SCL" dataDxfId="311">
      <calculatedColumnFormula>_xlfn.IFS(B73="E",0.8,B73="N",0.91,B73="W",0.82,B73="S",0.83)</calculatedColumnFormula>
    </tableColumn>
    <tableColumn id="9" xr3:uid="{00000000-0010-0000-0400-000009000000}" name="SC" dataDxfId="310"/>
    <tableColumn id="10" xr3:uid="{00000000-0010-0000-0400-00000A000000}" name="Qsg (W)" dataDxfId="309">
      <calculatedColumnFormula>G73*H73*F73*I73</calculatedColumnFormula>
    </tableColumn>
    <tableColumn id="11" xr3:uid="{00000000-0010-0000-0400-00000B000000}" name="Qth (W)" dataDxfId="308">
      <calculatedColumnFormula>(C73*F73)*(D73-E73)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8:K67" totalsRowShown="0" headerRowDxfId="307" headerRowBorderDxfId="306" tableBorderDxfId="305" totalsRowBorderDxfId="304">
  <tableColumns count="11">
    <tableColumn id="1" xr3:uid="{00000000-0010-0000-0500-000001000000}" name="Space" dataDxfId="303"/>
    <tableColumn id="2" xr3:uid="{00000000-0010-0000-0500-000002000000}" name="Orientation" dataDxfId="302"/>
    <tableColumn id="3" xr3:uid="{00000000-0010-0000-0500-000003000000}" name="U" dataDxfId="301"/>
    <tableColumn id="4" xr3:uid="{00000000-0010-0000-0500-000004000000}" name="To" dataDxfId="300"/>
    <tableColumn id="5" xr3:uid="{00000000-0010-0000-0500-000005000000}" name="Ti" dataDxfId="299"/>
    <tableColumn id="6" xr3:uid="{00000000-0010-0000-0500-000006000000}" name="A(m^2)" dataDxfId="298"/>
    <tableColumn id="7" xr3:uid="{00000000-0010-0000-0500-000007000000}" name="SHGF" dataDxfId="297">
      <calculatedColumnFormula>_xlfn.IFS(B39="N",120,B39="E",685,B39="S",230,B39="W",685)</calculatedColumnFormula>
    </tableColumn>
    <tableColumn id="8" xr3:uid="{00000000-0010-0000-0500-000008000000}" name="SCL" dataDxfId="296">
      <calculatedColumnFormula>_xlfn.IFS(B39="N",0.91,B39="E",0.8,B39="S",0.83,B39="W",0.82)</calculatedColumnFormula>
    </tableColumn>
    <tableColumn id="9" xr3:uid="{00000000-0010-0000-0500-000009000000}" name="SC" dataDxfId="295"/>
    <tableColumn id="10" xr3:uid="{00000000-0010-0000-0500-00000A000000}" name="Qsg (W)" dataDxfId="294">
      <calculatedColumnFormula>I39*H39*G39*F39</calculatedColumnFormula>
    </tableColumn>
    <tableColumn id="11" xr3:uid="{00000000-0010-0000-0500-00000B000000}" name="Qth (W)" dataDxfId="293">
      <calculatedColumnFormula>(C39*F39)*(D39-E39)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7:I157" totalsRowShown="0" headerRowDxfId="292" headerRowBorderDxfId="291" tableBorderDxfId="290" totalsRowBorderDxfId="289">
  <tableColumns count="9">
    <tableColumn id="1" xr3:uid="{00000000-0010-0000-0600-000001000000}" name="SPACE" dataDxfId="288"/>
    <tableColumn id="2" xr3:uid="{00000000-0010-0000-0600-000002000000}" name="Volume" dataDxfId="287">
      <calculatedColumnFormula>References!AB4*4</calculatedColumnFormula>
    </tableColumn>
    <tableColumn id="3" xr3:uid="{00000000-0010-0000-0600-000003000000}" name="L/s" dataDxfId="286">
      <calculatedColumnFormula>((0.15+0.01*3+0.007*(D78-E78))*B78)/3.6</calculatedColumnFormula>
    </tableColumn>
    <tableColumn id="4" xr3:uid="{00000000-0010-0000-0600-000004000000}" name="To" dataDxfId="285"/>
    <tableColumn id="5" xr3:uid="{00000000-0010-0000-0600-000005000000}" name="Ti" dataDxfId="284"/>
    <tableColumn id="6" xr3:uid="{00000000-0010-0000-0600-000006000000}" name="Wo" dataDxfId="283"/>
    <tableColumn id="7" xr3:uid="{00000000-0010-0000-0600-000007000000}" name="Wi" dataDxfId="282">
      <calculatedColumnFormula>_xlfn.IFS(E78=22.5,0.00848061,E78=22,0.00821976,E78=24,0.00929323,E78=28,0.0118162235)</calculatedColumnFormula>
    </tableColumn>
    <tableColumn id="8" xr3:uid="{00000000-0010-0000-0600-000008000000}" name="Qs (W)" dataDxfId="281">
      <calculatedColumnFormula>1.23*C78*(D78-E78)</calculatedColumnFormula>
    </tableColumn>
    <tableColumn id="9" xr3:uid="{00000000-0010-0000-0600-000009000000}" name="Ql (W)" dataDxfId="280">
      <calculatedColumnFormula>3000*C78*(F78-G78)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2:I232" totalsRowShown="0" headerRowDxfId="279" headerRowBorderDxfId="278" tableBorderDxfId="277" totalsRowBorderDxfId="276">
  <tableColumns count="9">
    <tableColumn id="1" xr3:uid="{00000000-0010-0000-0700-000001000000}" name="Space" dataDxfId="275"/>
    <tableColumn id="2" xr3:uid="{00000000-0010-0000-0700-000002000000}" name="Volume" dataDxfId="274">
      <calculatedColumnFormula>References!AE4*4</calculatedColumnFormula>
    </tableColumn>
    <tableColumn id="3" xr3:uid="{00000000-0010-0000-0700-000003000000}" name="L/s" dataDxfId="273">
      <calculatedColumnFormula>(References!AD4*B163)/3.6</calculatedColumnFormula>
    </tableColumn>
    <tableColumn id="4" xr3:uid="{00000000-0010-0000-0700-000004000000}" name="To" dataDxfId="272"/>
    <tableColumn id="5" xr3:uid="{00000000-0010-0000-0700-000005000000}" name="Ti" dataDxfId="271"/>
    <tableColumn id="6" xr3:uid="{00000000-0010-0000-0700-000006000000}" name="Wo" dataDxfId="270"/>
    <tableColumn id="7" xr3:uid="{00000000-0010-0000-0700-000007000000}" name="Wi" dataDxfId="269">
      <calculatedColumnFormula>_xlfn.IFS(E163=22.5,0.00848031,E163=24,0.009293235,E163=22,0.00821976,E163=28,0.0118162235)</calculatedColumnFormula>
    </tableColumn>
    <tableColumn id="8" xr3:uid="{00000000-0010-0000-0700-000008000000}" name="Qs" dataDxfId="268">
      <calculatedColumnFormula>1.232*(D163-E163)*C163</calculatedColumnFormula>
    </tableColumn>
    <tableColumn id="9" xr3:uid="{00000000-0010-0000-0700-000009000000}" name="Ql" dataDxfId="267">
      <calculatedColumnFormula>3000*C163*(F163-G163)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2" totalsRowShown="0" headerRowDxfId="266" headerRowBorderDxfId="265" tableBorderDxfId="264" totalsRowBorderDxfId="263">
  <tableColumns count="9">
    <tableColumn id="1" xr3:uid="{00000000-0010-0000-0800-000001000000}" name="SPACE" dataDxfId="262"/>
    <tableColumn id="2" xr3:uid="{00000000-0010-0000-0800-000002000000}" name="Volume" dataDxfId="261">
      <calculatedColumnFormula>References!Z4*4</calculatedColumnFormula>
    </tableColumn>
    <tableColumn id="3" xr3:uid="{00000000-0010-0000-0800-000003000000}" name="L/s" dataDxfId="260">
      <calculatedColumnFormula>(References!Y4*B4)/3.6</calculatedColumnFormula>
    </tableColumn>
    <tableColumn id="4" xr3:uid="{00000000-0010-0000-0800-000004000000}" name="To" dataDxfId="259"/>
    <tableColumn id="5" xr3:uid="{00000000-0010-0000-0800-000005000000}" name="Ti" dataDxfId="258"/>
    <tableColumn id="6" xr3:uid="{00000000-0010-0000-0800-000006000000}" name="Wo" dataDxfId="257"/>
    <tableColumn id="7" xr3:uid="{00000000-0010-0000-0800-000007000000}" name="Wi" dataDxfId="256"/>
    <tableColumn id="8" xr3:uid="{00000000-0010-0000-0800-000008000000}" name="Qs (W)" dataDxfId="255">
      <calculatedColumnFormula>(1.232*(D4-E4)*C4)</calculatedColumnFormula>
    </tableColumn>
    <tableColumn id="9" xr3:uid="{00000000-0010-0000-0800-000009000000}" name="Ql (W)" dataDxfId="254">
      <calculatedColumnFormula>3000*C4*(F4-G4)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31"/>
  <sheetViews>
    <sheetView topLeftCell="A67" zoomScale="85" zoomScaleNormal="85" workbookViewId="0">
      <selection activeCell="H16" sqref="H16"/>
    </sheetView>
  </sheetViews>
  <sheetFormatPr defaultRowHeight="15" x14ac:dyDescent="0.25"/>
  <cols>
    <col min="1" max="1" width="32.7109375" customWidth="1"/>
    <col min="2" max="2" width="12.42578125" customWidth="1"/>
    <col min="4" max="4" width="9.140625" customWidth="1"/>
    <col min="5" max="5" width="10.28515625" customWidth="1"/>
    <col min="10" max="10" width="15.28515625" customWidth="1"/>
    <col min="13" max="13" width="12.140625" customWidth="1"/>
    <col min="14" max="14" width="15.85546875" customWidth="1"/>
    <col min="15" max="15" width="12.28515625" customWidth="1"/>
    <col min="17" max="17" width="11.28515625" customWidth="1"/>
  </cols>
  <sheetData>
    <row r="1" spans="1:19" ht="23.25" x14ac:dyDescent="0.25">
      <c r="A1" s="159" t="s">
        <v>537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9" ht="24" thickBot="1" x14ac:dyDescent="0.4">
      <c r="A2" s="157" t="s">
        <v>160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</row>
    <row r="3" spans="1:19" ht="15.75" thickBot="1" x14ac:dyDescent="0.3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N3" s="160" t="s">
        <v>539</v>
      </c>
      <c r="O3" s="160"/>
      <c r="P3" s="160"/>
      <c r="Q3" s="160"/>
      <c r="R3" s="160"/>
      <c r="S3" s="160"/>
    </row>
    <row r="4" spans="1:19" ht="15.75" thickBot="1" x14ac:dyDescent="0.3">
      <c r="A4" s="8" t="s">
        <v>54</v>
      </c>
      <c r="B4" s="6" t="s">
        <v>46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  <c r="N4" s="161"/>
      <c r="O4" s="161"/>
      <c r="P4" s="161"/>
      <c r="Q4" s="161" t="s">
        <v>430</v>
      </c>
      <c r="R4" s="161"/>
      <c r="S4" s="161"/>
    </row>
    <row r="5" spans="1:19" ht="15.75" thickBot="1" x14ac:dyDescent="0.3">
      <c r="A5" s="8" t="s">
        <v>54</v>
      </c>
      <c r="B5" s="6" t="s">
        <v>47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  <c r="N5" s="162" t="s">
        <v>160</v>
      </c>
      <c r="O5" s="162"/>
      <c r="P5" s="162"/>
      <c r="Q5" s="162">
        <f>K38</f>
        <v>39227.857343999996</v>
      </c>
      <c r="R5" s="162"/>
      <c r="S5" s="162"/>
    </row>
    <row r="6" spans="1:19" ht="15.75" thickBot="1" x14ac:dyDescent="0.3">
      <c r="A6" s="9" t="s">
        <v>55</v>
      </c>
      <c r="B6" s="6" t="s">
        <v>47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N6" s="162" t="s">
        <v>41</v>
      </c>
      <c r="O6" s="162"/>
      <c r="P6" s="162"/>
      <c r="Q6" s="162">
        <f>K85</f>
        <v>29577.289556411994</v>
      </c>
      <c r="R6" s="162"/>
      <c r="S6" s="162"/>
    </row>
    <row r="7" spans="1:19" ht="15.75" thickBot="1" x14ac:dyDescent="0.3">
      <c r="A7" s="9" t="s">
        <v>56</v>
      </c>
      <c r="B7" s="6" t="s">
        <v>47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N7" s="162" t="s">
        <v>59</v>
      </c>
      <c r="O7" s="162"/>
      <c r="P7" s="162"/>
      <c r="Q7" s="162">
        <f>K131</f>
        <v>48183.830135999997</v>
      </c>
      <c r="R7" s="162"/>
      <c r="S7" s="162"/>
    </row>
    <row r="8" spans="1:19" ht="15.75" thickBot="1" x14ac:dyDescent="0.3">
      <c r="A8" s="8" t="s">
        <v>57</v>
      </c>
      <c r="B8" s="6" t="s">
        <v>47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  <c r="N8" s="163" t="s">
        <v>540</v>
      </c>
      <c r="O8" s="163"/>
      <c r="P8" s="163"/>
      <c r="Q8" s="151">
        <f>Q5+Q6+Q7</f>
        <v>116988.97703641199</v>
      </c>
      <c r="R8" s="152"/>
      <c r="S8" s="153"/>
    </row>
    <row r="9" spans="1:19" ht="15.75" thickBot="1" x14ac:dyDescent="0.3">
      <c r="A9" s="8" t="s">
        <v>58</v>
      </c>
      <c r="B9" s="6" t="s">
        <v>47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  <c r="N9" s="163"/>
      <c r="O9" s="163"/>
      <c r="P9" s="163"/>
      <c r="Q9" s="154"/>
      <c r="R9" s="155"/>
      <c r="S9" s="156"/>
    </row>
    <row r="10" spans="1:19" ht="15.75" thickBot="1" x14ac:dyDescent="0.3">
      <c r="A10" s="10" t="s">
        <v>26</v>
      </c>
      <c r="B10" s="6" t="s">
        <v>47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</row>
    <row r="11" spans="1:19" ht="15.75" thickBot="1" x14ac:dyDescent="0.3">
      <c r="A11" s="8" t="s">
        <v>27</v>
      </c>
      <c r="B11" s="6" t="s">
        <v>47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</row>
    <row r="12" spans="1:19" ht="15.75" thickBot="1" x14ac:dyDescent="0.3">
      <c r="A12" s="8" t="s">
        <v>27</v>
      </c>
      <c r="B12" s="6" t="s">
        <v>48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</row>
    <row r="13" spans="1:19" ht="15.75" thickBot="1" x14ac:dyDescent="0.3">
      <c r="A13" s="11" t="s">
        <v>25</v>
      </c>
      <c r="B13" s="6" t="s">
        <v>47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</row>
    <row r="14" spans="1:19" ht="15.75" thickBot="1" x14ac:dyDescent="0.3">
      <c r="A14" s="10" t="s">
        <v>40</v>
      </c>
      <c r="B14" s="6" t="s">
        <v>46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</row>
    <row r="15" spans="1:19" ht="15.75" thickBot="1" x14ac:dyDescent="0.3">
      <c r="A15" s="12" t="s">
        <v>39</v>
      </c>
      <c r="B15" s="6" t="s">
        <v>48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</row>
    <row r="16" spans="1:19" ht="15.75" thickBot="1" x14ac:dyDescent="0.3">
      <c r="A16" s="13" t="s">
        <v>28</v>
      </c>
      <c r="B16" s="6" t="s">
        <v>48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28</v>
      </c>
      <c r="I16" s="6">
        <f>(References!T$4)-(References!T$3/2)</f>
        <v>30.45</v>
      </c>
      <c r="J16" s="6">
        <f t="shared" si="0"/>
        <v>19.5425</v>
      </c>
      <c r="K16" s="15">
        <f t="shared" si="1"/>
        <v>4465.3237199999994</v>
      </c>
    </row>
    <row r="17" spans="1:11" ht="15.75" thickBot="1" x14ac:dyDescent="0.3">
      <c r="A17" s="10" t="s">
        <v>38</v>
      </c>
      <c r="B17" s="6" t="s">
        <v>46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</v>
      </c>
      <c r="I17" s="6">
        <f>(References!T$4)-(References!T$3/2)</f>
        <v>30.45</v>
      </c>
      <c r="J17" s="6">
        <f t="shared" si="0"/>
        <v>20.342499999999998</v>
      </c>
      <c r="K17" s="15">
        <f t="shared" si="1"/>
        <v>1465.7760000000001</v>
      </c>
    </row>
    <row r="18" spans="1:11" ht="15.75" thickBot="1" x14ac:dyDescent="0.3">
      <c r="A18" s="13" t="s">
        <v>29</v>
      </c>
      <c r="B18" s="6" t="s">
        <v>46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</row>
    <row r="19" spans="1:11" ht="15.75" thickBot="1" x14ac:dyDescent="0.3">
      <c r="A19" s="10" t="s">
        <v>37</v>
      </c>
      <c r="B19" s="6" t="s">
        <v>46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</row>
    <row r="20" spans="1:11" ht="15.75" thickBot="1" x14ac:dyDescent="0.3">
      <c r="A20" s="10" t="s">
        <v>36</v>
      </c>
      <c r="B20" s="6" t="s">
        <v>46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</row>
    <row r="21" spans="1:11" ht="15.75" thickBot="1" x14ac:dyDescent="0.3">
      <c r="A21" s="10" t="s">
        <v>35</v>
      </c>
      <c r="B21" s="7" t="s">
        <v>47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</row>
    <row r="22" spans="1:11" ht="15.75" thickBot="1" x14ac:dyDescent="0.3">
      <c r="A22" s="10" t="s">
        <v>35</v>
      </c>
      <c r="B22" s="6" t="s">
        <v>48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</row>
    <row r="23" spans="1:11" ht="15.75" thickBot="1" x14ac:dyDescent="0.3">
      <c r="A23" s="10" t="s">
        <v>106</v>
      </c>
      <c r="B23" s="7" t="s">
        <v>47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</row>
    <row r="24" spans="1:11" ht="15.75" thickBot="1" x14ac:dyDescent="0.3">
      <c r="A24" s="10" t="s">
        <v>106</v>
      </c>
      <c r="B24" s="6" t="s">
        <v>48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</row>
    <row r="25" spans="1:11" ht="15.75" thickBot="1" x14ac:dyDescent="0.3">
      <c r="A25" s="10" t="s">
        <v>34</v>
      </c>
      <c r="B25" s="6" t="s">
        <v>49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</row>
    <row r="26" spans="1:11" ht="15.75" thickBot="1" x14ac:dyDescent="0.3">
      <c r="A26" s="10" t="s">
        <v>34</v>
      </c>
      <c r="B26" s="7" t="s">
        <v>46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</row>
    <row r="27" spans="1:11" ht="15.75" thickBot="1" x14ac:dyDescent="0.3">
      <c r="A27" s="10" t="s">
        <v>33</v>
      </c>
      <c r="B27" s="7" t="s">
        <v>49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</row>
    <row r="28" spans="1:11" ht="15.75" thickBot="1" x14ac:dyDescent="0.3">
      <c r="A28" s="10" t="s">
        <v>51</v>
      </c>
      <c r="B28" s="7" t="s">
        <v>49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</row>
    <row r="29" spans="1:11" ht="15.75" thickBot="1" x14ac:dyDescent="0.3">
      <c r="A29" s="10" t="s">
        <v>32</v>
      </c>
      <c r="B29" s="7" t="s">
        <v>49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</row>
    <row r="30" spans="1:11" ht="15.75" thickBot="1" x14ac:dyDescent="0.3">
      <c r="A30" s="10" t="s">
        <v>31</v>
      </c>
      <c r="B30" s="7" t="s">
        <v>48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</row>
    <row r="31" spans="1:11" ht="15.75" thickBot="1" x14ac:dyDescent="0.3">
      <c r="A31" s="10" t="s">
        <v>31</v>
      </c>
      <c r="B31" s="7" t="s">
        <v>49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</row>
    <row r="32" spans="1:11" ht="15.75" thickBot="1" x14ac:dyDescent="0.3">
      <c r="A32" s="11" t="s">
        <v>25</v>
      </c>
      <c r="B32" s="7" t="s">
        <v>48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</row>
    <row r="33" spans="1:14" ht="15.75" thickBot="1" x14ac:dyDescent="0.3">
      <c r="A33" s="14" t="s">
        <v>25</v>
      </c>
      <c r="B33" s="7" t="s">
        <v>49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</row>
    <row r="34" spans="1:14" ht="15.75" thickBot="1" x14ac:dyDescent="0.3">
      <c r="A34" s="10" t="s">
        <v>30</v>
      </c>
      <c r="B34" s="7" t="s">
        <v>48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</row>
    <row r="35" spans="1:14" ht="15.75" thickBot="1" x14ac:dyDescent="0.3">
      <c r="A35" s="10" t="s">
        <v>30</v>
      </c>
      <c r="B35" s="7" t="s">
        <v>46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</row>
    <row r="36" spans="1:14" ht="15.75" thickBot="1" x14ac:dyDescent="0.3">
      <c r="A36" s="10" t="s">
        <v>30</v>
      </c>
      <c r="B36" s="7" t="s">
        <v>49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</row>
    <row r="37" spans="1:14" ht="15.75" thickBot="1" x14ac:dyDescent="0.3">
      <c r="A37" s="19" t="s">
        <v>50</v>
      </c>
      <c r="B37" s="20" t="s">
        <v>46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</row>
    <row r="38" spans="1:14" ht="16.5" thickTop="1" thickBot="1" x14ac:dyDescent="0.3">
      <c r="J38" s="44" t="s">
        <v>42</v>
      </c>
      <c r="K38" s="44">
        <f>SUM(K4:K37)</f>
        <v>39227.857343999996</v>
      </c>
    </row>
    <row r="39" spans="1:14" ht="15.75" thickTop="1" x14ac:dyDescent="0.25"/>
    <row r="40" spans="1:14" ht="24" thickBot="1" x14ac:dyDescent="0.4">
      <c r="A40" s="157" t="s">
        <v>41</v>
      </c>
      <c r="B40" s="157"/>
      <c r="C40" s="157"/>
      <c r="D40" s="157"/>
      <c r="E40" s="157"/>
      <c r="F40" s="157"/>
      <c r="G40" s="157"/>
      <c r="H40" s="157"/>
      <c r="I40" s="157"/>
      <c r="J40" s="157"/>
      <c r="K40" s="157"/>
    </row>
    <row r="41" spans="1:14" ht="15.75" thickBot="1" x14ac:dyDescent="0.3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.75" thickBot="1" x14ac:dyDescent="0.3">
      <c r="A42" s="9" t="s">
        <v>83</v>
      </c>
      <c r="B42" s="6" t="s">
        <v>46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.75" thickBot="1" x14ac:dyDescent="0.3">
      <c r="A43" s="9" t="s">
        <v>84</v>
      </c>
      <c r="B43" s="6" t="s">
        <v>47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.75" thickBot="1" x14ac:dyDescent="0.3">
      <c r="A44" s="8" t="s">
        <v>144</v>
      </c>
      <c r="B44" s="6" t="s">
        <v>47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.75" thickBot="1" x14ac:dyDescent="0.3">
      <c r="A45" s="9" t="s">
        <v>62</v>
      </c>
      <c r="B45" s="6" t="s">
        <v>47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28</v>
      </c>
      <c r="I45" s="6">
        <v>30.45</v>
      </c>
      <c r="J45" s="6">
        <f t="shared" si="4"/>
        <v>8.343</v>
      </c>
      <c r="K45" s="15">
        <f t="shared" si="5"/>
        <v>978.31753343999992</v>
      </c>
    </row>
    <row r="46" spans="1:14" ht="15.75" thickBot="1" x14ac:dyDescent="0.3">
      <c r="A46" s="9" t="s">
        <v>63</v>
      </c>
      <c r="B46" s="6" t="s">
        <v>48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28</v>
      </c>
      <c r="I46" s="6">
        <v>30.45</v>
      </c>
      <c r="J46" s="6">
        <f t="shared" si="4"/>
        <v>19.5425</v>
      </c>
      <c r="K46" s="15">
        <f t="shared" si="5"/>
        <v>2185.5018743999999</v>
      </c>
    </row>
    <row r="47" spans="1:14" ht="15.75" thickBot="1" x14ac:dyDescent="0.3">
      <c r="A47" s="8" t="s">
        <v>145</v>
      </c>
      <c r="B47" s="6" t="s">
        <v>47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.75" thickBot="1" x14ac:dyDescent="0.3">
      <c r="A48" s="8" t="s">
        <v>147</v>
      </c>
      <c r="B48" s="6" t="s">
        <v>47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.75" thickBot="1" x14ac:dyDescent="0.3">
      <c r="A49" s="8" t="s">
        <v>146</v>
      </c>
      <c r="B49" s="6" t="s">
        <v>48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.75" thickBot="1" x14ac:dyDescent="0.3">
      <c r="A50" s="8" t="s">
        <v>126</v>
      </c>
      <c r="B50" s="6" t="s">
        <v>48</v>
      </c>
      <c r="C50" s="6">
        <v>2.7143999999999999</v>
      </c>
      <c r="D50" s="6">
        <v>9.6999999999999993</v>
      </c>
      <c r="E50" s="6">
        <v>33</v>
      </c>
      <c r="F50" s="6">
        <v>-0.55000000000000004</v>
      </c>
      <c r="G50" s="6">
        <v>0.65</v>
      </c>
      <c r="H50" s="6">
        <v>28</v>
      </c>
      <c r="I50" s="6">
        <v>30.45</v>
      </c>
      <c r="J50" s="6">
        <f t="shared" si="4"/>
        <v>19.5425</v>
      </c>
      <c r="K50" s="15">
        <f t="shared" si="5"/>
        <v>514.54777139999999</v>
      </c>
    </row>
    <row r="51" spans="1:13" ht="15.75" thickBot="1" x14ac:dyDescent="0.3">
      <c r="A51" s="9" t="s">
        <v>148</v>
      </c>
      <c r="B51" s="6" t="s">
        <v>48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.75" thickBot="1" x14ac:dyDescent="0.3">
      <c r="A52" s="9" t="s">
        <v>149</v>
      </c>
      <c r="B52" s="6" t="s">
        <v>49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.75" thickBot="1" x14ac:dyDescent="0.3">
      <c r="A53" s="9" t="s">
        <v>150</v>
      </c>
      <c r="B53" s="6" t="s">
        <v>48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</row>
    <row r="54" spans="1:13" ht="15.75" thickBot="1" x14ac:dyDescent="0.3">
      <c r="A54" s="8" t="s">
        <v>70</v>
      </c>
      <c r="B54" s="6" t="s">
        <v>48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.75" thickBot="1" x14ac:dyDescent="0.3">
      <c r="A55" s="8" t="s">
        <v>70</v>
      </c>
      <c r="B55" s="6" t="s">
        <v>48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.75" thickBot="1" x14ac:dyDescent="0.3">
      <c r="A56" s="8" t="s">
        <v>70</v>
      </c>
      <c r="B56" s="6" t="s">
        <v>48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.75" thickBot="1" x14ac:dyDescent="0.3">
      <c r="A57" s="8" t="s">
        <v>70</v>
      </c>
      <c r="B57" s="6" t="s">
        <v>48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.75" thickBot="1" x14ac:dyDescent="0.3">
      <c r="A58" s="8" t="s">
        <v>127</v>
      </c>
      <c r="B58" s="6" t="s">
        <v>48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</row>
    <row r="59" spans="1:13" ht="15.75" thickBot="1" x14ac:dyDescent="0.3">
      <c r="A59" s="8" t="s">
        <v>151</v>
      </c>
      <c r="B59" s="6" t="s">
        <v>47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.75" thickBot="1" x14ac:dyDescent="0.3">
      <c r="A60" s="8" t="s">
        <v>152</v>
      </c>
      <c r="B60" s="6" t="s">
        <v>48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/>
    </row>
    <row r="61" spans="1:13" ht="15.75" thickBot="1" x14ac:dyDescent="0.3">
      <c r="A61" s="9" t="s">
        <v>154</v>
      </c>
      <c r="B61" s="6" t="s">
        <v>48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.75" thickBot="1" x14ac:dyDescent="0.3">
      <c r="A62" s="9" t="s">
        <v>153</v>
      </c>
      <c r="B62" s="6" t="s">
        <v>49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</row>
    <row r="63" spans="1:13" ht="15.75" thickBot="1" x14ac:dyDescent="0.3">
      <c r="A63" s="9" t="s">
        <v>155</v>
      </c>
      <c r="B63" s="6" t="s">
        <v>49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</row>
    <row r="64" spans="1:13" ht="15.75" thickBot="1" x14ac:dyDescent="0.3">
      <c r="A64" s="8" t="s">
        <v>130</v>
      </c>
      <c r="B64" s="6" t="s">
        <v>49</v>
      </c>
      <c r="C64" s="6">
        <v>2.7143999999999999</v>
      </c>
      <c r="D64" s="6">
        <v>19.2</v>
      </c>
      <c r="E64" s="6">
        <v>22</v>
      </c>
      <c r="F64" s="6">
        <v>-3.88</v>
      </c>
      <c r="G64" s="6">
        <v>0.65</v>
      </c>
      <c r="H64" s="6">
        <v>28</v>
      </c>
      <c r="I64" s="6">
        <v>30.45</v>
      </c>
      <c r="J64" s="6">
        <f t="shared" si="4"/>
        <v>10.228</v>
      </c>
      <c r="K64" s="15">
        <f t="shared" si="5"/>
        <v>533.04735743999993</v>
      </c>
    </row>
    <row r="65" spans="1:13" ht="15.75" thickBot="1" x14ac:dyDescent="0.3">
      <c r="A65" s="8" t="s">
        <v>131</v>
      </c>
      <c r="B65" s="6" t="s">
        <v>49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/>
    </row>
    <row r="66" spans="1:13" ht="15.75" thickBot="1" x14ac:dyDescent="0.3">
      <c r="A66" s="8" t="s">
        <v>132</v>
      </c>
      <c r="B66" s="6" t="s">
        <v>49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.75" thickBot="1" x14ac:dyDescent="0.3">
      <c r="A67" s="8" t="s">
        <v>133</v>
      </c>
      <c r="B67" s="6" t="s">
        <v>49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.75" thickBot="1" x14ac:dyDescent="0.3">
      <c r="A68" s="8" t="s">
        <v>134</v>
      </c>
      <c r="B68" s="6" t="s">
        <v>49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.75" thickBot="1" x14ac:dyDescent="0.3">
      <c r="A69" s="8" t="s">
        <v>135</v>
      </c>
      <c r="B69" s="6" t="s">
        <v>49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</row>
    <row r="70" spans="1:13" ht="15.75" thickBot="1" x14ac:dyDescent="0.3">
      <c r="A70" s="8" t="s">
        <v>136</v>
      </c>
      <c r="B70" s="6" t="s">
        <v>49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</row>
    <row r="71" spans="1:13" ht="15.75" thickBot="1" x14ac:dyDescent="0.3">
      <c r="A71" s="8" t="s">
        <v>137</v>
      </c>
      <c r="B71" s="6" t="s">
        <v>49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</row>
    <row r="72" spans="1:13" ht="15.75" thickBot="1" x14ac:dyDescent="0.3">
      <c r="A72" s="8" t="s">
        <v>138</v>
      </c>
      <c r="B72" s="6" t="s">
        <v>49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.75" thickBot="1" x14ac:dyDescent="0.3">
      <c r="A73" s="9" t="s">
        <v>156</v>
      </c>
      <c r="B73" s="6" t="s">
        <v>49</v>
      </c>
      <c r="C73" s="6">
        <v>2.7143999999999999</v>
      </c>
      <c r="D73" s="6">
        <v>6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264.29569920000006</v>
      </c>
    </row>
    <row r="74" spans="1:13" ht="15.75" thickBot="1" x14ac:dyDescent="0.3">
      <c r="A74" s="9" t="s">
        <v>157</v>
      </c>
      <c r="B74" s="6" t="s">
        <v>46</v>
      </c>
      <c r="C74" s="6">
        <v>2.7143999999999999</v>
      </c>
      <c r="D74" s="6">
        <v>6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331.30609199999998</v>
      </c>
    </row>
    <row r="75" spans="1:13" ht="15.75" thickBot="1" x14ac:dyDescent="0.3">
      <c r="A75" s="10" t="s">
        <v>65</v>
      </c>
      <c r="B75" s="6" t="s">
        <v>46</v>
      </c>
      <c r="C75" s="6">
        <v>2.7143999999999999</v>
      </c>
      <c r="D75" s="6">
        <v>7.4</v>
      </c>
      <c r="E75" s="6">
        <v>25</v>
      </c>
      <c r="F75" s="6">
        <v>-0.55000000000000004</v>
      </c>
      <c r="G75" s="6">
        <v>0.65</v>
      </c>
      <c r="H75" s="6">
        <v>22.5</v>
      </c>
      <c r="I75" s="6">
        <v>30.45</v>
      </c>
      <c r="J75" s="6">
        <f t="shared" si="4"/>
        <v>19.842499999999998</v>
      </c>
      <c r="K75" s="15">
        <f t="shared" si="5"/>
        <v>398.56756679999995</v>
      </c>
      <c r="M75" s="4"/>
    </row>
    <row r="76" spans="1:13" ht="15.75" thickBot="1" x14ac:dyDescent="0.3">
      <c r="A76" s="9" t="s">
        <v>159</v>
      </c>
      <c r="B76" s="6" t="s">
        <v>46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.75" thickBot="1" x14ac:dyDescent="0.3">
      <c r="A77" s="9" t="s">
        <v>158</v>
      </c>
      <c r="B77" s="6" t="s">
        <v>47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</v>
      </c>
      <c r="I77" s="6">
        <v>30.45</v>
      </c>
      <c r="J77" s="6">
        <f t="shared" si="4"/>
        <v>14.343</v>
      </c>
      <c r="K77" s="15">
        <f t="shared" si="5"/>
        <v>365.96680848</v>
      </c>
    </row>
    <row r="78" spans="1:13" ht="15.75" thickBot="1" x14ac:dyDescent="0.3">
      <c r="A78" s="8" t="s">
        <v>140</v>
      </c>
      <c r="B78" s="6" t="s">
        <v>46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.75" thickBot="1" x14ac:dyDescent="0.3">
      <c r="A79" s="8" t="s">
        <v>141</v>
      </c>
      <c r="B79" s="6" t="s">
        <v>46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/>
    </row>
    <row r="80" spans="1:13" ht="15.75" thickBot="1" x14ac:dyDescent="0.3">
      <c r="A80" s="8" t="s">
        <v>142</v>
      </c>
      <c r="B80" s="6" t="s">
        <v>46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</row>
    <row r="81" spans="1:11" ht="15.75" thickBot="1" x14ac:dyDescent="0.3">
      <c r="A81" s="8" t="s">
        <v>143</v>
      </c>
      <c r="B81" s="6" t="s">
        <v>46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24</v>
      </c>
      <c r="I81" s="6">
        <v>30.45</v>
      </c>
      <c r="J81" s="6">
        <f t="shared" si="4"/>
        <v>18.342499999999998</v>
      </c>
      <c r="K81" s="15">
        <f t="shared" si="5"/>
        <v>507.8465963999999</v>
      </c>
    </row>
    <row r="82" spans="1:11" ht="15.75" thickBot="1" x14ac:dyDescent="0.3">
      <c r="A82" s="8" t="s">
        <v>69</v>
      </c>
      <c r="B82" s="6" t="s">
        <v>49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1" ht="15.75" thickBot="1" x14ac:dyDescent="0.3">
      <c r="A83" s="8" t="s">
        <v>68</v>
      </c>
      <c r="B83" s="6" t="s">
        <v>46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</row>
    <row r="84" spans="1:11" ht="15.75" thickBot="1" x14ac:dyDescent="0.3">
      <c r="A84" s="23" t="s">
        <v>88</v>
      </c>
      <c r="B84" s="21" t="s">
        <v>46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24</v>
      </c>
      <c r="I84" s="21">
        <v>30.45</v>
      </c>
      <c r="J84" s="21">
        <f t="shared" si="4"/>
        <v>18.342499999999998</v>
      </c>
      <c r="K84" s="22">
        <f t="shared" si="5"/>
        <v>390.34483487999989</v>
      </c>
    </row>
    <row r="85" spans="1:11" ht="15.75" thickBot="1" x14ac:dyDescent="0.3">
      <c r="J85" s="43" t="s">
        <v>42</v>
      </c>
      <c r="K85" s="43">
        <f>SUM(Table6[Q(W)])</f>
        <v>29577.289556411994</v>
      </c>
    </row>
    <row r="86" spans="1:11" x14ac:dyDescent="0.25">
      <c r="J86" s="1"/>
      <c r="K86" s="1"/>
    </row>
    <row r="87" spans="1:11" ht="23.25" x14ac:dyDescent="0.35">
      <c r="A87" s="158" t="s">
        <v>59</v>
      </c>
      <c r="B87" s="158"/>
      <c r="C87" s="158"/>
      <c r="D87" s="158"/>
      <c r="E87" s="158"/>
      <c r="F87" s="158"/>
      <c r="G87" s="158"/>
      <c r="H87" s="158"/>
      <c r="I87" s="158"/>
      <c r="J87" s="158"/>
      <c r="K87" s="158"/>
    </row>
    <row r="88" spans="1:11" ht="15.75" thickBot="1" x14ac:dyDescent="0.3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1" ht="15.75" thickBot="1" x14ac:dyDescent="0.3">
      <c r="A89" s="8" t="s">
        <v>83</v>
      </c>
      <c r="B89" s="6" t="s">
        <v>46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1" ht="15.75" thickBot="1" x14ac:dyDescent="0.3">
      <c r="A90" s="8" t="s">
        <v>84</v>
      </c>
      <c r="B90" s="6" t="s">
        <v>47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</row>
    <row r="91" spans="1:11" ht="15.75" thickBot="1" x14ac:dyDescent="0.3">
      <c r="A91" s="8" t="s">
        <v>60</v>
      </c>
      <c r="B91" s="6" t="s">
        <v>47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</row>
    <row r="92" spans="1:11" ht="15.75" thickBot="1" x14ac:dyDescent="0.3">
      <c r="A92" s="8" t="s">
        <v>61</v>
      </c>
      <c r="B92" s="6" t="s">
        <v>46</v>
      </c>
      <c r="C92" s="26">
        <v>2.7143999999999999</v>
      </c>
      <c r="D92" s="6">
        <f>(References!C44*4)-(References!B44*1)-(References!A44*2)</f>
        <v>40.92</v>
      </c>
      <c r="E92" s="6">
        <f t="shared" si="8"/>
        <v>25</v>
      </c>
      <c r="F92" s="6">
        <f t="shared" si="9"/>
        <v>-0.55000000000000004</v>
      </c>
      <c r="G92" s="6">
        <v>0.65</v>
      </c>
      <c r="H92" s="6">
        <v>28</v>
      </c>
      <c r="I92" s="29">
        <f>(References!T$4)-(References!T$3/2)</f>
        <v>30.45</v>
      </c>
      <c r="J92" s="6">
        <f t="shared" si="6"/>
        <v>14.342499999999999</v>
      </c>
      <c r="K92" s="15">
        <f t="shared" si="7"/>
        <v>2776.8312000000001</v>
      </c>
    </row>
    <row r="93" spans="1:11" ht="15.75" thickBot="1" x14ac:dyDescent="0.3">
      <c r="A93" s="8" t="s">
        <v>62</v>
      </c>
      <c r="B93" s="6" t="s">
        <v>47</v>
      </c>
      <c r="C93" s="26">
        <v>2.7143999999999999</v>
      </c>
      <c r="D93" s="6">
        <f>(References!C45*4)-(References!B45*1)-(References!A45*2)</f>
        <v>68</v>
      </c>
      <c r="E93" s="6">
        <f t="shared" si="8"/>
        <v>13</v>
      </c>
      <c r="F93" s="6">
        <f t="shared" si="9"/>
        <v>2.2200000000000002</v>
      </c>
      <c r="G93" s="6">
        <v>0.65</v>
      </c>
      <c r="H93" s="6">
        <v>28</v>
      </c>
      <c r="I93" s="29">
        <f>(References!T$4)-(References!T$3/2)</f>
        <v>30.45</v>
      </c>
      <c r="J93" s="6">
        <f t="shared" si="6"/>
        <v>8.343</v>
      </c>
      <c r="K93" s="15">
        <f t="shared" si="7"/>
        <v>2399.5295999999998</v>
      </c>
    </row>
    <row r="94" spans="1:11" ht="15.75" thickBot="1" x14ac:dyDescent="0.3">
      <c r="A94" s="8" t="s">
        <v>63</v>
      </c>
      <c r="B94" s="6" t="s">
        <v>48</v>
      </c>
      <c r="C94" s="26">
        <v>2.7143999999999999</v>
      </c>
      <c r="D94" s="6">
        <f>(References!C46*4)-(References!B46*1)-(References!A46*2)</f>
        <v>40.92</v>
      </c>
      <c r="E94" s="6">
        <f t="shared" si="8"/>
        <v>33</v>
      </c>
      <c r="F94" s="6">
        <f t="shared" si="9"/>
        <v>-0.55000000000000004</v>
      </c>
      <c r="G94" s="6">
        <v>0.65</v>
      </c>
      <c r="H94" s="6">
        <v>28</v>
      </c>
      <c r="I94" s="29">
        <f>(References!T$4)-(References!T$3/2)</f>
        <v>30.45</v>
      </c>
      <c r="J94" s="6">
        <f t="shared" si="6"/>
        <v>19.5425</v>
      </c>
      <c r="K94" s="15">
        <f t="shared" si="7"/>
        <v>3665.4171840000004</v>
      </c>
    </row>
    <row r="95" spans="1:11" ht="15.75" thickBot="1" x14ac:dyDescent="0.3">
      <c r="A95" s="8" t="s">
        <v>60</v>
      </c>
      <c r="B95" s="6" t="s">
        <v>47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1" ht="15.75" thickBot="1" x14ac:dyDescent="0.3">
      <c r="A96" s="8" t="s">
        <v>84</v>
      </c>
      <c r="B96" s="6" t="s">
        <v>47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1" ht="15.75" thickBot="1" x14ac:dyDescent="0.3">
      <c r="A97" s="8" t="s">
        <v>85</v>
      </c>
      <c r="B97" s="6" t="s">
        <v>48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1" ht="15.75" thickBot="1" x14ac:dyDescent="0.3">
      <c r="A98" s="8" t="s">
        <v>64</v>
      </c>
      <c r="B98" s="6" t="s">
        <v>48</v>
      </c>
      <c r="C98" s="26">
        <v>2.7143999999999999</v>
      </c>
      <c r="D98" s="6">
        <f>(References!C50*4)-(References!B50*1)-(References!A50*2)</f>
        <v>9.6999999999999993</v>
      </c>
      <c r="E98" s="6">
        <f t="shared" si="8"/>
        <v>33</v>
      </c>
      <c r="F98" s="6">
        <f t="shared" si="9"/>
        <v>-0.55000000000000004</v>
      </c>
      <c r="G98" s="6">
        <v>0.65</v>
      </c>
      <c r="H98" s="6">
        <v>28</v>
      </c>
      <c r="I98" s="29">
        <f>(References!T$4)-(References!T$3/2)</f>
        <v>30.45</v>
      </c>
      <c r="J98" s="6">
        <f t="shared" si="6"/>
        <v>19.5425</v>
      </c>
      <c r="K98" s="15">
        <f t="shared" si="7"/>
        <v>868.87943999999993</v>
      </c>
    </row>
    <row r="99" spans="1:11" ht="15.75" thickBot="1" x14ac:dyDescent="0.3">
      <c r="A99" s="8" t="s">
        <v>67</v>
      </c>
      <c r="B99" s="6" t="s">
        <v>48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1" ht="15.75" thickBot="1" x14ac:dyDescent="0.3">
      <c r="A100" s="8" t="s">
        <v>88</v>
      </c>
      <c r="B100" s="6" t="s">
        <v>48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24</v>
      </c>
      <c r="I100" s="29">
        <f>(References!T$4)-(References!T$3/2)</f>
        <v>30.45</v>
      </c>
      <c r="J100" s="6">
        <f t="shared" si="6"/>
        <v>23.5425</v>
      </c>
      <c r="K100" s="15">
        <f t="shared" si="7"/>
        <v>766.76371200000006</v>
      </c>
    </row>
    <row r="101" spans="1:11" ht="15.75" thickBot="1" x14ac:dyDescent="0.3">
      <c r="A101" s="8" t="s">
        <v>69</v>
      </c>
      <c r="B101" s="6" t="s">
        <v>49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1" ht="15.75" thickBot="1" x14ac:dyDescent="0.3">
      <c r="A102" s="8" t="s">
        <v>70</v>
      </c>
      <c r="B102" s="6" t="s">
        <v>48</v>
      </c>
      <c r="C102" s="26">
        <v>2.7143999999999999</v>
      </c>
      <c r="D102" s="6">
        <f>(References!C54*4)-(References!B54*1)-(References!A54*2)</f>
        <v>10.6</v>
      </c>
      <c r="E102" s="6">
        <f t="shared" si="8"/>
        <v>33</v>
      </c>
      <c r="F102" s="6">
        <f t="shared" si="9"/>
        <v>-0.55000000000000004</v>
      </c>
      <c r="G102" s="6">
        <v>0.65</v>
      </c>
      <c r="H102" s="6">
        <v>22.5</v>
      </c>
      <c r="I102" s="29">
        <f>(References!T$4)-(References!T$3/2)</f>
        <v>30.45</v>
      </c>
      <c r="J102" s="6">
        <f t="shared" si="6"/>
        <v>25.0425</v>
      </c>
      <c r="K102" s="15">
        <f t="shared" si="7"/>
        <v>949.49712</v>
      </c>
    </row>
    <row r="103" spans="1:11" ht="15.75" thickBot="1" x14ac:dyDescent="0.3">
      <c r="A103" s="8" t="s">
        <v>70</v>
      </c>
      <c r="B103" s="6" t="s">
        <v>48</v>
      </c>
      <c r="C103" s="26">
        <v>2.7143999999999999</v>
      </c>
      <c r="D103" s="6">
        <f>(References!C55*4)-(References!B55*1)-(References!A55*2)</f>
        <v>10.6</v>
      </c>
      <c r="E103" s="6">
        <f t="shared" si="8"/>
        <v>33</v>
      </c>
      <c r="F103" s="6">
        <f t="shared" si="9"/>
        <v>-0.55000000000000004</v>
      </c>
      <c r="G103" s="6">
        <v>0.65</v>
      </c>
      <c r="H103" s="6">
        <v>22.5</v>
      </c>
      <c r="I103" s="29">
        <f>(References!T$4)-(References!T$3/2)</f>
        <v>30.45</v>
      </c>
      <c r="J103" s="6">
        <f t="shared" si="6"/>
        <v>25.0425</v>
      </c>
      <c r="K103" s="15">
        <f t="shared" si="7"/>
        <v>949.49712</v>
      </c>
    </row>
    <row r="104" spans="1:11" ht="15.75" thickBot="1" x14ac:dyDescent="0.3">
      <c r="A104" s="8" t="s">
        <v>70</v>
      </c>
      <c r="B104" s="6" t="s">
        <v>48</v>
      </c>
      <c r="C104" s="26">
        <v>2.7143999999999999</v>
      </c>
      <c r="D104" s="6">
        <f>(References!C56*4)-(References!B56*1)-(References!A56*2)</f>
        <v>10.6</v>
      </c>
      <c r="E104" s="6">
        <f t="shared" si="8"/>
        <v>33</v>
      </c>
      <c r="F104" s="6">
        <f t="shared" si="9"/>
        <v>-0.55000000000000004</v>
      </c>
      <c r="G104" s="6">
        <v>0.65</v>
      </c>
      <c r="H104" s="6">
        <v>22.5</v>
      </c>
      <c r="I104" s="29">
        <f>(References!T$4)-(References!T$3/2)</f>
        <v>30.45</v>
      </c>
      <c r="J104" s="6">
        <f t="shared" si="6"/>
        <v>25.0425</v>
      </c>
      <c r="K104" s="15">
        <f t="shared" si="7"/>
        <v>949.49712</v>
      </c>
    </row>
    <row r="105" spans="1:11" ht="15.75" thickBot="1" x14ac:dyDescent="0.3">
      <c r="A105" s="8" t="s">
        <v>70</v>
      </c>
      <c r="B105" s="6" t="s">
        <v>48</v>
      </c>
      <c r="C105" s="26">
        <v>2.7143999999999999</v>
      </c>
      <c r="D105" s="6">
        <f>(References!C57*4)-(References!B57*1)-(References!A57*2)</f>
        <v>10.6</v>
      </c>
      <c r="E105" s="6">
        <f t="shared" si="8"/>
        <v>33</v>
      </c>
      <c r="F105" s="6">
        <f t="shared" si="9"/>
        <v>-0.55000000000000004</v>
      </c>
      <c r="G105" s="6">
        <v>0.65</v>
      </c>
      <c r="H105" s="6">
        <v>22.5</v>
      </c>
      <c r="I105" s="29">
        <f>(References!T$4)-(References!T$3/2)</f>
        <v>30.45</v>
      </c>
      <c r="J105" s="6">
        <f t="shared" si="6"/>
        <v>25.0425</v>
      </c>
      <c r="K105" s="15">
        <f t="shared" si="7"/>
        <v>949.49712</v>
      </c>
    </row>
    <row r="106" spans="1:11" ht="15.75" thickBot="1" x14ac:dyDescent="0.3">
      <c r="A106" s="8" t="s">
        <v>71</v>
      </c>
      <c r="B106" s="6" t="s">
        <v>48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</row>
    <row r="107" spans="1:11" ht="15.75" thickBot="1" x14ac:dyDescent="0.3">
      <c r="A107" s="8" t="s">
        <v>73</v>
      </c>
      <c r="B107" s="6" t="s">
        <v>47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1" ht="15.75" thickBot="1" x14ac:dyDescent="0.3">
      <c r="A108" s="8" t="s">
        <v>74</v>
      </c>
      <c r="B108" s="6" t="s">
        <v>48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1" ht="15.75" thickBot="1" x14ac:dyDescent="0.3">
      <c r="A109" s="8" t="s">
        <v>75</v>
      </c>
      <c r="B109" s="6" t="s">
        <v>48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1" ht="15.75" thickBot="1" x14ac:dyDescent="0.3">
      <c r="A110" s="8" t="s">
        <v>76</v>
      </c>
      <c r="B110" s="6" t="s">
        <v>48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1" ht="15.75" thickBot="1" x14ac:dyDescent="0.3">
      <c r="A111" s="8" t="s">
        <v>77</v>
      </c>
      <c r="B111" s="6" t="s">
        <v>48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</row>
    <row r="112" spans="1:11" ht="15.75" thickBot="1" x14ac:dyDescent="0.3">
      <c r="A112" s="8" t="s">
        <v>91</v>
      </c>
      <c r="B112" s="6" t="s">
        <v>48</v>
      </c>
      <c r="C112" s="26">
        <v>2.7143999999999999</v>
      </c>
      <c r="D112" s="6">
        <f>(References!C64*4)-(References!B64*0.6)-(References!A64*2)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24</v>
      </c>
      <c r="I112" s="29">
        <f>(References!T$4)-(References!T$3/2)</f>
        <v>30.45</v>
      </c>
      <c r="J112" s="6">
        <f t="shared" si="6"/>
        <v>23.5425</v>
      </c>
      <c r="K112" s="15">
        <f t="shared" si="7"/>
        <v>641.35843199999999</v>
      </c>
    </row>
    <row r="113" spans="1:11" ht="15.75" thickBot="1" x14ac:dyDescent="0.3">
      <c r="A113" s="8" t="s">
        <v>92</v>
      </c>
      <c r="B113" s="6" t="s">
        <v>49</v>
      </c>
      <c r="C113" s="26">
        <v>2.7143999999999999</v>
      </c>
      <c r="D113" s="6">
        <f>(References!C65*4)-(References!B65*0.6)-(References!A65*2)</f>
        <v>5.64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24</v>
      </c>
      <c r="I113" s="29">
        <f>(References!T$4)-(References!T$3/2)</f>
        <v>30.45</v>
      </c>
      <c r="J113" s="6">
        <f t="shared" si="6"/>
        <v>14.228</v>
      </c>
      <c r="K113" s="15">
        <f t="shared" si="7"/>
        <v>336.802752</v>
      </c>
    </row>
    <row r="114" spans="1:11" ht="15.75" thickBot="1" x14ac:dyDescent="0.3">
      <c r="A114" s="8" t="s">
        <v>78</v>
      </c>
      <c r="B114" s="6" t="s">
        <v>49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</row>
    <row r="115" spans="1:11" ht="15.75" thickBot="1" x14ac:dyDescent="0.3">
      <c r="A115" s="8" t="s">
        <v>79</v>
      </c>
      <c r="B115" s="6" t="s">
        <v>49</v>
      </c>
      <c r="C115" s="26">
        <v>2.7143999999999999</v>
      </c>
      <c r="D115" s="6">
        <f>(References!C67*4)-(References!B67*1)-(References!A67*2)</f>
        <v>19.2</v>
      </c>
      <c r="E115" s="6">
        <f t="shared" si="8"/>
        <v>22</v>
      </c>
      <c r="F115" s="6">
        <f t="shared" si="9"/>
        <v>-3.88</v>
      </c>
      <c r="G115" s="6">
        <v>0.65</v>
      </c>
      <c r="H115" s="6">
        <v>28</v>
      </c>
      <c r="I115" s="29">
        <f>(References!T$4)-(References!T$3/2)</f>
        <v>30.45</v>
      </c>
      <c r="J115" s="6">
        <f t="shared" si="6"/>
        <v>10.228</v>
      </c>
      <c r="K115" s="15">
        <f t="shared" si="7"/>
        <v>1146.5625599999998</v>
      </c>
    </row>
    <row r="116" spans="1:11" ht="15.75" thickBot="1" x14ac:dyDescent="0.3">
      <c r="A116" s="8" t="s">
        <v>57</v>
      </c>
      <c r="B116" s="6" t="s">
        <v>49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1" ht="15.75" thickBot="1" x14ac:dyDescent="0.3">
      <c r="A117" s="8" t="s">
        <v>58</v>
      </c>
      <c r="B117" s="6" t="s">
        <v>49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</row>
    <row r="118" spans="1:11" ht="15.75" thickBot="1" x14ac:dyDescent="0.3">
      <c r="A118" s="8" t="s">
        <v>90</v>
      </c>
      <c r="B118" s="6" t="s">
        <v>49</v>
      </c>
      <c r="C118" s="26">
        <v>2.7143999999999999</v>
      </c>
      <c r="D118" s="6">
        <f>(References!C70*4)-(References!B70*1)-(References!A70*2)</f>
        <v>24</v>
      </c>
      <c r="E118" s="6">
        <f t="shared" si="8"/>
        <v>22</v>
      </c>
      <c r="F118" s="6">
        <f t="shared" si="9"/>
        <v>-3.88</v>
      </c>
      <c r="G118" s="6">
        <v>0.65</v>
      </c>
      <c r="H118" s="6">
        <v>28</v>
      </c>
      <c r="I118" s="29">
        <f>(References!T$4)-(References!T$3/2)</f>
        <v>30.45</v>
      </c>
      <c r="J118" s="6">
        <f t="shared" si="6"/>
        <v>10.228</v>
      </c>
      <c r="K118" s="15">
        <f t="shared" si="7"/>
        <v>1433.2031999999999</v>
      </c>
    </row>
    <row r="119" spans="1:11" ht="15.75" thickBot="1" x14ac:dyDescent="0.3">
      <c r="A119" s="8" t="s">
        <v>80</v>
      </c>
      <c r="B119" s="6" t="s">
        <v>49</v>
      </c>
      <c r="C119" s="26">
        <v>2.7143999999999999</v>
      </c>
      <c r="D119" s="6">
        <f>(References!C71*4)-(References!B71*1)-(References!A71*2)</f>
        <v>48</v>
      </c>
      <c r="E119" s="6">
        <f t="shared" si="8"/>
        <v>22</v>
      </c>
      <c r="F119" s="6">
        <f t="shared" si="9"/>
        <v>-3.88</v>
      </c>
      <c r="G119" s="6">
        <v>0.65</v>
      </c>
      <c r="H119" s="6">
        <v>24</v>
      </c>
      <c r="I119" s="29">
        <f>(References!T$4)-(References!T$3/2)</f>
        <v>30.45</v>
      </c>
      <c r="J119" s="6">
        <f t="shared" si="6"/>
        <v>14.228</v>
      </c>
      <c r="K119" s="15">
        <f t="shared" si="7"/>
        <v>2866.4063999999998</v>
      </c>
    </row>
    <row r="120" spans="1:11" ht="15.75" thickBot="1" x14ac:dyDescent="0.3">
      <c r="A120" s="8" t="s">
        <v>81</v>
      </c>
      <c r="B120" s="6" t="s">
        <v>46</v>
      </c>
      <c r="C120" s="26">
        <v>2.7143999999999999</v>
      </c>
      <c r="D120" s="6">
        <f>(References!C72*4)-(References!B72*1)-(References!A72*2)</f>
        <v>61.6</v>
      </c>
      <c r="E120" s="6">
        <f t="shared" si="8"/>
        <v>25</v>
      </c>
      <c r="F120" s="6">
        <f t="shared" si="9"/>
        <v>-0.55000000000000004</v>
      </c>
      <c r="G120" s="6">
        <v>0.65</v>
      </c>
      <c r="H120" s="6">
        <v>24</v>
      </c>
      <c r="I120" s="29">
        <f>(References!T$4)-(References!T$3/2)</f>
        <v>30.45</v>
      </c>
      <c r="J120" s="6">
        <f t="shared" si="6"/>
        <v>18.342499999999998</v>
      </c>
      <c r="K120" s="15">
        <f t="shared" si="7"/>
        <v>4180.1760000000004</v>
      </c>
    </row>
    <row r="121" spans="1:11" ht="15.75" thickBot="1" x14ac:dyDescent="0.3">
      <c r="A121" s="8" t="s">
        <v>82</v>
      </c>
      <c r="B121" s="6" t="s">
        <v>47</v>
      </c>
      <c r="C121" s="26">
        <v>2.7143999999999999</v>
      </c>
      <c r="D121" s="6">
        <f>(References!C73*4)-(References!B73*1)-(References!A73*2)</f>
        <v>8.8800000000000008</v>
      </c>
      <c r="E121" s="6">
        <f t="shared" si="8"/>
        <v>13</v>
      </c>
      <c r="F121" s="6">
        <f t="shared" si="9"/>
        <v>2.2200000000000002</v>
      </c>
      <c r="G121" s="6">
        <v>0.65</v>
      </c>
      <c r="H121" s="6">
        <v>24</v>
      </c>
      <c r="I121" s="29">
        <f>(References!T$4)-(References!T$3/2)</f>
        <v>30.45</v>
      </c>
      <c r="J121" s="6">
        <f t="shared" si="6"/>
        <v>12.343</v>
      </c>
      <c r="K121" s="15">
        <f t="shared" si="7"/>
        <v>313.35033600000003</v>
      </c>
    </row>
    <row r="122" spans="1:11" ht="15.75" thickBot="1" x14ac:dyDescent="0.3">
      <c r="A122" s="8" t="s">
        <v>71</v>
      </c>
      <c r="B122" s="6" t="s">
        <v>46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</row>
    <row r="123" spans="1:11" ht="15.75" thickBot="1" x14ac:dyDescent="0.3">
      <c r="A123" s="8" t="s">
        <v>70</v>
      </c>
      <c r="B123" s="6" t="s">
        <v>46</v>
      </c>
      <c r="C123" s="26">
        <v>2.7143999999999999</v>
      </c>
      <c r="D123" s="6">
        <f>(References!C75*4)-(References!B75*1)-(References!A75*2)</f>
        <v>10.6</v>
      </c>
      <c r="E123" s="6">
        <f t="shared" si="8"/>
        <v>25</v>
      </c>
      <c r="F123" s="6">
        <f t="shared" si="9"/>
        <v>-0.55000000000000004</v>
      </c>
      <c r="G123" s="6">
        <v>0.65</v>
      </c>
      <c r="H123" s="6">
        <v>22.5</v>
      </c>
      <c r="I123" s="29">
        <f>(References!T$4)-(References!T$3/2)</f>
        <v>30.45</v>
      </c>
      <c r="J123" s="6">
        <f t="shared" si="6"/>
        <v>19.842499999999998</v>
      </c>
      <c r="K123" s="15">
        <f t="shared" si="7"/>
        <v>719.31600000000003</v>
      </c>
    </row>
    <row r="124" spans="1:11" ht="15.75" thickBot="1" x14ac:dyDescent="0.3">
      <c r="A124" s="8" t="s">
        <v>70</v>
      </c>
      <c r="B124" s="6" t="s">
        <v>46</v>
      </c>
      <c r="C124" s="26">
        <v>2.7143999999999999</v>
      </c>
      <c r="D124" s="6">
        <f>(References!C76*4)-(References!B76*1)-(References!A76*2)</f>
        <v>10.6</v>
      </c>
      <c r="E124" s="6">
        <f t="shared" si="8"/>
        <v>25</v>
      </c>
      <c r="F124" s="6">
        <f t="shared" si="9"/>
        <v>-0.55000000000000004</v>
      </c>
      <c r="G124" s="6">
        <v>0.65</v>
      </c>
      <c r="H124" s="6">
        <v>22.5</v>
      </c>
      <c r="I124" s="29">
        <f>(References!T$4)-(References!T$3/2)</f>
        <v>30.45</v>
      </c>
      <c r="J124" s="6">
        <f t="shared" si="6"/>
        <v>19.842499999999998</v>
      </c>
      <c r="K124" s="15">
        <f t="shared" si="7"/>
        <v>719.31600000000003</v>
      </c>
    </row>
    <row r="125" spans="1:11" ht="15.75" thickBot="1" x14ac:dyDescent="0.3">
      <c r="A125" s="8" t="s">
        <v>70</v>
      </c>
      <c r="B125" s="6" t="s">
        <v>46</v>
      </c>
      <c r="C125" s="26">
        <v>2.7143999999999999</v>
      </c>
      <c r="D125" s="6">
        <f>(References!C77*4)-(References!B77*1)-(References!A77*2)</f>
        <v>10.6</v>
      </c>
      <c r="E125" s="6">
        <f t="shared" si="8"/>
        <v>25</v>
      </c>
      <c r="F125" s="6">
        <f t="shared" si="9"/>
        <v>-0.55000000000000004</v>
      </c>
      <c r="G125" s="6">
        <v>0.65</v>
      </c>
      <c r="H125" s="6">
        <v>22.5</v>
      </c>
      <c r="I125" s="29">
        <f>(References!T$4)-(References!T$3/2)</f>
        <v>30.45</v>
      </c>
      <c r="J125" s="6">
        <f t="shared" si="6"/>
        <v>19.842499999999998</v>
      </c>
      <c r="K125" s="15">
        <f t="shared" si="7"/>
        <v>719.31600000000003</v>
      </c>
    </row>
    <row r="126" spans="1:11" ht="15.75" thickBot="1" x14ac:dyDescent="0.3">
      <c r="A126" s="8" t="s">
        <v>70</v>
      </c>
      <c r="B126" s="6" t="s">
        <v>46</v>
      </c>
      <c r="C126" s="26">
        <v>2.7143999999999999</v>
      </c>
      <c r="D126" s="6">
        <f>(References!C78*4)-(References!B78*1)-(References!A78*2)</f>
        <v>10.6</v>
      </c>
      <c r="E126" s="6">
        <f t="shared" si="8"/>
        <v>25</v>
      </c>
      <c r="F126" s="6">
        <f t="shared" si="9"/>
        <v>-0.55000000000000004</v>
      </c>
      <c r="G126" s="6">
        <v>0.65</v>
      </c>
      <c r="H126" s="6">
        <v>22.5</v>
      </c>
      <c r="I126" s="29">
        <f>(References!T$4)-(References!T$3/2)</f>
        <v>30.45</v>
      </c>
      <c r="J126" s="6">
        <f t="shared" si="6"/>
        <v>19.842499999999998</v>
      </c>
      <c r="K126" s="15">
        <f t="shared" si="7"/>
        <v>719.31600000000003</v>
      </c>
    </row>
    <row r="127" spans="1:11" ht="15.75" thickBot="1" x14ac:dyDescent="0.3">
      <c r="A127" s="8" t="s">
        <v>69</v>
      </c>
      <c r="B127" s="6" t="s">
        <v>49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1" ht="15.75" thickBot="1" x14ac:dyDescent="0.3">
      <c r="A128" s="8" t="s">
        <v>68</v>
      </c>
      <c r="B128" s="6" t="s">
        <v>46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</row>
    <row r="129" spans="1:11" ht="15.75" thickBot="1" x14ac:dyDescent="0.3">
      <c r="A129" s="8" t="s">
        <v>88</v>
      </c>
      <c r="B129" s="6" t="s">
        <v>46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24</v>
      </c>
      <c r="I129" s="29">
        <f>(References!T$4)-(References!T$3/2)</f>
        <v>30.45</v>
      </c>
      <c r="J129" s="6">
        <f t="shared" si="6"/>
        <v>18.342499999999998</v>
      </c>
      <c r="K129" s="15">
        <f t="shared" si="7"/>
        <v>613.45440000000008</v>
      </c>
    </row>
    <row r="130" spans="1:11" ht="15.75" thickBot="1" x14ac:dyDescent="0.3">
      <c r="A130" s="23" t="s">
        <v>65</v>
      </c>
      <c r="B130" s="21" t="s">
        <v>46</v>
      </c>
      <c r="C130" s="33">
        <v>2.7143999999999999</v>
      </c>
      <c r="D130" s="21">
        <f>(References!C82*4)-(References!B82*1)-(References!A82*2)</f>
        <v>7.4</v>
      </c>
      <c r="E130" s="21">
        <f t="shared" si="8"/>
        <v>25</v>
      </c>
      <c r="F130" s="21">
        <f t="shared" si="9"/>
        <v>-0.55000000000000004</v>
      </c>
      <c r="G130" s="21">
        <v>0.65</v>
      </c>
      <c r="H130" s="21">
        <v>22.5</v>
      </c>
      <c r="I130" s="34">
        <f>(References!T$4)-(References!T$3/2)</f>
        <v>30.45</v>
      </c>
      <c r="J130" s="21">
        <f t="shared" si="6"/>
        <v>19.842499999999998</v>
      </c>
      <c r="K130" s="22">
        <f t="shared" si="7"/>
        <v>502.16399999999999</v>
      </c>
    </row>
    <row r="131" spans="1:11" ht="15.75" thickBot="1" x14ac:dyDescent="0.3">
      <c r="J131" s="43" t="s">
        <v>161</v>
      </c>
      <c r="K131" s="43">
        <f>SUM(Table2[Q(W)])</f>
        <v>48183.830135999997</v>
      </c>
    </row>
  </sheetData>
  <mergeCells count="15">
    <mergeCell ref="Q8:S9"/>
    <mergeCell ref="A2:K2"/>
    <mergeCell ref="A40:K40"/>
    <mergeCell ref="A87:K87"/>
    <mergeCell ref="A1:K1"/>
    <mergeCell ref="N3:S3"/>
    <mergeCell ref="N4:P4"/>
    <mergeCell ref="Q4:S4"/>
    <mergeCell ref="N5:P5"/>
    <mergeCell ref="N6:P6"/>
    <mergeCell ref="N7:P7"/>
    <mergeCell ref="Q5:S5"/>
    <mergeCell ref="Q6:S6"/>
    <mergeCell ref="Q7:S7"/>
    <mergeCell ref="N8:P9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5"/>
  <sheetViews>
    <sheetView topLeftCell="A58" workbookViewId="0">
      <selection activeCell="H162" sqref="H162"/>
    </sheetView>
  </sheetViews>
  <sheetFormatPr defaultRowHeight="15" x14ac:dyDescent="0.25"/>
  <cols>
    <col min="1" max="1" width="37" style="89" customWidth="1"/>
    <col min="2" max="5" width="9.140625" style="89"/>
    <col min="6" max="6" width="9.28515625" style="89" customWidth="1"/>
    <col min="7" max="16384" width="9.140625" style="88"/>
  </cols>
  <sheetData>
    <row r="1" spans="1:15" ht="23.25" x14ac:dyDescent="0.25">
      <c r="A1" s="159" t="s">
        <v>535</v>
      </c>
      <c r="B1" s="159"/>
      <c r="C1" s="159"/>
      <c r="D1" s="159"/>
      <c r="E1" s="159"/>
      <c r="F1" s="159"/>
      <c r="G1" s="113"/>
      <c r="H1" s="113"/>
    </row>
    <row r="2" spans="1:15" ht="24" thickBot="1" x14ac:dyDescent="0.4">
      <c r="A2" s="157" t="s">
        <v>160</v>
      </c>
      <c r="B2" s="157"/>
      <c r="C2" s="157"/>
      <c r="D2" s="157"/>
      <c r="E2" s="157"/>
      <c r="F2" s="157"/>
      <c r="G2" s="105"/>
      <c r="H2" s="105"/>
    </row>
    <row r="3" spans="1:15" ht="15.75" thickBot="1" x14ac:dyDescent="0.3">
      <c r="A3" s="94" t="s">
        <v>19</v>
      </c>
      <c r="B3" s="73" t="s">
        <v>48</v>
      </c>
      <c r="C3" s="73" t="s">
        <v>505</v>
      </c>
      <c r="D3" s="73" t="s">
        <v>506</v>
      </c>
      <c r="E3" s="73" t="s">
        <v>338</v>
      </c>
      <c r="F3" s="95" t="s">
        <v>23</v>
      </c>
      <c r="J3" s="160" t="s">
        <v>539</v>
      </c>
      <c r="K3" s="160"/>
      <c r="L3" s="160"/>
      <c r="M3" s="160"/>
      <c r="N3" s="160"/>
      <c r="O3" s="160"/>
    </row>
    <row r="4" spans="1:15" ht="15.75" thickBot="1" x14ac:dyDescent="0.3">
      <c r="A4" s="83" t="s">
        <v>237</v>
      </c>
      <c r="B4" s="84">
        <f>13*References!BA4</f>
        <v>486.70179999999999</v>
      </c>
      <c r="C4" s="84">
        <v>0.75</v>
      </c>
      <c r="D4" s="84">
        <v>1.2</v>
      </c>
      <c r="E4" s="84">
        <v>0.94</v>
      </c>
      <c r="F4" s="115">
        <f>B4*C4*D4*E4</f>
        <v>411.74972279999997</v>
      </c>
      <c r="J4" s="161"/>
      <c r="K4" s="161"/>
      <c r="L4" s="161"/>
      <c r="M4" s="161" t="s">
        <v>430</v>
      </c>
      <c r="N4" s="161"/>
      <c r="O4" s="161"/>
    </row>
    <row r="5" spans="1:15" ht="15.75" thickBot="1" x14ac:dyDescent="0.3">
      <c r="A5" s="83" t="s">
        <v>238</v>
      </c>
      <c r="B5" s="84">
        <f>13*References!BA5</f>
        <v>125.46559999999999</v>
      </c>
      <c r="C5" s="84">
        <v>0.75</v>
      </c>
      <c r="D5" s="84">
        <v>1.2</v>
      </c>
      <c r="E5" s="84">
        <v>0.94</v>
      </c>
      <c r="F5" s="115">
        <f t="shared" ref="F5:F61" si="0">B5*C5*D5*E5</f>
        <v>106.14389759999999</v>
      </c>
      <c r="J5" s="162" t="s">
        <v>160</v>
      </c>
      <c r="K5" s="162"/>
      <c r="L5" s="162"/>
      <c r="M5" s="162">
        <f>F63</f>
        <v>19883.609740799991</v>
      </c>
      <c r="N5" s="162"/>
      <c r="O5" s="162"/>
    </row>
    <row r="6" spans="1:15" ht="15.75" thickBot="1" x14ac:dyDescent="0.3">
      <c r="A6" s="83" t="s">
        <v>239</v>
      </c>
      <c r="B6" s="84">
        <f>13*References!BA6</f>
        <v>101.6275</v>
      </c>
      <c r="C6" s="84">
        <v>0.5</v>
      </c>
      <c r="D6" s="84">
        <v>1.2</v>
      </c>
      <c r="E6" s="84">
        <v>0.94</v>
      </c>
      <c r="F6" s="115">
        <f t="shared" si="0"/>
        <v>57.317909999999991</v>
      </c>
      <c r="J6" s="162" t="s">
        <v>41</v>
      </c>
      <c r="K6" s="162"/>
      <c r="L6" s="162"/>
      <c r="M6" s="162">
        <f>F117</f>
        <v>16958.066184539995</v>
      </c>
      <c r="N6" s="162"/>
      <c r="O6" s="162"/>
    </row>
    <row r="7" spans="1:15" ht="15.75" thickBot="1" x14ac:dyDescent="0.3">
      <c r="A7" s="83" t="s">
        <v>240</v>
      </c>
      <c r="B7" s="84">
        <f>13*References!BA7</f>
        <v>212.02350000000001</v>
      </c>
      <c r="C7" s="84">
        <v>0.5</v>
      </c>
      <c r="D7" s="84">
        <v>1.2</v>
      </c>
      <c r="E7" s="84">
        <v>0.94</v>
      </c>
      <c r="F7" s="115">
        <f t="shared" si="0"/>
        <v>119.581254</v>
      </c>
      <c r="J7" s="162" t="s">
        <v>59</v>
      </c>
      <c r="K7" s="162"/>
      <c r="L7" s="162"/>
      <c r="M7" s="162">
        <f>F165</f>
        <v>22461.543873599996</v>
      </c>
      <c r="N7" s="162"/>
      <c r="O7" s="162"/>
    </row>
    <row r="8" spans="1:15" ht="15.75" thickBot="1" x14ac:dyDescent="0.3">
      <c r="A8" s="83" t="s">
        <v>241</v>
      </c>
      <c r="B8" s="84">
        <f>13*References!BA8</f>
        <v>237.88829999999999</v>
      </c>
      <c r="C8" s="84">
        <v>0.5</v>
      </c>
      <c r="D8" s="84">
        <v>1.2</v>
      </c>
      <c r="E8" s="84">
        <v>0.94</v>
      </c>
      <c r="F8" s="115">
        <f t="shared" si="0"/>
        <v>134.1690012</v>
      </c>
      <c r="J8" s="163" t="s">
        <v>540</v>
      </c>
      <c r="K8" s="163"/>
      <c r="L8" s="163"/>
      <c r="M8" s="151">
        <f>M5+M6+M7</f>
        <v>59303.219798939987</v>
      </c>
      <c r="N8" s="152"/>
      <c r="O8" s="153"/>
    </row>
    <row r="9" spans="1:15" ht="15.75" thickBot="1" x14ac:dyDescent="0.3">
      <c r="A9" s="83" t="s">
        <v>242</v>
      </c>
      <c r="B9" s="84">
        <f>13*References!BA9</f>
        <v>238.50319999999999</v>
      </c>
      <c r="C9" s="84">
        <v>0.5</v>
      </c>
      <c r="D9" s="84">
        <v>1.2</v>
      </c>
      <c r="E9" s="84">
        <v>0.94</v>
      </c>
      <c r="F9" s="115">
        <f t="shared" si="0"/>
        <v>134.51580479999998</v>
      </c>
      <c r="J9" s="163"/>
      <c r="K9" s="163"/>
      <c r="L9" s="163"/>
      <c r="M9" s="154"/>
      <c r="N9" s="155"/>
      <c r="O9" s="156"/>
    </row>
    <row r="10" spans="1:15" ht="15.75" thickBot="1" x14ac:dyDescent="0.3">
      <c r="A10" s="83" t="s">
        <v>243</v>
      </c>
      <c r="B10" s="84">
        <f>13*References!BA10</f>
        <v>304.05180000000001</v>
      </c>
      <c r="C10" s="84">
        <v>0.5</v>
      </c>
      <c r="D10" s="84">
        <v>1.2</v>
      </c>
      <c r="E10" s="84">
        <v>0.94</v>
      </c>
      <c r="F10" s="115">
        <f t="shared" si="0"/>
        <v>171.4852152</v>
      </c>
    </row>
    <row r="11" spans="1:15" ht="15.75" thickBot="1" x14ac:dyDescent="0.3">
      <c r="A11" s="83" t="s">
        <v>244</v>
      </c>
      <c r="B11" s="84">
        <f>13*References!BA11</f>
        <v>72.930000000000007</v>
      </c>
      <c r="C11" s="84">
        <v>0.75</v>
      </c>
      <c r="D11" s="84">
        <v>1.2</v>
      </c>
      <c r="E11" s="84">
        <v>0.94</v>
      </c>
      <c r="F11" s="115">
        <f t="shared" si="0"/>
        <v>61.698779999999999</v>
      </c>
    </row>
    <row r="12" spans="1:15" ht="15.75" thickBot="1" x14ac:dyDescent="0.3">
      <c r="A12" s="83" t="s">
        <v>245</v>
      </c>
      <c r="B12" s="84">
        <f>13*References!BA12</f>
        <v>548.50250000000005</v>
      </c>
      <c r="C12" s="84">
        <v>0.75</v>
      </c>
      <c r="D12" s="84">
        <v>1.2</v>
      </c>
      <c r="E12" s="84">
        <v>0.94</v>
      </c>
      <c r="F12" s="115">
        <f t="shared" si="0"/>
        <v>464.03311500000001</v>
      </c>
    </row>
    <row r="13" spans="1:15" ht="15.75" thickBot="1" x14ac:dyDescent="0.3">
      <c r="A13" s="83" t="s">
        <v>246</v>
      </c>
      <c r="B13" s="84">
        <f>13*References!BA13</f>
        <v>255.29139999999998</v>
      </c>
      <c r="C13" s="84">
        <v>0.5</v>
      </c>
      <c r="D13" s="84">
        <v>1.2</v>
      </c>
      <c r="E13" s="84">
        <v>0.94</v>
      </c>
      <c r="F13" s="115">
        <f t="shared" si="0"/>
        <v>143.98434959999997</v>
      </c>
    </row>
    <row r="14" spans="1:15" ht="15.75" thickBot="1" x14ac:dyDescent="0.3">
      <c r="A14" s="83" t="s">
        <v>247</v>
      </c>
      <c r="B14" s="84">
        <f>13*References!BA14</f>
        <v>406.76089999999999</v>
      </c>
      <c r="C14" s="84">
        <v>0.5</v>
      </c>
      <c r="D14" s="84">
        <v>1.2</v>
      </c>
      <c r="E14" s="84">
        <v>0.94</v>
      </c>
      <c r="F14" s="115">
        <f t="shared" si="0"/>
        <v>229.41314759999997</v>
      </c>
    </row>
    <row r="15" spans="1:15" ht="15.75" thickBot="1" x14ac:dyDescent="0.3">
      <c r="A15" s="83" t="s">
        <v>248</v>
      </c>
      <c r="B15" s="84">
        <f>13*References!BA15</f>
        <v>51.703599999999994</v>
      </c>
      <c r="C15" s="84">
        <v>0.5</v>
      </c>
      <c r="D15" s="84">
        <v>1.2</v>
      </c>
      <c r="E15" s="84">
        <v>0.94</v>
      </c>
      <c r="F15" s="115">
        <f t="shared" si="0"/>
        <v>29.160830399999995</v>
      </c>
    </row>
    <row r="16" spans="1:15" ht="15.75" thickBot="1" x14ac:dyDescent="0.3">
      <c r="A16" s="83" t="s">
        <v>249</v>
      </c>
      <c r="B16" s="84">
        <f>13*References!BA16</f>
        <v>269.73309999999998</v>
      </c>
      <c r="C16" s="84">
        <v>0.75</v>
      </c>
      <c r="D16" s="84">
        <v>1.2</v>
      </c>
      <c r="E16" s="84">
        <v>0.94</v>
      </c>
      <c r="F16" s="115">
        <f t="shared" si="0"/>
        <v>228.19420259999998</v>
      </c>
    </row>
    <row r="17" spans="1:6" ht="15.75" thickBot="1" x14ac:dyDescent="0.3">
      <c r="A17" s="83" t="s">
        <v>250</v>
      </c>
      <c r="B17" s="84">
        <f>13*References!BA17</f>
        <v>233.3656</v>
      </c>
      <c r="C17" s="84">
        <v>0.75</v>
      </c>
      <c r="D17" s="84">
        <v>1.2</v>
      </c>
      <c r="E17" s="84">
        <v>0.94</v>
      </c>
      <c r="F17" s="115">
        <f t="shared" si="0"/>
        <v>197.4272976</v>
      </c>
    </row>
    <row r="18" spans="1:6" ht="15.75" thickBot="1" x14ac:dyDescent="0.3">
      <c r="A18" s="83" t="s">
        <v>251</v>
      </c>
      <c r="B18" s="84">
        <f>13*References!BA18</f>
        <v>242.2004</v>
      </c>
      <c r="C18" s="84">
        <v>0.75</v>
      </c>
      <c r="D18" s="84">
        <v>1.2</v>
      </c>
      <c r="E18" s="84">
        <v>0.94</v>
      </c>
      <c r="F18" s="115">
        <f t="shared" si="0"/>
        <v>204.90153839999999</v>
      </c>
    </row>
    <row r="19" spans="1:6" ht="15.75" thickBot="1" x14ac:dyDescent="0.3">
      <c r="A19" s="83" t="s">
        <v>252</v>
      </c>
      <c r="B19" s="84">
        <f>13*References!BA19</f>
        <v>222.79139999999998</v>
      </c>
      <c r="C19" s="84">
        <v>0.5</v>
      </c>
      <c r="D19" s="84">
        <v>1.2</v>
      </c>
      <c r="E19" s="84">
        <v>0.94</v>
      </c>
      <c r="F19" s="115">
        <f t="shared" si="0"/>
        <v>125.65434959999999</v>
      </c>
    </row>
    <row r="20" spans="1:6" ht="15.75" thickBot="1" x14ac:dyDescent="0.3">
      <c r="A20" s="83" t="s">
        <v>253</v>
      </c>
      <c r="B20" s="84">
        <f>13*References!BA20</f>
        <v>150.88059999999999</v>
      </c>
      <c r="C20" s="84">
        <v>0.5</v>
      </c>
      <c r="D20" s="84">
        <v>1.2</v>
      </c>
      <c r="E20" s="84">
        <v>0.94</v>
      </c>
      <c r="F20" s="115">
        <f t="shared" si="0"/>
        <v>85.096658399999981</v>
      </c>
    </row>
    <row r="21" spans="1:6" ht="15.75" thickBot="1" x14ac:dyDescent="0.3">
      <c r="A21" s="83" t="s">
        <v>254</v>
      </c>
      <c r="B21" s="84">
        <f>13*References!BA21</f>
        <v>1702.5865999999999</v>
      </c>
      <c r="C21" s="84">
        <v>0.75</v>
      </c>
      <c r="D21" s="84">
        <v>1.2</v>
      </c>
      <c r="E21" s="84">
        <v>0.94</v>
      </c>
      <c r="F21" s="115">
        <f t="shared" si="0"/>
        <v>1440.3882635999998</v>
      </c>
    </row>
    <row r="22" spans="1:6" ht="15.75" thickBot="1" x14ac:dyDescent="0.3">
      <c r="A22" s="83" t="s">
        <v>255</v>
      </c>
      <c r="B22" s="84">
        <f>13*References!BA22</f>
        <v>427.18</v>
      </c>
      <c r="C22" s="84">
        <v>0.75</v>
      </c>
      <c r="D22" s="84">
        <v>1.2</v>
      </c>
      <c r="E22" s="84">
        <v>0.94</v>
      </c>
      <c r="F22" s="115">
        <f t="shared" si="0"/>
        <v>361.39427999999998</v>
      </c>
    </row>
    <row r="23" spans="1:6" ht="15.75" thickBot="1" x14ac:dyDescent="0.3">
      <c r="A23" s="83" t="s">
        <v>256</v>
      </c>
      <c r="B23" s="84">
        <f>13*References!BA23</f>
        <v>164.8075</v>
      </c>
      <c r="C23" s="84">
        <v>0.75</v>
      </c>
      <c r="D23" s="84">
        <v>1.2</v>
      </c>
      <c r="E23" s="84">
        <v>0.94</v>
      </c>
      <c r="F23" s="115">
        <f t="shared" si="0"/>
        <v>139.427145</v>
      </c>
    </row>
    <row r="24" spans="1:6" ht="15.75" thickBot="1" x14ac:dyDescent="0.3">
      <c r="A24" s="83" t="s">
        <v>257</v>
      </c>
      <c r="B24" s="84">
        <f>13*References!BA24</f>
        <v>186.95429999999999</v>
      </c>
      <c r="C24" s="84">
        <v>0.5</v>
      </c>
      <c r="D24" s="84">
        <v>1.2</v>
      </c>
      <c r="E24" s="84">
        <v>0.94</v>
      </c>
      <c r="F24" s="115">
        <f t="shared" si="0"/>
        <v>105.4422252</v>
      </c>
    </row>
    <row r="25" spans="1:6" ht="15.75" thickBot="1" x14ac:dyDescent="0.3">
      <c r="A25" s="83" t="s">
        <v>258</v>
      </c>
      <c r="B25" s="84">
        <f>13*References!BA25</f>
        <v>186.95429999999999</v>
      </c>
      <c r="C25" s="84">
        <v>0.5</v>
      </c>
      <c r="D25" s="84">
        <v>1.2</v>
      </c>
      <c r="E25" s="84">
        <v>0.94</v>
      </c>
      <c r="F25" s="115">
        <f t="shared" si="0"/>
        <v>105.4422252</v>
      </c>
    </row>
    <row r="26" spans="1:6" ht="15.75" thickBot="1" x14ac:dyDescent="0.3">
      <c r="A26" s="83" t="s">
        <v>260</v>
      </c>
      <c r="B26" s="84">
        <f>13*References!BA26</f>
        <v>187.6628</v>
      </c>
      <c r="C26" s="84">
        <v>0.5</v>
      </c>
      <c r="D26" s="84">
        <v>1.2</v>
      </c>
      <c r="E26" s="84">
        <v>0.94</v>
      </c>
      <c r="F26" s="115">
        <f t="shared" si="0"/>
        <v>105.84181919999999</v>
      </c>
    </row>
    <row r="27" spans="1:6" ht="15.75" thickBot="1" x14ac:dyDescent="0.3">
      <c r="A27" s="83" t="s">
        <v>261</v>
      </c>
      <c r="B27" s="84">
        <f>13*References!BA27</f>
        <v>187.6628</v>
      </c>
      <c r="C27" s="84">
        <v>0.5</v>
      </c>
      <c r="D27" s="84">
        <v>1.2</v>
      </c>
      <c r="E27" s="84">
        <v>0.94</v>
      </c>
      <c r="F27" s="115">
        <f t="shared" si="0"/>
        <v>105.84181919999999</v>
      </c>
    </row>
    <row r="28" spans="1:6" ht="15.75" thickBot="1" x14ac:dyDescent="0.3">
      <c r="A28" s="83" t="s">
        <v>262</v>
      </c>
      <c r="B28" s="84">
        <f>13*References!BA28</f>
        <v>71.337499999999991</v>
      </c>
      <c r="C28" s="84">
        <v>0.75</v>
      </c>
      <c r="D28" s="84">
        <v>1.2</v>
      </c>
      <c r="E28" s="84">
        <v>0.94</v>
      </c>
      <c r="F28" s="115">
        <f t="shared" si="0"/>
        <v>60.351524999999995</v>
      </c>
    </row>
    <row r="29" spans="1:6" ht="15.75" thickBot="1" x14ac:dyDescent="0.3">
      <c r="A29" s="83" t="s">
        <v>263</v>
      </c>
      <c r="B29" s="84">
        <f>13*References!BA29</f>
        <v>71.63</v>
      </c>
      <c r="C29" s="84">
        <v>0.75</v>
      </c>
      <c r="D29" s="84">
        <v>1.2</v>
      </c>
      <c r="E29" s="84">
        <v>0.94</v>
      </c>
      <c r="F29" s="115">
        <f t="shared" si="0"/>
        <v>60.598979999999997</v>
      </c>
    </row>
    <row r="30" spans="1:6" ht="15.75" thickBot="1" x14ac:dyDescent="0.3">
      <c r="A30" s="83" t="s">
        <v>264</v>
      </c>
      <c r="B30" s="84">
        <f>13*References!BA30</f>
        <v>73.271900000000002</v>
      </c>
      <c r="C30" s="84">
        <v>0.75</v>
      </c>
      <c r="D30" s="84">
        <v>1.2</v>
      </c>
      <c r="E30" s="84">
        <v>0.94</v>
      </c>
      <c r="F30" s="115">
        <f t="shared" si="0"/>
        <v>61.9880274</v>
      </c>
    </row>
    <row r="31" spans="1:6" ht="15.75" thickBot="1" x14ac:dyDescent="0.3">
      <c r="A31" s="83" t="s">
        <v>265</v>
      </c>
      <c r="B31" s="84">
        <f>13*References!BA31</f>
        <v>71.763899999999992</v>
      </c>
      <c r="C31" s="84">
        <v>0.5</v>
      </c>
      <c r="D31" s="84">
        <v>1.2</v>
      </c>
      <c r="E31" s="84">
        <v>0.94</v>
      </c>
      <c r="F31" s="115">
        <f t="shared" si="0"/>
        <v>40.474839599999989</v>
      </c>
    </row>
    <row r="32" spans="1:6" ht="15.75" thickBot="1" x14ac:dyDescent="0.3">
      <c r="A32" s="83" t="s">
        <v>266</v>
      </c>
      <c r="B32" s="84">
        <f>13*References!BA32</f>
        <v>118.93960000000001</v>
      </c>
      <c r="C32" s="84">
        <v>0.5</v>
      </c>
      <c r="D32" s="84">
        <v>1.2</v>
      </c>
      <c r="E32" s="84">
        <v>0.94</v>
      </c>
      <c r="F32" s="115">
        <f t="shared" si="0"/>
        <v>67.081934399999994</v>
      </c>
    </row>
    <row r="33" spans="1:6" ht="15.75" thickBot="1" x14ac:dyDescent="0.3">
      <c r="A33" s="83" t="s">
        <v>267</v>
      </c>
      <c r="B33" s="84">
        <f>13*References!BA33</f>
        <v>64.378600000000006</v>
      </c>
      <c r="C33" s="84">
        <v>0.5</v>
      </c>
      <c r="D33" s="84">
        <v>1.2</v>
      </c>
      <c r="E33" s="84">
        <v>0.94</v>
      </c>
      <c r="F33" s="115">
        <f t="shared" si="0"/>
        <v>36.3095304</v>
      </c>
    </row>
    <row r="34" spans="1:6" ht="15.75" thickBot="1" x14ac:dyDescent="0.3">
      <c r="A34" s="83" t="s">
        <v>268</v>
      </c>
      <c r="B34" s="84">
        <f>13*References!BA34</f>
        <v>328.29939999999999</v>
      </c>
      <c r="C34" s="84">
        <v>0.5</v>
      </c>
      <c r="D34" s="84">
        <v>1.2</v>
      </c>
      <c r="E34" s="84">
        <v>0.94</v>
      </c>
      <c r="F34" s="115">
        <f t="shared" si="0"/>
        <v>185.16086159999998</v>
      </c>
    </row>
    <row r="35" spans="1:6" ht="15.75" thickBot="1" x14ac:dyDescent="0.3">
      <c r="A35" s="83" t="s">
        <v>269</v>
      </c>
      <c r="B35" s="84">
        <f>13*References!BA35</f>
        <v>186.95429999999999</v>
      </c>
      <c r="C35" s="84">
        <v>0.5</v>
      </c>
      <c r="D35" s="84">
        <v>1.2</v>
      </c>
      <c r="E35" s="84">
        <v>0.94</v>
      </c>
      <c r="F35" s="115">
        <f t="shared" si="0"/>
        <v>105.4422252</v>
      </c>
    </row>
    <row r="36" spans="1:6" ht="15.75" thickBot="1" x14ac:dyDescent="0.3">
      <c r="A36" s="83" t="s">
        <v>270</v>
      </c>
      <c r="B36" s="84">
        <f>13*References!BA36</f>
        <v>186.95429999999999</v>
      </c>
      <c r="C36" s="84">
        <v>0.5</v>
      </c>
      <c r="D36" s="84">
        <v>1.2</v>
      </c>
      <c r="E36" s="84">
        <v>0.94</v>
      </c>
      <c r="F36" s="115">
        <f t="shared" si="0"/>
        <v>105.4422252</v>
      </c>
    </row>
    <row r="37" spans="1:6" ht="15.75" thickBot="1" x14ac:dyDescent="0.3">
      <c r="A37" s="83" t="s">
        <v>271</v>
      </c>
      <c r="B37" s="84">
        <f>13*References!BA37</f>
        <v>135.434</v>
      </c>
      <c r="C37" s="84">
        <v>0.5</v>
      </c>
      <c r="D37" s="84">
        <v>1.2</v>
      </c>
      <c r="E37" s="84">
        <v>0.94</v>
      </c>
      <c r="F37" s="115">
        <f t="shared" si="0"/>
        <v>76.384775999999988</v>
      </c>
    </row>
    <row r="38" spans="1:6" ht="15.75" thickBot="1" x14ac:dyDescent="0.3">
      <c r="A38" s="83" t="s">
        <v>272</v>
      </c>
      <c r="B38" s="84">
        <f>13*References!BA38</f>
        <v>129.7465</v>
      </c>
      <c r="C38" s="84">
        <v>0.5</v>
      </c>
      <c r="D38" s="84">
        <v>1.2</v>
      </c>
      <c r="E38" s="84">
        <v>0.94</v>
      </c>
      <c r="F38" s="115">
        <f t="shared" si="0"/>
        <v>73.177025999999998</v>
      </c>
    </row>
    <row r="39" spans="1:6" ht="15.75" thickBot="1" x14ac:dyDescent="0.3">
      <c r="A39" s="83" t="s">
        <v>273</v>
      </c>
      <c r="B39" s="84">
        <f>13*References!BA39</f>
        <v>187.6628</v>
      </c>
      <c r="C39" s="84">
        <v>0.5</v>
      </c>
      <c r="D39" s="84">
        <v>1.2</v>
      </c>
      <c r="E39" s="84">
        <v>0.94</v>
      </c>
      <c r="F39" s="115">
        <f t="shared" si="0"/>
        <v>105.84181919999999</v>
      </c>
    </row>
    <row r="40" spans="1:6" ht="15.75" thickBot="1" x14ac:dyDescent="0.3">
      <c r="A40" s="83" t="s">
        <v>274</v>
      </c>
      <c r="B40" s="84">
        <f>13*References!BA40</f>
        <v>187.6628</v>
      </c>
      <c r="C40" s="84">
        <v>0.5</v>
      </c>
      <c r="D40" s="84">
        <v>1.2</v>
      </c>
      <c r="E40" s="84">
        <v>0.94</v>
      </c>
      <c r="F40" s="115">
        <f t="shared" si="0"/>
        <v>105.84181919999999</v>
      </c>
    </row>
    <row r="41" spans="1:6" ht="15.75" thickBot="1" x14ac:dyDescent="0.3">
      <c r="A41" s="117" t="s">
        <v>507</v>
      </c>
      <c r="B41" s="84">
        <f>13*References!BA41</f>
        <v>8530.3269999999993</v>
      </c>
      <c r="C41" s="84">
        <v>1</v>
      </c>
      <c r="D41" s="84">
        <v>1.2</v>
      </c>
      <c r="E41" s="84">
        <v>0.94</v>
      </c>
      <c r="F41" s="115">
        <f t="shared" si="0"/>
        <v>9622.2088559999975</v>
      </c>
    </row>
    <row r="42" spans="1:6" ht="15.75" thickBot="1" x14ac:dyDescent="0.3">
      <c r="A42" s="83" t="s">
        <v>275</v>
      </c>
      <c r="B42" s="84">
        <f>13*References!BA42</f>
        <v>109.60299999999999</v>
      </c>
      <c r="C42" s="84">
        <v>0.5</v>
      </c>
      <c r="D42" s="84">
        <v>1.2</v>
      </c>
      <c r="E42" s="84">
        <v>0.94</v>
      </c>
      <c r="F42" s="115">
        <f t="shared" si="0"/>
        <v>61.81609199999999</v>
      </c>
    </row>
    <row r="43" spans="1:6" ht="15.75" thickBot="1" x14ac:dyDescent="0.3">
      <c r="A43" s="83" t="s">
        <v>276</v>
      </c>
      <c r="B43" s="84">
        <f>13*References!BA43</f>
        <v>108.07810000000001</v>
      </c>
      <c r="C43" s="84">
        <v>0.5</v>
      </c>
      <c r="D43" s="84">
        <v>1.2</v>
      </c>
      <c r="E43" s="84">
        <v>0.94</v>
      </c>
      <c r="F43" s="115">
        <f t="shared" si="0"/>
        <v>60.9560484</v>
      </c>
    </row>
    <row r="44" spans="1:6" ht="15.75" thickBot="1" x14ac:dyDescent="0.3">
      <c r="A44" s="83" t="s">
        <v>277</v>
      </c>
      <c r="B44" s="84">
        <f>13*References!BA44</f>
        <v>109.6875</v>
      </c>
      <c r="C44" s="84">
        <v>0.5</v>
      </c>
      <c r="D44" s="84">
        <v>1.2</v>
      </c>
      <c r="E44" s="84">
        <v>0.94</v>
      </c>
      <c r="F44" s="115">
        <f t="shared" si="0"/>
        <v>61.863749999999996</v>
      </c>
    </row>
    <row r="45" spans="1:6" ht="15.75" thickBot="1" x14ac:dyDescent="0.3">
      <c r="A45" s="83" t="s">
        <v>278</v>
      </c>
      <c r="B45" s="84">
        <f>13*References!BA45</f>
        <v>176.89099999999999</v>
      </c>
      <c r="C45" s="84">
        <v>0.5</v>
      </c>
      <c r="D45" s="84">
        <v>1.2</v>
      </c>
      <c r="E45" s="84">
        <v>0.94</v>
      </c>
      <c r="F45" s="115">
        <f t="shared" si="0"/>
        <v>99.76652399999999</v>
      </c>
    </row>
    <row r="46" spans="1:6" ht="15.75" thickBot="1" x14ac:dyDescent="0.3">
      <c r="A46" s="83" t="s">
        <v>279</v>
      </c>
      <c r="B46" s="84">
        <f>13*References!BA46</f>
        <v>224.37869999999998</v>
      </c>
      <c r="C46" s="84">
        <v>0.5</v>
      </c>
      <c r="D46" s="84">
        <v>1.2</v>
      </c>
      <c r="E46" s="84">
        <v>0.94</v>
      </c>
      <c r="F46" s="115">
        <f t="shared" si="0"/>
        <v>126.54958679999999</v>
      </c>
    </row>
    <row r="47" spans="1:6" ht="15.75" thickBot="1" x14ac:dyDescent="0.3">
      <c r="A47" s="83" t="s">
        <v>280</v>
      </c>
      <c r="B47" s="84">
        <f>13*References!BA47</f>
        <v>222.64709999999999</v>
      </c>
      <c r="C47" s="84">
        <v>0.5</v>
      </c>
      <c r="D47" s="84">
        <v>1.2</v>
      </c>
      <c r="E47" s="84">
        <v>0.94</v>
      </c>
      <c r="F47" s="115">
        <f t="shared" si="0"/>
        <v>125.57296439999999</v>
      </c>
    </row>
    <row r="48" spans="1:6" ht="15.75" thickBot="1" x14ac:dyDescent="0.3">
      <c r="A48" s="83" t="s">
        <v>281</v>
      </c>
      <c r="B48" s="84">
        <f>13*References!BA48</f>
        <v>111.42429999999999</v>
      </c>
      <c r="C48" s="84">
        <v>0.5</v>
      </c>
      <c r="D48" s="84">
        <v>1.2</v>
      </c>
      <c r="E48" s="84">
        <v>0.94</v>
      </c>
      <c r="F48" s="115">
        <f t="shared" si="0"/>
        <v>62.843305199999982</v>
      </c>
    </row>
    <row r="49" spans="1:6" ht="15.75" thickBot="1" x14ac:dyDescent="0.3">
      <c r="A49" s="83" t="s">
        <v>283</v>
      </c>
      <c r="B49" s="84">
        <f>13*References!BA49</f>
        <v>176.7792</v>
      </c>
      <c r="C49" s="84">
        <v>0.5</v>
      </c>
      <c r="D49" s="84">
        <v>1.2</v>
      </c>
      <c r="E49" s="84">
        <v>0.94</v>
      </c>
      <c r="F49" s="115">
        <f t="shared" si="0"/>
        <v>99.703468799999996</v>
      </c>
    </row>
    <row r="50" spans="1:6" ht="15.75" thickBot="1" x14ac:dyDescent="0.3">
      <c r="A50" s="83" t="s">
        <v>284</v>
      </c>
      <c r="B50" s="84">
        <f>13*References!BA50</f>
        <v>221.5564</v>
      </c>
      <c r="C50" s="84">
        <v>0.5</v>
      </c>
      <c r="D50" s="84">
        <v>1.2</v>
      </c>
      <c r="E50" s="84">
        <v>0.94</v>
      </c>
      <c r="F50" s="115">
        <f t="shared" si="0"/>
        <v>124.95780959999999</v>
      </c>
    </row>
    <row r="51" spans="1:6" ht="15.75" thickBot="1" x14ac:dyDescent="0.3">
      <c r="A51" s="83" t="s">
        <v>285</v>
      </c>
      <c r="B51" s="84">
        <f>13*References!BA51</f>
        <v>135.74210000000002</v>
      </c>
      <c r="C51" s="84">
        <v>0.5</v>
      </c>
      <c r="D51" s="84">
        <v>1.2</v>
      </c>
      <c r="E51" s="84">
        <v>0.94</v>
      </c>
      <c r="F51" s="115">
        <f t="shared" si="0"/>
        <v>76.558544400000002</v>
      </c>
    </row>
    <row r="52" spans="1:6" ht="15.75" thickBot="1" x14ac:dyDescent="0.3">
      <c r="A52" s="83" t="s">
        <v>286</v>
      </c>
      <c r="B52" s="84">
        <f>13*References!BA52</f>
        <v>150.69470000000001</v>
      </c>
      <c r="C52" s="84">
        <v>0.5</v>
      </c>
      <c r="D52" s="84">
        <v>1.2</v>
      </c>
      <c r="E52" s="84">
        <v>0.94</v>
      </c>
      <c r="F52" s="115">
        <f t="shared" si="0"/>
        <v>84.991810799999996</v>
      </c>
    </row>
    <row r="53" spans="1:6" ht="15.75" thickBot="1" x14ac:dyDescent="0.3">
      <c r="A53" s="83" t="s">
        <v>287</v>
      </c>
      <c r="B53" s="84">
        <f>13*References!BA53</f>
        <v>247.99969999999999</v>
      </c>
      <c r="C53" s="84">
        <v>0.5</v>
      </c>
      <c r="D53" s="84">
        <v>1.2</v>
      </c>
      <c r="E53" s="84">
        <v>0.94</v>
      </c>
      <c r="F53" s="115">
        <f t="shared" si="0"/>
        <v>139.87183079999997</v>
      </c>
    </row>
    <row r="54" spans="1:6" ht="15.75" thickBot="1" x14ac:dyDescent="0.3">
      <c r="A54" s="83" t="s">
        <v>288</v>
      </c>
      <c r="B54" s="84">
        <f>13*References!BA54</f>
        <v>444.79760000000005</v>
      </c>
      <c r="C54" s="84">
        <v>0.5</v>
      </c>
      <c r="D54" s="84">
        <v>1.2</v>
      </c>
      <c r="E54" s="84">
        <v>0.94</v>
      </c>
      <c r="F54" s="115">
        <f t="shared" si="0"/>
        <v>250.86584639999998</v>
      </c>
    </row>
    <row r="55" spans="1:6" ht="15.75" thickBot="1" x14ac:dyDescent="0.3">
      <c r="A55" s="83" t="s">
        <v>289</v>
      </c>
      <c r="B55" s="84">
        <f>13*References!BA55</f>
        <v>33.723300000000002</v>
      </c>
      <c r="C55" s="84">
        <v>0.5</v>
      </c>
      <c r="D55" s="84">
        <v>1.2</v>
      </c>
      <c r="E55" s="84">
        <v>0.94</v>
      </c>
      <c r="F55" s="115">
        <f t="shared" si="0"/>
        <v>19.019941199999998</v>
      </c>
    </row>
    <row r="56" spans="1:6" ht="15.75" thickBot="1" x14ac:dyDescent="0.3">
      <c r="A56" s="83" t="s">
        <v>290</v>
      </c>
      <c r="B56" s="84">
        <f>13*References!BA56</f>
        <v>25.512499999999999</v>
      </c>
      <c r="C56" s="84">
        <v>0.5</v>
      </c>
      <c r="D56" s="84">
        <v>1.2</v>
      </c>
      <c r="E56" s="84">
        <v>0.94</v>
      </c>
      <c r="F56" s="115">
        <f t="shared" si="0"/>
        <v>14.389049999999999</v>
      </c>
    </row>
    <row r="57" spans="1:6" ht="15.75" thickBot="1" x14ac:dyDescent="0.3">
      <c r="A57" s="83" t="s">
        <v>291</v>
      </c>
      <c r="B57" s="84">
        <f>13*References!BA57</f>
        <v>74.339200000000005</v>
      </c>
      <c r="C57" s="84">
        <v>0.75</v>
      </c>
      <c r="D57" s="84">
        <v>1.2</v>
      </c>
      <c r="E57" s="84">
        <v>0.94</v>
      </c>
      <c r="F57" s="115">
        <f t="shared" si="0"/>
        <v>62.890963200000002</v>
      </c>
    </row>
    <row r="58" spans="1:6" ht="15.75" thickBot="1" x14ac:dyDescent="0.3">
      <c r="A58" s="83" t="s">
        <v>292</v>
      </c>
      <c r="B58" s="84">
        <f>13*References!BA58</f>
        <v>119.925</v>
      </c>
      <c r="C58" s="84">
        <v>0.5</v>
      </c>
      <c r="D58" s="84">
        <v>1.2</v>
      </c>
      <c r="E58" s="84">
        <v>0.94</v>
      </c>
      <c r="F58" s="115">
        <f t="shared" si="0"/>
        <v>67.637699999999995</v>
      </c>
    </row>
    <row r="59" spans="1:6" ht="15.75" thickBot="1" x14ac:dyDescent="0.3">
      <c r="A59" s="83" t="s">
        <v>293</v>
      </c>
      <c r="B59" s="84">
        <f>13*References!BA59</f>
        <v>494.42250000000001</v>
      </c>
      <c r="C59" s="84">
        <v>0.5</v>
      </c>
      <c r="D59" s="84">
        <v>1.2</v>
      </c>
      <c r="E59" s="84">
        <v>0.94</v>
      </c>
      <c r="F59" s="115">
        <f t="shared" si="0"/>
        <v>278.85428999999999</v>
      </c>
    </row>
    <row r="60" spans="1:6" ht="15.75" thickBot="1" x14ac:dyDescent="0.3">
      <c r="A60" s="83" t="s">
        <v>294</v>
      </c>
      <c r="B60" s="84">
        <f>13*References!BA60</f>
        <v>661.5453</v>
      </c>
      <c r="C60" s="84">
        <v>0.75</v>
      </c>
      <c r="D60" s="84">
        <v>1.2</v>
      </c>
      <c r="E60" s="84">
        <v>0.94</v>
      </c>
      <c r="F60" s="115">
        <f t="shared" si="0"/>
        <v>559.66732379999996</v>
      </c>
    </row>
    <row r="61" spans="1:6" ht="15.75" thickBot="1" x14ac:dyDescent="0.3">
      <c r="A61" s="83" t="s">
        <v>295</v>
      </c>
      <c r="B61" s="84">
        <f>13*References!BA61</f>
        <v>351.07280000000003</v>
      </c>
      <c r="C61" s="84">
        <v>0.5</v>
      </c>
      <c r="D61" s="84">
        <v>1.2</v>
      </c>
      <c r="E61" s="84">
        <v>0.94</v>
      </c>
      <c r="F61" s="115">
        <f t="shared" si="0"/>
        <v>198.00505920000001</v>
      </c>
    </row>
    <row r="62" spans="1:6" ht="15.75" thickBot="1" x14ac:dyDescent="0.3">
      <c r="A62" s="85" t="s">
        <v>296</v>
      </c>
      <c r="B62" s="86">
        <f>13*References!BA62</f>
        <v>2362.0895999999998</v>
      </c>
      <c r="C62" s="86">
        <v>0.5</v>
      </c>
      <c r="D62" s="86">
        <v>1.2</v>
      </c>
      <c r="E62" s="86">
        <v>0.94</v>
      </c>
      <c r="F62" s="116">
        <f>B62*C62*D62*E62</f>
        <v>1332.2185343999997</v>
      </c>
    </row>
    <row r="63" spans="1:6" ht="15.75" thickBot="1" x14ac:dyDescent="0.3">
      <c r="E63" s="131" t="s">
        <v>333</v>
      </c>
      <c r="F63" s="131">
        <f>SUM(Table23[Qs (W)])</f>
        <v>19883.609740799991</v>
      </c>
    </row>
    <row r="65" spans="1:8" ht="24" thickBot="1" x14ac:dyDescent="0.4">
      <c r="A65" s="157" t="s">
        <v>41</v>
      </c>
      <c r="B65" s="157"/>
      <c r="C65" s="157"/>
      <c r="D65" s="157"/>
      <c r="E65" s="157"/>
      <c r="F65" s="157"/>
      <c r="G65" s="105"/>
      <c r="H65" s="105"/>
    </row>
    <row r="66" spans="1:8" ht="15.75" thickBot="1" x14ac:dyDescent="0.3">
      <c r="A66" s="94" t="s">
        <v>19</v>
      </c>
      <c r="B66" s="73" t="s">
        <v>48</v>
      </c>
      <c r="C66" s="73" t="s">
        <v>505</v>
      </c>
      <c r="D66" s="73" t="s">
        <v>506</v>
      </c>
      <c r="E66" s="73" t="s">
        <v>338</v>
      </c>
      <c r="F66" s="95" t="s">
        <v>23</v>
      </c>
      <c r="G66" s="5"/>
    </row>
    <row r="67" spans="1:8" ht="15.75" thickBot="1" x14ac:dyDescent="0.3">
      <c r="A67" s="83" t="s">
        <v>123</v>
      </c>
      <c r="B67" s="84">
        <f>13*References!BB4</f>
        <v>445.59969999999998</v>
      </c>
      <c r="C67" s="84">
        <v>0.75</v>
      </c>
      <c r="D67" s="84">
        <v>1.2</v>
      </c>
      <c r="E67" s="84">
        <v>0.94</v>
      </c>
      <c r="F67" s="115">
        <f>B67*C67*D67*E67</f>
        <v>376.97734619999994</v>
      </c>
    </row>
    <row r="68" spans="1:8" ht="15.75" thickBot="1" x14ac:dyDescent="0.3">
      <c r="A68" s="83" t="s">
        <v>169</v>
      </c>
      <c r="B68" s="84">
        <f>13*References!BB5</f>
        <v>445.38</v>
      </c>
      <c r="C68" s="84">
        <v>0.75</v>
      </c>
      <c r="D68" s="84">
        <v>1.2</v>
      </c>
      <c r="E68" s="84">
        <v>0.94</v>
      </c>
      <c r="F68" s="115">
        <f t="shared" ref="F68:F115" si="1">B68*C68*D68*E68</f>
        <v>376.79147999999992</v>
      </c>
    </row>
    <row r="69" spans="1:8" ht="15.75" thickBot="1" x14ac:dyDescent="0.3">
      <c r="A69" s="83" t="s">
        <v>124</v>
      </c>
      <c r="B69" s="84">
        <f>13*References!BB6</f>
        <v>445.77</v>
      </c>
      <c r="C69" s="84">
        <v>0.75</v>
      </c>
      <c r="D69" s="84">
        <v>1.2</v>
      </c>
      <c r="E69" s="84">
        <v>0.94</v>
      </c>
      <c r="F69" s="115">
        <f t="shared" si="1"/>
        <v>377.12141999999994</v>
      </c>
    </row>
    <row r="70" spans="1:8" ht="15.75" thickBot="1" x14ac:dyDescent="0.3">
      <c r="A70" s="83" t="s">
        <v>125</v>
      </c>
      <c r="B70" s="84">
        <f>13*References!BB7</f>
        <v>443.52749999999997</v>
      </c>
      <c r="C70" s="84">
        <v>0.75</v>
      </c>
      <c r="D70" s="84">
        <v>1.2</v>
      </c>
      <c r="E70" s="84">
        <v>0.94</v>
      </c>
      <c r="F70" s="115">
        <f t="shared" si="1"/>
        <v>375.22426499999995</v>
      </c>
    </row>
    <row r="71" spans="1:8" ht="15.75" thickBot="1" x14ac:dyDescent="0.3">
      <c r="A71" s="83" t="s">
        <v>170</v>
      </c>
      <c r="B71" s="84">
        <f>13*References!BB8</f>
        <v>177.7594</v>
      </c>
      <c r="C71" s="84">
        <v>0.75</v>
      </c>
      <c r="D71" s="84">
        <v>1.2</v>
      </c>
      <c r="E71" s="84">
        <v>0.94</v>
      </c>
      <c r="F71" s="115">
        <f t="shared" si="1"/>
        <v>150.38445239999999</v>
      </c>
    </row>
    <row r="72" spans="1:8" ht="15.75" thickBot="1" x14ac:dyDescent="0.3">
      <c r="A72" s="83" t="s">
        <v>171</v>
      </c>
      <c r="B72" s="84">
        <f>13*References!BB9</f>
        <v>180.96780000000001</v>
      </c>
      <c r="C72" s="84">
        <v>0.75</v>
      </c>
      <c r="D72" s="84">
        <v>1.2</v>
      </c>
      <c r="E72" s="84">
        <v>0.94</v>
      </c>
      <c r="F72" s="115">
        <f t="shared" si="1"/>
        <v>153.09875880000001</v>
      </c>
    </row>
    <row r="73" spans="1:8" ht="15.75" thickBot="1" x14ac:dyDescent="0.3">
      <c r="A73" s="83" t="s">
        <v>172</v>
      </c>
      <c r="B73" s="84">
        <f>13*References!BB10</f>
        <v>180.3802</v>
      </c>
      <c r="C73" s="84">
        <v>0.75</v>
      </c>
      <c r="D73" s="84">
        <v>1.2</v>
      </c>
      <c r="E73" s="84">
        <v>0.94</v>
      </c>
      <c r="F73" s="115">
        <f t="shared" si="1"/>
        <v>152.60164919999997</v>
      </c>
    </row>
    <row r="74" spans="1:8" ht="15.75" thickBot="1" x14ac:dyDescent="0.3">
      <c r="A74" s="83" t="s">
        <v>173</v>
      </c>
      <c r="B74" s="84">
        <f>13*References!BB11</f>
        <v>399.25599999999997</v>
      </c>
      <c r="C74" s="84">
        <v>0.5</v>
      </c>
      <c r="D74" s="84">
        <v>1.2</v>
      </c>
      <c r="E74" s="84">
        <v>0.94</v>
      </c>
      <c r="F74" s="115">
        <f t="shared" si="1"/>
        <v>225.18038399999995</v>
      </c>
    </row>
    <row r="75" spans="1:8" ht="15.75" thickBot="1" x14ac:dyDescent="0.3">
      <c r="A75" s="83" t="s">
        <v>174</v>
      </c>
      <c r="B75" s="84">
        <f>13*References!BB12</f>
        <v>233.23689999999999</v>
      </c>
      <c r="C75" s="84">
        <v>0.75</v>
      </c>
      <c r="D75" s="84">
        <v>1.2</v>
      </c>
      <c r="E75" s="84">
        <v>0.94</v>
      </c>
      <c r="F75" s="115">
        <f t="shared" si="1"/>
        <v>197.31841739999999</v>
      </c>
    </row>
    <row r="76" spans="1:8" ht="15.75" thickBot="1" x14ac:dyDescent="0.3">
      <c r="A76" s="83" t="s">
        <v>175</v>
      </c>
      <c r="B76" s="84">
        <f>13*References!BB13</f>
        <v>296.77699999999999</v>
      </c>
      <c r="C76" s="84">
        <v>0.75</v>
      </c>
      <c r="D76" s="84">
        <v>1.2</v>
      </c>
      <c r="E76" s="84">
        <v>0.94</v>
      </c>
      <c r="F76" s="115">
        <f t="shared" si="1"/>
        <v>251.07334199999997</v>
      </c>
    </row>
    <row r="77" spans="1:8" ht="15.75" thickBot="1" x14ac:dyDescent="0.3">
      <c r="A77" s="83" t="s">
        <v>176</v>
      </c>
      <c r="B77" s="84">
        <f>13*References!BB14</f>
        <v>62.229700000000001</v>
      </c>
      <c r="C77" s="84">
        <v>0.5</v>
      </c>
      <c r="D77" s="84">
        <v>1.2</v>
      </c>
      <c r="E77" s="84">
        <v>0.94</v>
      </c>
      <c r="F77" s="115">
        <f t="shared" si="1"/>
        <v>35.0975508</v>
      </c>
    </row>
    <row r="78" spans="1:8" ht="15.75" thickBot="1" x14ac:dyDescent="0.3">
      <c r="A78" s="83" t="s">
        <v>177</v>
      </c>
      <c r="B78" s="84">
        <f>13*References!BB15</f>
        <v>31.955300000000001</v>
      </c>
      <c r="C78" s="84">
        <v>0.5</v>
      </c>
      <c r="D78" s="84">
        <v>1.2</v>
      </c>
      <c r="E78" s="84">
        <v>0.94</v>
      </c>
      <c r="F78" s="115">
        <f t="shared" si="1"/>
        <v>18.022789199999998</v>
      </c>
    </row>
    <row r="79" spans="1:8" ht="15.75" thickBot="1" x14ac:dyDescent="0.3">
      <c r="A79" s="83" t="s">
        <v>178</v>
      </c>
      <c r="B79" s="84">
        <f>13*References!BB16</f>
        <v>180.35550000000001</v>
      </c>
      <c r="C79" s="84">
        <v>0.75</v>
      </c>
      <c r="D79" s="84">
        <v>1.2</v>
      </c>
      <c r="E79" s="84">
        <v>0.94</v>
      </c>
      <c r="F79" s="115">
        <f t="shared" si="1"/>
        <v>152.58075299999999</v>
      </c>
    </row>
    <row r="80" spans="1:8" ht="15.75" thickBot="1" x14ac:dyDescent="0.3">
      <c r="A80" s="83" t="s">
        <v>179</v>
      </c>
      <c r="B80" s="84">
        <f>13*References!BB17</f>
        <v>180.60639999999998</v>
      </c>
      <c r="C80" s="84">
        <v>0.75</v>
      </c>
      <c r="D80" s="84">
        <v>1.2</v>
      </c>
      <c r="E80" s="84">
        <v>0.94</v>
      </c>
      <c r="F80" s="115">
        <f t="shared" si="1"/>
        <v>152.79301439999998</v>
      </c>
    </row>
    <row r="81" spans="1:6" ht="15.75" thickBot="1" x14ac:dyDescent="0.3">
      <c r="A81" s="83" t="s">
        <v>180</v>
      </c>
      <c r="B81" s="84">
        <f>13*References!BB18</f>
        <v>178.1858</v>
      </c>
      <c r="C81" s="84">
        <v>0.75</v>
      </c>
      <c r="D81" s="84">
        <v>1.2</v>
      </c>
      <c r="E81" s="84">
        <v>0.94</v>
      </c>
      <c r="F81" s="115">
        <f t="shared" si="1"/>
        <v>150.7451868</v>
      </c>
    </row>
    <row r="82" spans="1:6" ht="15.75" thickBot="1" x14ac:dyDescent="0.3">
      <c r="A82" s="83" t="s">
        <v>181</v>
      </c>
      <c r="B82" s="84">
        <f>13*References!BB19</f>
        <v>143.67859999999999</v>
      </c>
      <c r="C82" s="84">
        <v>0.5</v>
      </c>
      <c r="D82" s="84">
        <v>1.2</v>
      </c>
      <c r="E82" s="84">
        <v>0.94</v>
      </c>
      <c r="F82" s="115">
        <f t="shared" si="1"/>
        <v>81.034730399999987</v>
      </c>
    </row>
    <row r="83" spans="1:6" ht="15.75" thickBot="1" x14ac:dyDescent="0.3">
      <c r="A83" s="83" t="s">
        <v>182</v>
      </c>
      <c r="B83" s="84">
        <f>13*References!BB20</f>
        <v>177.8569</v>
      </c>
      <c r="C83" s="84">
        <v>0.75</v>
      </c>
      <c r="D83" s="84">
        <v>1.2</v>
      </c>
      <c r="E83" s="84">
        <v>0.94</v>
      </c>
      <c r="F83" s="115">
        <f t="shared" si="1"/>
        <v>150.46693739999998</v>
      </c>
    </row>
    <row r="84" spans="1:6" ht="15.75" thickBot="1" x14ac:dyDescent="0.3">
      <c r="A84" s="83" t="s">
        <v>142</v>
      </c>
      <c r="B84" s="84">
        <f>13*References!BB21</f>
        <v>243.5147</v>
      </c>
      <c r="C84" s="84">
        <v>0.5</v>
      </c>
      <c r="D84" s="84">
        <v>1.2</v>
      </c>
      <c r="E84" s="84">
        <v>0.94</v>
      </c>
      <c r="F84" s="115">
        <f t="shared" si="1"/>
        <v>137.3422908</v>
      </c>
    </row>
    <row r="85" spans="1:6" ht="15.75" thickBot="1" x14ac:dyDescent="0.3">
      <c r="A85" s="83" t="s">
        <v>183</v>
      </c>
      <c r="B85" s="84">
        <f>13*References!BB22</f>
        <v>329.83600000000001</v>
      </c>
      <c r="C85" s="84">
        <v>0.75</v>
      </c>
      <c r="D85" s="84">
        <v>1.2</v>
      </c>
      <c r="E85" s="84">
        <v>0.94</v>
      </c>
      <c r="F85" s="115">
        <f t="shared" si="1"/>
        <v>279.04125599999998</v>
      </c>
    </row>
    <row r="86" spans="1:6" ht="15.75" thickBot="1" x14ac:dyDescent="0.3">
      <c r="A86" s="83" t="s">
        <v>185</v>
      </c>
      <c r="B86" s="84">
        <f>13*References!BB23</f>
        <v>331.24</v>
      </c>
      <c r="C86" s="84">
        <v>0.75</v>
      </c>
      <c r="D86" s="84">
        <v>1.2</v>
      </c>
      <c r="E86" s="84">
        <v>0.94</v>
      </c>
      <c r="F86" s="115">
        <f t="shared" si="1"/>
        <v>280.22904</v>
      </c>
    </row>
    <row r="87" spans="1:6" ht="15.75" thickBot="1" x14ac:dyDescent="0.3">
      <c r="A87" s="83" t="s">
        <v>186</v>
      </c>
      <c r="B87" s="84">
        <f>13*References!BB24</f>
        <v>178.76560000000001</v>
      </c>
      <c r="C87" s="84">
        <v>0.75</v>
      </c>
      <c r="D87" s="84">
        <v>1.2</v>
      </c>
      <c r="E87" s="84">
        <v>0.94</v>
      </c>
      <c r="F87" s="115">
        <f t="shared" si="1"/>
        <v>151.23569760000001</v>
      </c>
    </row>
    <row r="88" spans="1:6" ht="15.75" thickBot="1" x14ac:dyDescent="0.3">
      <c r="A88" s="83" t="s">
        <v>141</v>
      </c>
      <c r="B88" s="84">
        <f>13*References!BB25</f>
        <v>499.8981</v>
      </c>
      <c r="C88" s="84">
        <v>0.5</v>
      </c>
      <c r="D88" s="84">
        <v>1.2</v>
      </c>
      <c r="E88" s="84">
        <v>0.94</v>
      </c>
      <c r="F88" s="115">
        <f t="shared" si="1"/>
        <v>281.94252839999996</v>
      </c>
    </row>
    <row r="89" spans="1:6" ht="15.75" thickBot="1" x14ac:dyDescent="0.3">
      <c r="A89" s="83" t="s">
        <v>187</v>
      </c>
      <c r="B89" s="84">
        <f>13*References!BB26</f>
        <v>329.83600000000001</v>
      </c>
      <c r="C89" s="84">
        <v>0.75</v>
      </c>
      <c r="D89" s="84">
        <v>1.2</v>
      </c>
      <c r="E89" s="84">
        <v>0.94</v>
      </c>
      <c r="F89" s="115">
        <f t="shared" si="1"/>
        <v>279.04125599999998</v>
      </c>
    </row>
    <row r="90" spans="1:6" ht="15.75" thickBot="1" x14ac:dyDescent="0.3">
      <c r="A90" s="83" t="s">
        <v>188</v>
      </c>
      <c r="B90" s="84">
        <f>13*References!BB27</f>
        <v>331.24</v>
      </c>
      <c r="C90" s="84">
        <v>0.75</v>
      </c>
      <c r="D90" s="84">
        <v>1.2</v>
      </c>
      <c r="E90" s="84">
        <v>0.94</v>
      </c>
      <c r="F90" s="115">
        <f t="shared" si="1"/>
        <v>280.22904</v>
      </c>
    </row>
    <row r="91" spans="1:6" ht="15.75" thickBot="1" x14ac:dyDescent="0.3">
      <c r="A91" s="83" t="s">
        <v>189</v>
      </c>
      <c r="B91" s="84">
        <f>13*References!BB28</f>
        <v>178.76560000000001</v>
      </c>
      <c r="C91" s="84">
        <v>0.75</v>
      </c>
      <c r="D91" s="84">
        <v>1.2</v>
      </c>
      <c r="E91" s="84">
        <v>0.94</v>
      </c>
      <c r="F91" s="115">
        <f t="shared" si="1"/>
        <v>151.23569760000001</v>
      </c>
    </row>
    <row r="92" spans="1:6" ht="15.75" thickBot="1" x14ac:dyDescent="0.3">
      <c r="A92" s="83" t="s">
        <v>190</v>
      </c>
      <c r="B92" s="84">
        <f>13*References!BB29</f>
        <v>178.76560000000001</v>
      </c>
      <c r="C92" s="84">
        <v>0.75</v>
      </c>
      <c r="D92" s="84">
        <v>1.2</v>
      </c>
      <c r="E92" s="84">
        <v>0.94</v>
      </c>
      <c r="F92" s="115">
        <f t="shared" si="1"/>
        <v>151.23569760000001</v>
      </c>
    </row>
    <row r="93" spans="1:6" ht="15.75" thickBot="1" x14ac:dyDescent="0.3">
      <c r="A93" s="83" t="s">
        <v>140</v>
      </c>
      <c r="B93" s="84">
        <f>13*References!BB30</f>
        <v>277.70080000000002</v>
      </c>
      <c r="C93" s="84">
        <v>0.5</v>
      </c>
      <c r="D93" s="84">
        <v>1.2</v>
      </c>
      <c r="E93" s="84">
        <v>0.94</v>
      </c>
      <c r="F93" s="115">
        <f t="shared" si="1"/>
        <v>156.6232512</v>
      </c>
    </row>
    <row r="94" spans="1:6" ht="15.75" thickBot="1" x14ac:dyDescent="0.3">
      <c r="A94" s="83" t="s">
        <v>127</v>
      </c>
      <c r="B94" s="84">
        <f>13*References!BB31</f>
        <v>408.70440000000002</v>
      </c>
      <c r="C94" s="84">
        <v>0.5</v>
      </c>
      <c r="D94" s="84">
        <v>1.2</v>
      </c>
      <c r="E94" s="84">
        <v>0.94</v>
      </c>
      <c r="F94" s="115">
        <f t="shared" si="1"/>
        <v>230.50928160000001</v>
      </c>
    </row>
    <row r="95" spans="1:6" ht="15.75" thickBot="1" x14ac:dyDescent="0.3">
      <c r="A95" s="83" t="s">
        <v>139</v>
      </c>
      <c r="B95" s="84">
        <f>13*References!BB32</f>
        <v>454.82059999999996</v>
      </c>
      <c r="C95" s="84">
        <v>0.75</v>
      </c>
      <c r="D95" s="84">
        <v>1.2</v>
      </c>
      <c r="E95" s="84">
        <v>0.94</v>
      </c>
      <c r="F95" s="115">
        <f t="shared" si="1"/>
        <v>384.77822759999987</v>
      </c>
    </row>
    <row r="96" spans="1:6" ht="15.75" thickBot="1" x14ac:dyDescent="0.3">
      <c r="A96" s="83" t="s">
        <v>191</v>
      </c>
      <c r="B96" s="84">
        <f>13*References!BB33</f>
        <v>70.344300000000004</v>
      </c>
      <c r="C96" s="84">
        <v>0.75</v>
      </c>
      <c r="D96" s="84">
        <v>1.2</v>
      </c>
      <c r="E96" s="84">
        <v>0.94</v>
      </c>
      <c r="F96" s="115">
        <f t="shared" si="1"/>
        <v>59.511277800000002</v>
      </c>
    </row>
    <row r="97" spans="1:11" ht="15.75" thickBot="1" x14ac:dyDescent="0.3">
      <c r="A97" s="83" t="s">
        <v>192</v>
      </c>
      <c r="B97" s="84">
        <f>13*References!BB34</f>
        <v>334.73180000000002</v>
      </c>
      <c r="C97" s="84">
        <v>0.75</v>
      </c>
      <c r="D97" s="84">
        <v>1.2</v>
      </c>
      <c r="E97" s="84">
        <v>0.94</v>
      </c>
      <c r="F97" s="115">
        <f t="shared" si="1"/>
        <v>283.18310279999997</v>
      </c>
    </row>
    <row r="98" spans="1:11" ht="15.75" thickBot="1" x14ac:dyDescent="0.3">
      <c r="A98" s="83" t="s">
        <v>193</v>
      </c>
      <c r="B98" s="84">
        <f>13*References!BB35</f>
        <v>218.39219999999997</v>
      </c>
      <c r="C98" s="84">
        <v>0.75</v>
      </c>
      <c r="D98" s="84">
        <v>1.2</v>
      </c>
      <c r="E98" s="84">
        <v>0.94</v>
      </c>
      <c r="F98" s="115">
        <f t="shared" si="1"/>
        <v>184.75980119999994</v>
      </c>
    </row>
    <row r="99" spans="1:11" ht="15.75" thickBot="1" x14ac:dyDescent="0.3">
      <c r="A99" s="83" t="s">
        <v>194</v>
      </c>
      <c r="B99" s="84">
        <f>13*References!BB36</f>
        <v>218.39870000000002</v>
      </c>
      <c r="C99" s="84">
        <v>0.75</v>
      </c>
      <c r="D99" s="84">
        <v>1.2</v>
      </c>
      <c r="E99" s="84">
        <v>0.94</v>
      </c>
      <c r="F99" s="115">
        <f t="shared" si="1"/>
        <v>184.76530020000001</v>
      </c>
    </row>
    <row r="100" spans="1:11" ht="15.75" thickBot="1" x14ac:dyDescent="0.3">
      <c r="A100" s="83" t="s">
        <v>195</v>
      </c>
      <c r="B100" s="84">
        <f>13*References!BB37</f>
        <v>132.93539999999999</v>
      </c>
      <c r="C100" s="84">
        <v>0.5</v>
      </c>
      <c r="D100" s="84">
        <v>1.2</v>
      </c>
      <c r="E100" s="84">
        <v>0.94</v>
      </c>
      <c r="F100" s="115">
        <f t="shared" si="1"/>
        <v>74.975565599999982</v>
      </c>
    </row>
    <row r="101" spans="1:11" ht="15.75" thickBot="1" x14ac:dyDescent="0.3">
      <c r="A101" s="83" t="s">
        <v>196</v>
      </c>
      <c r="B101" s="84">
        <f>13*References!BB38</f>
        <v>247.00909999999999</v>
      </c>
      <c r="C101" s="84">
        <v>0.5</v>
      </c>
      <c r="D101" s="84">
        <v>1.2</v>
      </c>
      <c r="E101" s="84">
        <v>0.94</v>
      </c>
      <c r="F101" s="115">
        <f t="shared" si="1"/>
        <v>139.31313239999997</v>
      </c>
    </row>
    <row r="102" spans="1:11" ht="15.75" thickBot="1" x14ac:dyDescent="0.3">
      <c r="A102" s="83" t="s">
        <v>197</v>
      </c>
      <c r="B102" s="84">
        <f>13*References!BB39</f>
        <v>194.83750000000001</v>
      </c>
      <c r="C102" s="84">
        <v>0.5</v>
      </c>
      <c r="D102" s="84">
        <v>1.2</v>
      </c>
      <c r="E102" s="84">
        <v>0.94</v>
      </c>
      <c r="F102" s="115">
        <f t="shared" si="1"/>
        <v>109.88835</v>
      </c>
      <c r="K102" s="125"/>
    </row>
    <row r="103" spans="1:11" ht="15.75" thickBot="1" x14ac:dyDescent="0.3">
      <c r="A103" s="83" t="s">
        <v>198</v>
      </c>
      <c r="B103" s="84">
        <f>13*References!BB40</f>
        <v>280.80779999999999</v>
      </c>
      <c r="C103" s="84">
        <v>0.75</v>
      </c>
      <c r="D103" s="84">
        <v>1.2</v>
      </c>
      <c r="E103" s="84">
        <v>0.94</v>
      </c>
      <c r="F103" s="115">
        <f t="shared" si="1"/>
        <v>237.56339879999993</v>
      </c>
    </row>
    <row r="104" spans="1:11" ht="15.75" thickBot="1" x14ac:dyDescent="0.3">
      <c r="A104" s="83" t="s">
        <v>199</v>
      </c>
      <c r="B104" s="84">
        <f>13*References!BB41</f>
        <v>306.8039</v>
      </c>
      <c r="C104" s="84">
        <v>0.75</v>
      </c>
      <c r="D104" s="84">
        <v>1.2</v>
      </c>
      <c r="E104" s="84">
        <v>0.94</v>
      </c>
      <c r="F104" s="115">
        <f t="shared" si="1"/>
        <v>259.55609939999999</v>
      </c>
    </row>
    <row r="105" spans="1:11" ht="15.75" thickBot="1" x14ac:dyDescent="0.3">
      <c r="A105" s="83" t="s">
        <v>200</v>
      </c>
      <c r="B105" s="84">
        <f>13*References!BB42</f>
        <v>455.55249999999995</v>
      </c>
      <c r="C105" s="84">
        <v>0.5</v>
      </c>
      <c r="D105" s="84">
        <v>1.2</v>
      </c>
      <c r="E105" s="84">
        <v>0.94</v>
      </c>
      <c r="F105" s="115">
        <f t="shared" si="1"/>
        <v>256.93160999999992</v>
      </c>
    </row>
    <row r="106" spans="1:11" ht="15.75" thickBot="1" x14ac:dyDescent="0.3">
      <c r="A106" s="83" t="s">
        <v>201</v>
      </c>
      <c r="B106" s="84">
        <f>13*References!BB43</f>
        <v>73.985600000000005</v>
      </c>
      <c r="C106" s="84">
        <v>0.75</v>
      </c>
      <c r="D106" s="84">
        <v>1.2</v>
      </c>
      <c r="E106" s="84">
        <v>0.94</v>
      </c>
      <c r="F106" s="115">
        <f t="shared" si="1"/>
        <v>62.591817599999999</v>
      </c>
    </row>
    <row r="107" spans="1:11" ht="15.75" thickBot="1" x14ac:dyDescent="0.3">
      <c r="A107" s="83" t="s">
        <v>202</v>
      </c>
      <c r="B107" s="84">
        <f>13*References!BB44</f>
        <v>53.739399999999996</v>
      </c>
      <c r="C107" s="84">
        <v>0.5</v>
      </c>
      <c r="D107" s="84">
        <v>1.2</v>
      </c>
      <c r="E107" s="84">
        <v>0.94</v>
      </c>
      <c r="F107" s="115">
        <f t="shared" si="1"/>
        <v>30.309021599999998</v>
      </c>
    </row>
    <row r="108" spans="1:11" ht="15.75" thickBot="1" x14ac:dyDescent="0.3">
      <c r="A108" s="83" t="s">
        <v>414</v>
      </c>
      <c r="B108" s="84">
        <f>13*References!BB45</f>
        <v>167.83</v>
      </c>
      <c r="C108" s="84">
        <v>0.5</v>
      </c>
      <c r="D108" s="84">
        <v>1.2</v>
      </c>
      <c r="E108" s="84">
        <v>0.94</v>
      </c>
      <c r="F108" s="115">
        <f t="shared" si="1"/>
        <v>94.656120000000001</v>
      </c>
    </row>
    <row r="109" spans="1:11" ht="15.75" thickBot="1" x14ac:dyDescent="0.3">
      <c r="A109" s="83" t="s">
        <v>538</v>
      </c>
      <c r="B109" s="84">
        <f>13*References!BB46</f>
        <v>97.219200000000001</v>
      </c>
      <c r="C109" s="84">
        <v>0.75</v>
      </c>
      <c r="D109" s="84">
        <v>1.2</v>
      </c>
      <c r="E109" s="84">
        <v>0.94</v>
      </c>
      <c r="F109" s="115">
        <f t="shared" si="1"/>
        <v>82.247443199999992</v>
      </c>
    </row>
    <row r="110" spans="1:11" ht="15.75" thickBot="1" x14ac:dyDescent="0.3">
      <c r="A110" s="83" t="s">
        <v>521</v>
      </c>
      <c r="B110" s="84">
        <f>13*References!BB47</f>
        <v>227.76910000000001</v>
      </c>
      <c r="C110" s="84">
        <v>0.75</v>
      </c>
      <c r="D110" s="84">
        <v>1.2</v>
      </c>
      <c r="E110" s="84">
        <v>0.94</v>
      </c>
      <c r="F110" s="115">
        <f t="shared" si="1"/>
        <v>192.69265860000002</v>
      </c>
    </row>
    <row r="111" spans="1:11" ht="15.75" thickBot="1" x14ac:dyDescent="0.3">
      <c r="A111" s="83" t="s">
        <v>132</v>
      </c>
      <c r="B111" s="84">
        <f>13*References!BB48</f>
        <v>36.4</v>
      </c>
      <c r="C111" s="84">
        <v>0.5</v>
      </c>
      <c r="D111" s="84">
        <v>1.2</v>
      </c>
      <c r="E111" s="84">
        <v>0.94</v>
      </c>
      <c r="F111" s="115">
        <f t="shared" si="1"/>
        <v>20.529599999999999</v>
      </c>
    </row>
    <row r="112" spans="1:11" ht="15.75" thickBot="1" x14ac:dyDescent="0.3">
      <c r="A112" s="83" t="s">
        <v>133</v>
      </c>
      <c r="B112" s="84">
        <f>13*References!BB49</f>
        <v>36.4</v>
      </c>
      <c r="C112" s="84">
        <v>0.5</v>
      </c>
      <c r="D112" s="84">
        <v>1.2</v>
      </c>
      <c r="E112" s="84">
        <v>0.94</v>
      </c>
      <c r="F112" s="115">
        <f t="shared" si="1"/>
        <v>20.529599999999999</v>
      </c>
    </row>
    <row r="113" spans="1:8" ht="15.75" thickBot="1" x14ac:dyDescent="0.3">
      <c r="A113" s="83" t="s">
        <v>134</v>
      </c>
      <c r="B113" s="84">
        <f>13*References!BB50</f>
        <v>36.4</v>
      </c>
      <c r="C113" s="84">
        <v>0.5</v>
      </c>
      <c r="D113" s="84">
        <v>1.2</v>
      </c>
      <c r="E113" s="84">
        <v>0.94</v>
      </c>
      <c r="F113" s="115">
        <f t="shared" si="1"/>
        <v>20.529599999999999</v>
      </c>
    </row>
    <row r="114" spans="1:8" ht="15.75" thickBot="1" x14ac:dyDescent="0.3">
      <c r="A114" s="96" t="s">
        <v>131</v>
      </c>
      <c r="B114" s="84">
        <f>13*References!BB51</f>
        <v>536.92730000000006</v>
      </c>
      <c r="C114" s="84">
        <v>0.75</v>
      </c>
      <c r="D114" s="84">
        <v>1.2</v>
      </c>
      <c r="E114" s="84">
        <v>0.94</v>
      </c>
      <c r="F114" s="115">
        <f t="shared" si="1"/>
        <v>454.24049580000002</v>
      </c>
    </row>
    <row r="115" spans="1:8" ht="15.75" thickBot="1" x14ac:dyDescent="0.3">
      <c r="A115" s="83" t="s">
        <v>129</v>
      </c>
      <c r="B115" s="84">
        <f>13*References!BB52</f>
        <v>610.66460000000006</v>
      </c>
      <c r="C115" s="84">
        <v>0.75</v>
      </c>
      <c r="D115" s="84">
        <v>1.2</v>
      </c>
      <c r="E115" s="84">
        <v>0.94</v>
      </c>
      <c r="F115" s="115">
        <f t="shared" si="1"/>
        <v>516.62225160000003</v>
      </c>
    </row>
    <row r="116" spans="1:8" ht="15.75" thickBot="1" x14ac:dyDescent="0.3">
      <c r="A116" s="99" t="s">
        <v>64</v>
      </c>
      <c r="B116" s="86">
        <f>13*References!BB53</f>
        <v>8903.9174899999998</v>
      </c>
      <c r="C116" s="86">
        <v>0.75</v>
      </c>
      <c r="D116" s="86">
        <v>1.2</v>
      </c>
      <c r="E116" s="86">
        <v>0.94</v>
      </c>
      <c r="F116" s="116">
        <f>B116*C116*D116*E116</f>
        <v>7532.7141965399987</v>
      </c>
    </row>
    <row r="117" spans="1:8" ht="15.75" thickBot="1" x14ac:dyDescent="0.3">
      <c r="E117" s="131" t="s">
        <v>333</v>
      </c>
      <c r="F117" s="131">
        <f>SUM(Table24[Qs (W)])</f>
        <v>16958.066184539995</v>
      </c>
    </row>
    <row r="119" spans="1:8" ht="23.25" x14ac:dyDescent="0.35">
      <c r="A119" s="158" t="s">
        <v>59</v>
      </c>
      <c r="B119" s="158"/>
      <c r="C119" s="158"/>
      <c r="D119" s="158"/>
      <c r="E119" s="158"/>
      <c r="F119" s="158"/>
      <c r="G119" s="108"/>
      <c r="H119" s="108"/>
    </row>
    <row r="120" spans="1:8" ht="15.75" thickBot="1" x14ac:dyDescent="0.3">
      <c r="A120" s="94" t="s">
        <v>19</v>
      </c>
      <c r="B120" s="73" t="s">
        <v>48</v>
      </c>
      <c r="C120" s="73" t="s">
        <v>505</v>
      </c>
      <c r="D120" s="73" t="s">
        <v>506</v>
      </c>
      <c r="E120" s="73" t="s">
        <v>338</v>
      </c>
      <c r="F120" s="95" t="s">
        <v>23</v>
      </c>
    </row>
    <row r="121" spans="1:8" ht="15.75" thickBot="1" x14ac:dyDescent="0.3">
      <c r="A121" s="83" t="s">
        <v>123</v>
      </c>
      <c r="B121" s="84">
        <f>13*References!BC4</f>
        <v>445.59969999999998</v>
      </c>
      <c r="C121" s="84">
        <v>0.75</v>
      </c>
      <c r="D121" s="84">
        <v>1.2</v>
      </c>
      <c r="E121" s="84">
        <v>0.94</v>
      </c>
      <c r="F121" s="115">
        <f>B121*C121*D121*E121</f>
        <v>376.97734619999994</v>
      </c>
    </row>
    <row r="122" spans="1:8" ht="15.75" thickBot="1" x14ac:dyDescent="0.3">
      <c r="A122" s="83" t="s">
        <v>169</v>
      </c>
      <c r="B122" s="84">
        <f>13*References!BC5</f>
        <v>445.38</v>
      </c>
      <c r="C122" s="84">
        <v>0.75</v>
      </c>
      <c r="D122" s="84">
        <v>1.2</v>
      </c>
      <c r="E122" s="84">
        <v>0.94</v>
      </c>
      <c r="F122" s="115">
        <f t="shared" ref="F122:F164" si="2">B122*C122*D122*E122</f>
        <v>376.79147999999992</v>
      </c>
    </row>
    <row r="123" spans="1:8" ht="15.75" thickBot="1" x14ac:dyDescent="0.3">
      <c r="A123" s="83" t="s">
        <v>302</v>
      </c>
      <c r="B123" s="84">
        <f>13*References!BC6</f>
        <v>486.31310000000002</v>
      </c>
      <c r="C123" s="84">
        <v>0.5</v>
      </c>
      <c r="D123" s="84">
        <v>1.2</v>
      </c>
      <c r="E123" s="84">
        <v>0.94</v>
      </c>
      <c r="F123" s="115">
        <f t="shared" si="2"/>
        <v>274.2805884</v>
      </c>
    </row>
    <row r="124" spans="1:8" ht="15.75" thickBot="1" x14ac:dyDescent="0.3">
      <c r="A124" s="83" t="s">
        <v>303</v>
      </c>
      <c r="B124" s="84">
        <f>13*References!BC7</f>
        <v>486.31310000000002</v>
      </c>
      <c r="C124" s="84">
        <v>0.5</v>
      </c>
      <c r="D124" s="84">
        <v>1.2</v>
      </c>
      <c r="E124" s="84">
        <v>0.94</v>
      </c>
      <c r="F124" s="115">
        <f t="shared" si="2"/>
        <v>274.2805884</v>
      </c>
    </row>
    <row r="125" spans="1:8" ht="15.75" thickBot="1" x14ac:dyDescent="0.3">
      <c r="A125" s="83" t="s">
        <v>124</v>
      </c>
      <c r="B125" s="84">
        <f>13*References!BC8</f>
        <v>445.38</v>
      </c>
      <c r="C125" s="84">
        <v>0.75</v>
      </c>
      <c r="D125" s="84">
        <v>1.2</v>
      </c>
      <c r="E125" s="84">
        <v>0.94</v>
      </c>
      <c r="F125" s="115">
        <f t="shared" si="2"/>
        <v>376.79147999999992</v>
      </c>
    </row>
    <row r="126" spans="1:8" ht="15.75" thickBot="1" x14ac:dyDescent="0.3">
      <c r="A126" s="83" t="s">
        <v>125</v>
      </c>
      <c r="B126" s="84">
        <f>13*References!BC9</f>
        <v>445.38</v>
      </c>
      <c r="C126" s="84">
        <v>0.75</v>
      </c>
      <c r="D126" s="84">
        <v>1.2</v>
      </c>
      <c r="E126" s="84">
        <v>0.94</v>
      </c>
      <c r="F126" s="115">
        <f t="shared" si="2"/>
        <v>376.79147999999992</v>
      </c>
    </row>
    <row r="127" spans="1:8" ht="15.75" thickBot="1" x14ac:dyDescent="0.3">
      <c r="A127" s="83" t="s">
        <v>170</v>
      </c>
      <c r="B127" s="84">
        <f>13*References!BC10</f>
        <v>131.8109</v>
      </c>
      <c r="C127" s="84">
        <v>0.75</v>
      </c>
      <c r="D127" s="84">
        <v>1.2</v>
      </c>
      <c r="E127" s="84">
        <v>0.94</v>
      </c>
      <c r="F127" s="115">
        <f t="shared" si="2"/>
        <v>111.51202139999998</v>
      </c>
    </row>
    <row r="128" spans="1:8" ht="15.75" thickBot="1" x14ac:dyDescent="0.3">
      <c r="A128" s="83" t="s">
        <v>171</v>
      </c>
      <c r="B128" s="84">
        <f>13*References!BC11</f>
        <v>180.98859999999999</v>
      </c>
      <c r="C128" s="84">
        <v>0.75</v>
      </c>
      <c r="D128" s="84">
        <v>1.2</v>
      </c>
      <c r="E128" s="84">
        <v>0.94</v>
      </c>
      <c r="F128" s="115">
        <f t="shared" si="2"/>
        <v>153.11635559999999</v>
      </c>
    </row>
    <row r="129" spans="1:6" ht="15.75" thickBot="1" x14ac:dyDescent="0.3">
      <c r="A129" s="83" t="s">
        <v>172</v>
      </c>
      <c r="B129" s="84">
        <f>13*References!BC12</f>
        <v>180.35939999999999</v>
      </c>
      <c r="C129" s="84">
        <v>0.75</v>
      </c>
      <c r="D129" s="84">
        <v>1.2</v>
      </c>
      <c r="E129" s="84">
        <v>0.94</v>
      </c>
      <c r="F129" s="115">
        <f t="shared" si="2"/>
        <v>152.58405239999996</v>
      </c>
    </row>
    <row r="130" spans="1:6" ht="15.75" thickBot="1" x14ac:dyDescent="0.3">
      <c r="A130" s="83" t="s">
        <v>173</v>
      </c>
      <c r="B130" s="84">
        <f>13*References!BC13</f>
        <v>399.25599999999997</v>
      </c>
      <c r="C130" s="84">
        <v>0.5</v>
      </c>
      <c r="D130" s="84">
        <v>1.2</v>
      </c>
      <c r="E130" s="84">
        <v>0.94</v>
      </c>
      <c r="F130" s="115">
        <f t="shared" si="2"/>
        <v>225.18038399999995</v>
      </c>
    </row>
    <row r="131" spans="1:6" ht="15.75" thickBot="1" x14ac:dyDescent="0.3">
      <c r="A131" s="83" t="s">
        <v>174</v>
      </c>
      <c r="B131" s="84">
        <f>13*References!BC14</f>
        <v>233.23689999999999</v>
      </c>
      <c r="C131" s="84">
        <v>0.5</v>
      </c>
      <c r="D131" s="84">
        <v>1.2</v>
      </c>
      <c r="E131" s="84">
        <v>0.94</v>
      </c>
      <c r="F131" s="115">
        <f t="shared" si="2"/>
        <v>131.5456116</v>
      </c>
    </row>
    <row r="132" spans="1:6" ht="15.75" thickBot="1" x14ac:dyDescent="0.3">
      <c r="A132" s="83" t="s">
        <v>175</v>
      </c>
      <c r="B132" s="84">
        <f>13*References!BC15</f>
        <v>296.77699999999999</v>
      </c>
      <c r="C132" s="84">
        <v>0.75</v>
      </c>
      <c r="D132" s="84">
        <v>1.2</v>
      </c>
      <c r="E132" s="84">
        <v>0.94</v>
      </c>
      <c r="F132" s="115">
        <f t="shared" si="2"/>
        <v>251.07334199999997</v>
      </c>
    </row>
    <row r="133" spans="1:6" ht="15.75" thickBot="1" x14ac:dyDescent="0.3">
      <c r="A133" s="83" t="s">
        <v>176</v>
      </c>
      <c r="B133" s="84">
        <f>13*References!BC16</f>
        <v>62.229700000000001</v>
      </c>
      <c r="C133" s="84">
        <v>0.5</v>
      </c>
      <c r="D133" s="84">
        <v>1.2</v>
      </c>
      <c r="E133" s="84">
        <v>0.94</v>
      </c>
      <c r="F133" s="115">
        <f t="shared" si="2"/>
        <v>35.0975508</v>
      </c>
    </row>
    <row r="134" spans="1:6" ht="15.75" thickBot="1" x14ac:dyDescent="0.3">
      <c r="A134" s="83" t="s">
        <v>177</v>
      </c>
      <c r="B134" s="84">
        <f>13*References!BC17</f>
        <v>31.955300000000001</v>
      </c>
      <c r="C134" s="84">
        <v>0.5</v>
      </c>
      <c r="D134" s="84">
        <v>1.2</v>
      </c>
      <c r="E134" s="84">
        <v>0.94</v>
      </c>
      <c r="F134" s="115">
        <f t="shared" si="2"/>
        <v>18.022789199999998</v>
      </c>
    </row>
    <row r="135" spans="1:6" ht="15.75" thickBot="1" x14ac:dyDescent="0.3">
      <c r="A135" s="83" t="s">
        <v>178</v>
      </c>
      <c r="B135" s="84">
        <f>13*References!BC18</f>
        <v>180.35550000000001</v>
      </c>
      <c r="C135" s="84">
        <v>0.75</v>
      </c>
      <c r="D135" s="84">
        <v>1.2</v>
      </c>
      <c r="E135" s="84">
        <v>0.94</v>
      </c>
      <c r="F135" s="115">
        <f t="shared" si="2"/>
        <v>152.58075299999999</v>
      </c>
    </row>
    <row r="136" spans="1:6" ht="15.75" thickBot="1" x14ac:dyDescent="0.3">
      <c r="A136" s="83" t="s">
        <v>179</v>
      </c>
      <c r="B136" s="84">
        <f>13*References!BC19</f>
        <v>180.60639999999998</v>
      </c>
      <c r="C136" s="84">
        <v>0.75</v>
      </c>
      <c r="D136" s="84">
        <v>1.2</v>
      </c>
      <c r="E136" s="84">
        <v>0.94</v>
      </c>
      <c r="F136" s="115">
        <f t="shared" si="2"/>
        <v>152.79301439999998</v>
      </c>
    </row>
    <row r="137" spans="1:6" ht="15.75" thickBot="1" x14ac:dyDescent="0.3">
      <c r="A137" s="83" t="s">
        <v>180</v>
      </c>
      <c r="B137" s="84">
        <f>13*References!BC20</f>
        <v>132.23079999999999</v>
      </c>
      <c r="C137" s="84">
        <v>0.75</v>
      </c>
      <c r="D137" s="84">
        <v>1.2</v>
      </c>
      <c r="E137" s="84">
        <v>0.94</v>
      </c>
      <c r="F137" s="115">
        <f t="shared" si="2"/>
        <v>111.86725679999998</v>
      </c>
    </row>
    <row r="138" spans="1:6" ht="15.75" thickBot="1" x14ac:dyDescent="0.3">
      <c r="A138" s="83" t="s">
        <v>182</v>
      </c>
      <c r="B138" s="84">
        <f>13*References!BC21</f>
        <v>206.2047</v>
      </c>
      <c r="C138" s="84">
        <v>0.75</v>
      </c>
      <c r="D138" s="84">
        <v>1.2</v>
      </c>
      <c r="E138" s="84">
        <v>0.94</v>
      </c>
      <c r="F138" s="115">
        <f t="shared" si="2"/>
        <v>174.44917619999998</v>
      </c>
    </row>
    <row r="139" spans="1:6" ht="15.75" thickBot="1" x14ac:dyDescent="0.3">
      <c r="A139" s="83" t="s">
        <v>508</v>
      </c>
      <c r="B139" s="84">
        <f>13*References!BC22</f>
        <v>206.2047</v>
      </c>
      <c r="C139" s="84">
        <v>0.75</v>
      </c>
      <c r="D139" s="84">
        <v>1.2</v>
      </c>
      <c r="E139" s="84">
        <v>0.94</v>
      </c>
      <c r="F139" s="115">
        <f t="shared" si="2"/>
        <v>174.44917619999998</v>
      </c>
    </row>
    <row r="140" spans="1:6" ht="15.75" thickBot="1" x14ac:dyDescent="0.3">
      <c r="A140" s="83" t="s">
        <v>183</v>
      </c>
      <c r="B140" s="84">
        <f>13*References!BC23</f>
        <v>322.17900000000003</v>
      </c>
      <c r="C140" s="84">
        <v>0.75</v>
      </c>
      <c r="D140" s="84">
        <v>1.2</v>
      </c>
      <c r="E140" s="84">
        <v>0.94</v>
      </c>
      <c r="F140" s="115">
        <f t="shared" si="2"/>
        <v>272.56343399999997</v>
      </c>
    </row>
    <row r="141" spans="1:6" ht="15.75" thickBot="1" x14ac:dyDescent="0.3">
      <c r="A141" s="83" t="s">
        <v>185</v>
      </c>
      <c r="B141" s="84">
        <f>13*References!BC24</f>
        <v>323.58169999999996</v>
      </c>
      <c r="C141" s="84">
        <v>0.75</v>
      </c>
      <c r="D141" s="84">
        <v>1.2</v>
      </c>
      <c r="E141" s="84">
        <v>0.94</v>
      </c>
      <c r="F141" s="115">
        <f t="shared" si="2"/>
        <v>273.75011819999992</v>
      </c>
    </row>
    <row r="142" spans="1:6" ht="15.75" thickBot="1" x14ac:dyDescent="0.3">
      <c r="A142" s="83" t="s">
        <v>189</v>
      </c>
      <c r="B142" s="84">
        <f>13*References!BC25</f>
        <v>177.8569</v>
      </c>
      <c r="C142" s="84">
        <v>0.75</v>
      </c>
      <c r="D142" s="84">
        <v>1.2</v>
      </c>
      <c r="E142" s="84">
        <v>0.94</v>
      </c>
      <c r="F142" s="115">
        <f t="shared" si="2"/>
        <v>150.46693739999998</v>
      </c>
    </row>
    <row r="143" spans="1:6" ht="15.75" thickBot="1" x14ac:dyDescent="0.3">
      <c r="A143" s="83" t="s">
        <v>190</v>
      </c>
      <c r="B143" s="84">
        <f>13*References!BC26</f>
        <v>178.76560000000001</v>
      </c>
      <c r="C143" s="84">
        <v>0.75</v>
      </c>
      <c r="D143" s="84">
        <v>1.2</v>
      </c>
      <c r="E143" s="84">
        <v>0.94</v>
      </c>
      <c r="F143" s="115">
        <f t="shared" si="2"/>
        <v>151.23569760000001</v>
      </c>
    </row>
    <row r="144" spans="1:6" ht="15.75" thickBot="1" x14ac:dyDescent="0.3">
      <c r="A144" s="83" t="s">
        <v>304</v>
      </c>
      <c r="B144" s="84">
        <f>13*References!BC27</f>
        <v>208.14559999999997</v>
      </c>
      <c r="C144" s="84">
        <v>0.75</v>
      </c>
      <c r="D144" s="84">
        <v>1.2</v>
      </c>
      <c r="E144" s="84">
        <v>0.94</v>
      </c>
      <c r="F144" s="115">
        <f t="shared" si="2"/>
        <v>176.09117759999995</v>
      </c>
    </row>
    <row r="145" spans="1:6" ht="15.75" thickBot="1" x14ac:dyDescent="0.3">
      <c r="A145" s="83" t="s">
        <v>305</v>
      </c>
      <c r="B145" s="84">
        <f>13*References!BC28</f>
        <v>208.14559999999997</v>
      </c>
      <c r="C145" s="84">
        <v>0.75</v>
      </c>
      <c r="D145" s="84">
        <v>1.2</v>
      </c>
      <c r="E145" s="84">
        <v>0.94</v>
      </c>
      <c r="F145" s="115">
        <f t="shared" si="2"/>
        <v>176.09117759999995</v>
      </c>
    </row>
    <row r="146" spans="1:6" ht="15.75" thickBot="1" x14ac:dyDescent="0.3">
      <c r="A146" s="83" t="s">
        <v>306</v>
      </c>
      <c r="B146" s="84">
        <f>13*References!BC29</f>
        <v>178.76560000000001</v>
      </c>
      <c r="C146" s="84">
        <v>0.75</v>
      </c>
      <c r="D146" s="84">
        <v>1.2</v>
      </c>
      <c r="E146" s="84">
        <v>0.94</v>
      </c>
      <c r="F146" s="115">
        <f t="shared" si="2"/>
        <v>151.23569760000001</v>
      </c>
    </row>
    <row r="147" spans="1:6" ht="15.75" thickBot="1" x14ac:dyDescent="0.3">
      <c r="A147" s="83" t="s">
        <v>307</v>
      </c>
      <c r="B147" s="84">
        <f>13*References!BC30</f>
        <v>178.76560000000001</v>
      </c>
      <c r="C147" s="84">
        <v>0.75</v>
      </c>
      <c r="D147" s="84">
        <v>1.2</v>
      </c>
      <c r="E147" s="84">
        <v>0.94</v>
      </c>
      <c r="F147" s="115">
        <f t="shared" si="2"/>
        <v>151.23569760000001</v>
      </c>
    </row>
    <row r="148" spans="1:6" ht="15.75" thickBot="1" x14ac:dyDescent="0.3">
      <c r="A148" s="83" t="s">
        <v>308</v>
      </c>
      <c r="B148" s="84">
        <f>13*References!BC31</f>
        <v>305.27769999999998</v>
      </c>
      <c r="C148" s="84">
        <v>0.75</v>
      </c>
      <c r="D148" s="84">
        <v>1.2</v>
      </c>
      <c r="E148" s="84">
        <v>0.94</v>
      </c>
      <c r="F148" s="115">
        <f t="shared" si="2"/>
        <v>258.26493419999991</v>
      </c>
    </row>
    <row r="149" spans="1:6" ht="15.75" thickBot="1" x14ac:dyDescent="0.3">
      <c r="A149" s="83" t="s">
        <v>309</v>
      </c>
      <c r="B149" s="84">
        <f>13*References!BC32</f>
        <v>139.84359999999998</v>
      </c>
      <c r="C149" s="84">
        <v>0.75</v>
      </c>
      <c r="D149" s="84">
        <v>1.2</v>
      </c>
      <c r="E149" s="84">
        <v>0.94</v>
      </c>
      <c r="F149" s="115">
        <f t="shared" si="2"/>
        <v>118.30768559999997</v>
      </c>
    </row>
    <row r="150" spans="1:6" ht="15.75" thickBot="1" x14ac:dyDescent="0.3">
      <c r="A150" s="83" t="s">
        <v>310</v>
      </c>
      <c r="B150" s="84">
        <f>13*References!BC33</f>
        <v>147.095</v>
      </c>
      <c r="C150" s="84">
        <v>0.75</v>
      </c>
      <c r="D150" s="84">
        <v>1.2</v>
      </c>
      <c r="E150" s="84">
        <v>0.94</v>
      </c>
      <c r="F150" s="115">
        <f t="shared" si="2"/>
        <v>124.44236999999997</v>
      </c>
    </row>
    <row r="151" spans="1:6" ht="15.75" thickBot="1" x14ac:dyDescent="0.3">
      <c r="A151" s="83" t="s">
        <v>311</v>
      </c>
      <c r="B151" s="84">
        <f>13*References!BC34</f>
        <v>173.00789999999998</v>
      </c>
      <c r="C151" s="84">
        <v>0.5</v>
      </c>
      <c r="D151" s="84">
        <v>1.2</v>
      </c>
      <c r="E151" s="84">
        <v>0.94</v>
      </c>
      <c r="F151" s="115">
        <f t="shared" si="2"/>
        <v>97.576455599999974</v>
      </c>
    </row>
    <row r="152" spans="1:6" ht="15.75" thickBot="1" x14ac:dyDescent="0.3">
      <c r="A152" s="83" t="s">
        <v>312</v>
      </c>
      <c r="B152" s="84">
        <f>13*References!BC35</f>
        <v>144.1336</v>
      </c>
      <c r="C152" s="84">
        <v>1</v>
      </c>
      <c r="D152" s="84">
        <v>1.2</v>
      </c>
      <c r="E152" s="84">
        <v>0.94</v>
      </c>
      <c r="F152" s="115">
        <f t="shared" si="2"/>
        <v>162.5827008</v>
      </c>
    </row>
    <row r="153" spans="1:6" ht="15.75" thickBot="1" x14ac:dyDescent="0.3">
      <c r="A153" s="83" t="s">
        <v>313</v>
      </c>
      <c r="B153" s="84">
        <f>13*References!BC36</f>
        <v>107.575</v>
      </c>
      <c r="C153" s="84">
        <v>1</v>
      </c>
      <c r="D153" s="84">
        <v>1.2</v>
      </c>
      <c r="E153" s="84">
        <v>0.94</v>
      </c>
      <c r="F153" s="115">
        <f t="shared" si="2"/>
        <v>121.3446</v>
      </c>
    </row>
    <row r="154" spans="1:6" ht="15.75" thickBot="1" x14ac:dyDescent="0.3">
      <c r="A154" s="83" t="s">
        <v>314</v>
      </c>
      <c r="B154" s="84">
        <f>13*References!BC37</f>
        <v>175.07749999999999</v>
      </c>
      <c r="C154" s="84">
        <v>0.5</v>
      </c>
      <c r="D154" s="84">
        <v>1.2</v>
      </c>
      <c r="E154" s="84">
        <v>0.94</v>
      </c>
      <c r="F154" s="115">
        <f t="shared" si="2"/>
        <v>98.743709999999993</v>
      </c>
    </row>
    <row r="155" spans="1:6" ht="15.75" thickBot="1" x14ac:dyDescent="0.3">
      <c r="A155" s="83" t="s">
        <v>509</v>
      </c>
      <c r="B155" s="84">
        <f>13*References!BC38</f>
        <v>2391.2694000000001</v>
      </c>
      <c r="C155" s="84">
        <v>0.75</v>
      </c>
      <c r="D155" s="84">
        <v>1.2</v>
      </c>
      <c r="E155" s="84">
        <v>0.94</v>
      </c>
      <c r="F155" s="115">
        <f t="shared" si="2"/>
        <v>2023.0139124</v>
      </c>
    </row>
    <row r="156" spans="1:6" ht="15.75" thickBot="1" x14ac:dyDescent="0.3">
      <c r="A156" s="83" t="s">
        <v>316</v>
      </c>
      <c r="B156" s="84">
        <f>13*References!BC39</f>
        <v>765.18130000000008</v>
      </c>
      <c r="C156" s="84">
        <v>1</v>
      </c>
      <c r="D156" s="84">
        <v>1.2</v>
      </c>
      <c r="E156" s="84">
        <v>0.94</v>
      </c>
      <c r="F156" s="115">
        <f t="shared" si="2"/>
        <v>863.12450639999997</v>
      </c>
    </row>
    <row r="157" spans="1:6" ht="15.75" thickBot="1" x14ac:dyDescent="0.3">
      <c r="A157" s="83" t="s">
        <v>58</v>
      </c>
      <c r="B157" s="84">
        <f>13*References!BC40</f>
        <v>226.7876</v>
      </c>
      <c r="C157" s="84">
        <v>0.75</v>
      </c>
      <c r="D157" s="84">
        <v>1.2</v>
      </c>
      <c r="E157" s="84">
        <v>0.94</v>
      </c>
      <c r="F157" s="115">
        <f t="shared" si="2"/>
        <v>191.86230959999997</v>
      </c>
    </row>
    <row r="158" spans="1:6" ht="15.75" thickBot="1" x14ac:dyDescent="0.3">
      <c r="A158" s="83" t="s">
        <v>57</v>
      </c>
      <c r="B158" s="84">
        <f>13*References!BC41</f>
        <v>227.24779999999998</v>
      </c>
      <c r="C158" s="84">
        <v>0.75</v>
      </c>
      <c r="D158" s="84">
        <v>1.2</v>
      </c>
      <c r="E158" s="84">
        <v>0.94</v>
      </c>
      <c r="F158" s="115">
        <f t="shared" si="2"/>
        <v>192.25163879999997</v>
      </c>
    </row>
    <row r="159" spans="1:6" ht="15.75" thickBot="1" x14ac:dyDescent="0.3">
      <c r="A159" s="83" t="s">
        <v>308</v>
      </c>
      <c r="B159" s="84">
        <f>13*References!BC42</f>
        <v>566.68820000000005</v>
      </c>
      <c r="C159" s="84">
        <v>0.5</v>
      </c>
      <c r="D159" s="84">
        <v>1.2</v>
      </c>
      <c r="E159" s="84">
        <v>0.94</v>
      </c>
      <c r="F159" s="115">
        <f t="shared" si="2"/>
        <v>319.61214480000001</v>
      </c>
    </row>
    <row r="160" spans="1:6" ht="15.75" thickBot="1" x14ac:dyDescent="0.3">
      <c r="A160" s="83" t="s">
        <v>72</v>
      </c>
      <c r="B160" s="84">
        <f>13*References!BC43</f>
        <v>141.70780000000002</v>
      </c>
      <c r="C160" s="84">
        <v>0.75</v>
      </c>
      <c r="D160" s="84">
        <v>1.2</v>
      </c>
      <c r="E160" s="84">
        <v>0.94</v>
      </c>
      <c r="F160" s="115">
        <f t="shared" si="2"/>
        <v>119.8847988</v>
      </c>
    </row>
    <row r="161" spans="1:6" ht="15.75" thickBot="1" x14ac:dyDescent="0.3">
      <c r="A161" s="83" t="s">
        <v>75</v>
      </c>
      <c r="B161" s="84">
        <f>13*References!BC44</f>
        <v>140.18029999999999</v>
      </c>
      <c r="C161" s="84">
        <v>0.75</v>
      </c>
      <c r="D161" s="84">
        <v>1.2</v>
      </c>
      <c r="E161" s="84">
        <v>0.94</v>
      </c>
      <c r="F161" s="115">
        <f t="shared" si="2"/>
        <v>118.59253379999997</v>
      </c>
    </row>
    <row r="162" spans="1:6" ht="15.75" thickBot="1" x14ac:dyDescent="0.3">
      <c r="A162" s="83" t="s">
        <v>76</v>
      </c>
      <c r="B162" s="84">
        <f>13*References!BC45</f>
        <v>122.4119</v>
      </c>
      <c r="C162" s="84">
        <v>0.75</v>
      </c>
      <c r="D162" s="84">
        <v>1.2</v>
      </c>
      <c r="E162" s="84">
        <v>0.94</v>
      </c>
      <c r="F162" s="115">
        <f t="shared" si="2"/>
        <v>103.56046739999999</v>
      </c>
    </row>
    <row r="163" spans="1:6" ht="15.75" thickBot="1" x14ac:dyDescent="0.3">
      <c r="A163" s="83" t="s">
        <v>317</v>
      </c>
      <c r="B163" s="84">
        <f>13*References!BC46</f>
        <v>350.94540000000001</v>
      </c>
      <c r="C163" s="84">
        <v>0.75</v>
      </c>
      <c r="D163" s="84">
        <v>1.2</v>
      </c>
      <c r="E163" s="84">
        <v>0.94</v>
      </c>
      <c r="F163" s="115">
        <f t="shared" si="2"/>
        <v>296.89980839999993</v>
      </c>
    </row>
    <row r="164" spans="1:6" ht="15.75" thickBot="1" x14ac:dyDescent="0.3">
      <c r="A164" s="85" t="s">
        <v>510</v>
      </c>
      <c r="B164" s="84">
        <f>13*References!BC47</f>
        <v>10504.1001</v>
      </c>
      <c r="C164" s="86">
        <v>1</v>
      </c>
      <c r="D164" s="86">
        <v>1.2</v>
      </c>
      <c r="E164" s="86">
        <v>0.94</v>
      </c>
      <c r="F164" s="116">
        <f t="shared" si="2"/>
        <v>11848.624912799998</v>
      </c>
    </row>
    <row r="165" spans="1:6" ht="15.75" thickBot="1" x14ac:dyDescent="0.3">
      <c r="E165" s="131" t="s">
        <v>333</v>
      </c>
      <c r="F165" s="131">
        <f>SUM(Table25[Qs (W)])</f>
        <v>22461.543873599996</v>
      </c>
    </row>
  </sheetData>
  <mergeCells count="15">
    <mergeCell ref="A65:F65"/>
    <mergeCell ref="A119:F119"/>
    <mergeCell ref="A1:F1"/>
    <mergeCell ref="A2:F2"/>
    <mergeCell ref="J3:O3"/>
    <mergeCell ref="J4:L4"/>
    <mergeCell ref="M4:O4"/>
    <mergeCell ref="J5:L5"/>
    <mergeCell ref="M5:O5"/>
    <mergeCell ref="J6:L6"/>
    <mergeCell ref="M6:O6"/>
    <mergeCell ref="J7:L7"/>
    <mergeCell ref="M7:O7"/>
    <mergeCell ref="J8:L9"/>
    <mergeCell ref="M8:O9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47F6-9E4E-4858-A08B-0FE0401F4B1A}">
  <dimension ref="A1:H14"/>
  <sheetViews>
    <sheetView workbookViewId="0">
      <selection activeCell="J12" sqref="J12"/>
    </sheetView>
  </sheetViews>
  <sheetFormatPr defaultRowHeight="15" x14ac:dyDescent="0.25"/>
  <cols>
    <col min="1" max="1" width="33.140625" customWidth="1"/>
    <col min="2" max="4" width="15.85546875" customWidth="1"/>
  </cols>
  <sheetData>
    <row r="1" spans="1:8" s="121" customFormat="1" ht="39" customHeight="1" thickBot="1" x14ac:dyDescent="0.4">
      <c r="A1" s="179" t="s">
        <v>547</v>
      </c>
      <c r="B1" s="179"/>
      <c r="C1" s="179"/>
      <c r="D1" s="179"/>
      <c r="E1" s="105"/>
      <c r="F1" s="105"/>
      <c r="G1" s="105"/>
      <c r="H1" s="105"/>
    </row>
    <row r="2" spans="1:8" ht="35.25" customHeight="1" thickBot="1" x14ac:dyDescent="0.3">
      <c r="A2" s="143"/>
      <c r="B2" s="144" t="s">
        <v>548</v>
      </c>
      <c r="C2" s="144" t="s">
        <v>549</v>
      </c>
      <c r="D2" s="144" t="s">
        <v>550</v>
      </c>
    </row>
    <row r="3" spans="1:8" ht="26.25" customHeight="1" thickBot="1" x14ac:dyDescent="0.3">
      <c r="A3" s="145" t="s">
        <v>537</v>
      </c>
      <c r="B3" s="84">
        <f>'EXTERNAL WALL LOAD'!Q8</f>
        <v>116988.97703641199</v>
      </c>
      <c r="C3" s="84">
        <v>0</v>
      </c>
      <c r="D3" s="84">
        <f t="shared" ref="D3:D9" si="0">B3+C3</f>
        <v>116988.97703641199</v>
      </c>
    </row>
    <row r="4" spans="1:8" ht="26.25" customHeight="1" thickBot="1" x14ac:dyDescent="0.3">
      <c r="A4" s="145" t="s">
        <v>11</v>
      </c>
      <c r="B4" s="84">
        <f>'GLASS LOAD'!R8</f>
        <v>37898.679500000006</v>
      </c>
      <c r="C4" s="84">
        <f>'GLASS LOAD'!S8</f>
        <v>5619.0880269999998</v>
      </c>
      <c r="D4" s="84">
        <f t="shared" si="0"/>
        <v>43517.767527000004</v>
      </c>
    </row>
    <row r="5" spans="1:8" ht="26.25" customHeight="1" thickBot="1" x14ac:dyDescent="0.3">
      <c r="A5" s="145" t="s">
        <v>18</v>
      </c>
      <c r="B5" s="84">
        <f>'INFILTRATION LOAD'!O8</f>
        <v>17243.796313248808</v>
      </c>
      <c r="C5" s="84">
        <f>'INFILTRATION LOAD'!P8</f>
        <v>36261.030071270885</v>
      </c>
      <c r="D5" s="84">
        <f t="shared" si="0"/>
        <v>53504.826384519693</v>
      </c>
    </row>
    <row r="6" spans="1:8" ht="26.25" customHeight="1" thickBot="1" x14ac:dyDescent="0.3">
      <c r="A6" s="145" t="s">
        <v>533</v>
      </c>
      <c r="B6" s="84">
        <f>'MISCELLANEOUS LOAD'!O8</f>
        <v>11119.64832</v>
      </c>
      <c r="C6" s="84">
        <f>'MISCELLANEOUS LOAD'!P8</f>
        <v>5615.9839999999995</v>
      </c>
      <c r="D6" s="84">
        <f t="shared" si="0"/>
        <v>16735.632320000001</v>
      </c>
    </row>
    <row r="7" spans="1:8" ht="26.25" customHeight="1" thickBot="1" x14ac:dyDescent="0.3">
      <c r="A7" s="145" t="s">
        <v>532</v>
      </c>
      <c r="B7" s="84">
        <f>'ROOF LOAD'!O8</f>
        <v>32590.037396229796</v>
      </c>
      <c r="C7" s="84">
        <v>0</v>
      </c>
      <c r="D7" s="84">
        <f t="shared" si="0"/>
        <v>32590.037396229796</v>
      </c>
    </row>
    <row r="8" spans="1:8" ht="26.25" customHeight="1" thickBot="1" x14ac:dyDescent="0.3">
      <c r="A8" s="145" t="s">
        <v>536</v>
      </c>
      <c r="B8" s="84">
        <f>'PARTITION LOAD'!N8</f>
        <v>55552.527669600007</v>
      </c>
      <c r="C8" s="84">
        <v>0</v>
      </c>
      <c r="D8" s="84">
        <f t="shared" si="0"/>
        <v>55552.527669600007</v>
      </c>
    </row>
    <row r="9" spans="1:8" ht="26.25" customHeight="1" thickBot="1" x14ac:dyDescent="0.3">
      <c r="A9" s="145" t="s">
        <v>504</v>
      </c>
      <c r="B9" s="84">
        <f>'VENTILATION LOAD'!R8</f>
        <v>41768.804000000004</v>
      </c>
      <c r="C9" s="84">
        <f>'VENTILATION LOAD'!S8</f>
        <v>81950.247258000018</v>
      </c>
      <c r="D9" s="84">
        <f t="shared" si="0"/>
        <v>123719.05125800002</v>
      </c>
    </row>
    <row r="10" spans="1:8" ht="26.25" customHeight="1" thickBot="1" x14ac:dyDescent="0.3">
      <c r="A10" s="145" t="s">
        <v>503</v>
      </c>
      <c r="B10" s="84">
        <f>'OCCUPANT LOAD'!Q8</f>
        <v>19523.78</v>
      </c>
      <c r="C10" s="84">
        <f>'OCCUPANT LOAD'!R8</f>
        <v>10388.959999999999</v>
      </c>
      <c r="D10" s="84">
        <f t="shared" ref="D10:D12" si="1">B10+C10</f>
        <v>29912.739999999998</v>
      </c>
    </row>
    <row r="11" spans="1:8" ht="26.25" customHeight="1" thickBot="1" x14ac:dyDescent="0.3">
      <c r="A11" s="145" t="s">
        <v>511</v>
      </c>
      <c r="B11" s="84">
        <f>'DOOR PARTITION LOAD'!N8</f>
        <v>3433.5614999999989</v>
      </c>
      <c r="C11" s="84">
        <v>0</v>
      </c>
      <c r="D11" s="84">
        <f t="shared" si="1"/>
        <v>3433.5614999999989</v>
      </c>
    </row>
    <row r="12" spans="1:8" ht="26.25" customHeight="1" thickBot="1" x14ac:dyDescent="0.3">
      <c r="A12" s="145" t="s">
        <v>535</v>
      </c>
      <c r="B12" s="84">
        <f>'LIGHTING LOAD'!M8</f>
        <v>59303.219798939987</v>
      </c>
      <c r="C12" s="84">
        <v>0</v>
      </c>
      <c r="D12" s="84">
        <f t="shared" si="1"/>
        <v>59303.219798939987</v>
      </c>
    </row>
    <row r="13" spans="1:8" ht="38.25" customHeight="1" thickBot="1" x14ac:dyDescent="0.3">
      <c r="A13" s="146" t="s">
        <v>540</v>
      </c>
      <c r="B13" s="147">
        <f>SUM(B3:B12)</f>
        <v>395423.03153443063</v>
      </c>
      <c r="C13" s="147">
        <f>SUM(C3:C12)</f>
        <v>139835.30935627088</v>
      </c>
      <c r="D13" s="148">
        <f>B13+C13</f>
        <v>535258.34089070151</v>
      </c>
    </row>
    <row r="14" spans="1:8" x14ac:dyDescent="0.25">
      <c r="B14" s="80" t="s">
        <v>551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BC106"/>
  <sheetViews>
    <sheetView topLeftCell="O23" zoomScale="70" zoomScaleNormal="70" workbookViewId="0">
      <selection activeCell="BC54" sqref="BC54"/>
    </sheetView>
  </sheetViews>
  <sheetFormatPr defaultRowHeight="15" x14ac:dyDescent="0.25"/>
  <cols>
    <col min="1" max="1" width="11.42578125" customWidth="1"/>
    <col min="2" max="2" width="10.7109375" customWidth="1"/>
  </cols>
  <sheetData>
    <row r="1" spans="1:55" x14ac:dyDescent="0.25">
      <c r="A1" t="s">
        <v>94</v>
      </c>
      <c r="J1" t="s">
        <v>99</v>
      </c>
      <c r="L1">
        <v>2.8721999999999999</v>
      </c>
    </row>
    <row r="2" spans="1:55" x14ac:dyDescent="0.25">
      <c r="A2" t="s">
        <v>95</v>
      </c>
      <c r="J2" t="s">
        <v>100</v>
      </c>
      <c r="L2">
        <v>2.8210999999999999</v>
      </c>
      <c r="S2" s="5" t="s">
        <v>43</v>
      </c>
      <c r="T2" s="3"/>
      <c r="Y2" s="169" t="s">
        <v>297</v>
      </c>
      <c r="Z2" s="169"/>
      <c r="AB2" t="s">
        <v>298</v>
      </c>
      <c r="AD2" s="169" t="s">
        <v>318</v>
      </c>
      <c r="AE2" s="169"/>
      <c r="AG2" t="s">
        <v>543</v>
      </c>
      <c r="AK2" t="s">
        <v>298</v>
      </c>
      <c r="AO2" t="s">
        <v>544</v>
      </c>
      <c r="AS2" t="s">
        <v>297</v>
      </c>
      <c r="AT2" t="s">
        <v>298</v>
      </c>
      <c r="AU2" t="s">
        <v>318</v>
      </c>
      <c r="AW2" t="s">
        <v>297</v>
      </c>
      <c r="AX2" t="s">
        <v>298</v>
      </c>
      <c r="AY2" t="s">
        <v>318</v>
      </c>
      <c r="BA2" t="s">
        <v>297</v>
      </c>
      <c r="BB2" t="s">
        <v>298</v>
      </c>
      <c r="BC2" t="s">
        <v>318</v>
      </c>
    </row>
    <row r="3" spans="1:55" x14ac:dyDescent="0.25">
      <c r="A3" s="169" t="s">
        <v>96</v>
      </c>
      <c r="B3" s="169"/>
      <c r="S3" s="3" t="s">
        <v>44</v>
      </c>
      <c r="T3" s="3">
        <v>8.1</v>
      </c>
      <c r="Y3" s="48" t="s">
        <v>235</v>
      </c>
      <c r="Z3" s="1" t="s">
        <v>236</v>
      </c>
      <c r="AB3" s="1" t="s">
        <v>53</v>
      </c>
      <c r="AD3" s="5" t="s">
        <v>301</v>
      </c>
      <c r="AE3" s="5" t="s">
        <v>236</v>
      </c>
      <c r="AG3" t="s">
        <v>465</v>
      </c>
      <c r="AH3" t="s">
        <v>466</v>
      </c>
      <c r="AI3" t="s">
        <v>53</v>
      </c>
      <c r="AK3" t="s">
        <v>465</v>
      </c>
      <c r="AL3" t="s">
        <v>466</v>
      </c>
      <c r="AM3" t="s">
        <v>97</v>
      </c>
      <c r="AO3" t="s">
        <v>465</v>
      </c>
      <c r="AP3" t="s">
        <v>466</v>
      </c>
      <c r="AQ3" t="s">
        <v>97</v>
      </c>
      <c r="AS3" s="90" t="s">
        <v>486</v>
      </c>
      <c r="AT3" s="92" t="s">
        <v>486</v>
      </c>
      <c r="AU3" s="92" t="s">
        <v>486</v>
      </c>
      <c r="AW3" s="87" t="s">
        <v>48</v>
      </c>
      <c r="AX3" s="87" t="s">
        <v>48</v>
      </c>
      <c r="AY3" s="87" t="s">
        <v>48</v>
      </c>
      <c r="BA3" s="118" t="s">
        <v>53</v>
      </c>
      <c r="BB3" s="118" t="s">
        <v>53</v>
      </c>
      <c r="BC3" s="118" t="s">
        <v>53</v>
      </c>
    </row>
    <row r="4" spans="1:55" x14ac:dyDescent="0.25">
      <c r="A4" s="5" t="s">
        <v>52</v>
      </c>
      <c r="B4" s="5" t="s">
        <v>53</v>
      </c>
      <c r="E4" t="s">
        <v>121</v>
      </c>
      <c r="F4" t="s">
        <v>52</v>
      </c>
      <c r="S4" s="3" t="s">
        <v>45</v>
      </c>
      <c r="T4" s="3">
        <v>34.5</v>
      </c>
      <c r="Y4" s="49">
        <f>0.15+0.01*3+0.007*('INFILTRATION LOAD'!D4-'INFILTRATION LOAD'!E4)</f>
        <v>0.26400000000000001</v>
      </c>
      <c r="Z4">
        <v>37.438600000000001</v>
      </c>
      <c r="AB4" s="45">
        <v>34.276899999999998</v>
      </c>
      <c r="AD4">
        <f>0.15+3*0.01+0.007*('INFILTRATION LOAD'!D163-'INFILTRATION LOAD'!E163)</f>
        <v>0.26400000000000001</v>
      </c>
      <c r="AE4">
        <v>34.276899999999998</v>
      </c>
      <c r="AG4">
        <v>0</v>
      </c>
      <c r="AH4">
        <f>0.9*2</f>
        <v>1.8</v>
      </c>
      <c r="AI4">
        <f>6*4</f>
        <v>24</v>
      </c>
      <c r="AK4">
        <v>0</v>
      </c>
      <c r="AL4">
        <f>1.2*2</f>
        <v>2.4</v>
      </c>
      <c r="AM4">
        <f>4.7*4</f>
        <v>18.8</v>
      </c>
      <c r="AO4">
        <v>0</v>
      </c>
      <c r="AP4">
        <v>2.4</v>
      </c>
      <c r="AQ4">
        <f>4.7*4</f>
        <v>18.8</v>
      </c>
      <c r="AS4" s="91">
        <v>8</v>
      </c>
      <c r="AT4" s="93">
        <v>13</v>
      </c>
      <c r="AU4" s="93">
        <v>13</v>
      </c>
      <c r="AW4" s="87">
        <v>0.9</v>
      </c>
      <c r="AX4" s="87">
        <v>1.2</v>
      </c>
      <c r="AY4" s="87">
        <v>1.2</v>
      </c>
      <c r="BA4" s="119">
        <v>37.438600000000001</v>
      </c>
      <c r="BB4" s="119">
        <v>34.276899999999998</v>
      </c>
      <c r="BC4" s="119">
        <v>34.276899999999998</v>
      </c>
    </row>
    <row r="5" spans="1:55" x14ac:dyDescent="0.25">
      <c r="A5">
        <v>4</v>
      </c>
      <c r="B5">
        <f>A5*1</f>
        <v>4</v>
      </c>
      <c r="E5">
        <v>2</v>
      </c>
      <c r="F5">
        <v>1</v>
      </c>
      <c r="Y5" s="49">
        <f>0.15+0.01*3+0.007*('INFILTRATION LOAD'!D5-'INFILTRATION LOAD'!E5)</f>
        <v>0.26400000000000001</v>
      </c>
      <c r="Z5">
        <v>9.6511999999999993</v>
      </c>
      <c r="AB5" s="45">
        <v>2.6175000000000002</v>
      </c>
      <c r="AD5">
        <f>0.15+3*0.01+0.007*('INFILTRATION LOAD'!D164-'INFILTRATION LOAD'!E164)</f>
        <v>0.2535</v>
      </c>
      <c r="AE5">
        <v>2.6175000000000002</v>
      </c>
      <c r="AG5">
        <v>0</v>
      </c>
      <c r="AH5">
        <v>0</v>
      </c>
      <c r="AI5">
        <f>2.9*4</f>
        <v>11.6</v>
      </c>
      <c r="AK5">
        <v>0</v>
      </c>
      <c r="AL5">
        <f>0.7*2</f>
        <v>1.4</v>
      </c>
      <c r="AM5">
        <f>3.7*4</f>
        <v>14.8</v>
      </c>
      <c r="AO5">
        <v>0</v>
      </c>
      <c r="AP5">
        <v>1.4</v>
      </c>
      <c r="AQ5">
        <f>3.7*4</f>
        <v>14.8</v>
      </c>
      <c r="AS5" s="91">
        <v>15</v>
      </c>
      <c r="AT5" s="93">
        <v>13</v>
      </c>
      <c r="AU5" s="93">
        <v>13</v>
      </c>
      <c r="AW5" s="114">
        <v>0.9</v>
      </c>
      <c r="AX5" s="87">
        <v>0.7</v>
      </c>
      <c r="AY5" s="87">
        <v>0.7</v>
      </c>
      <c r="BA5" s="119">
        <v>9.6511999999999993</v>
      </c>
      <c r="BB5" s="119">
        <v>34.26</v>
      </c>
      <c r="BC5" s="119">
        <v>34.26</v>
      </c>
    </row>
    <row r="6" spans="1:55" x14ac:dyDescent="0.25">
      <c r="B6">
        <f>A6*1</f>
        <v>0</v>
      </c>
      <c r="E6">
        <v>1.2</v>
      </c>
      <c r="F6">
        <v>1</v>
      </c>
      <c r="Y6" s="49">
        <f>0.15+0.01*3+0.007*('INFILTRATION LOAD'!D6-'INFILTRATION LOAD'!E6)</f>
        <v>0.2535</v>
      </c>
      <c r="Z6">
        <v>7.8174999999999999</v>
      </c>
      <c r="AB6" s="45">
        <v>34.26</v>
      </c>
      <c r="AD6">
        <f>0.15+3*0.01+0.007*('INFILTRATION LOAD'!D165-'INFILTRATION LOAD'!E165)</f>
        <v>0.26400000000000001</v>
      </c>
      <c r="AE6">
        <v>34.26</v>
      </c>
      <c r="AG6">
        <v>0</v>
      </c>
      <c r="AH6">
        <f>0.9*2</f>
        <v>1.8</v>
      </c>
      <c r="AI6">
        <f>3*4</f>
        <v>12</v>
      </c>
      <c r="AK6">
        <v>0</v>
      </c>
      <c r="AL6">
        <v>0</v>
      </c>
      <c r="AM6">
        <f>1.35*4</f>
        <v>5.4</v>
      </c>
      <c r="AO6">
        <v>0</v>
      </c>
      <c r="AP6">
        <v>0</v>
      </c>
      <c r="AQ6">
        <f>1.35*4</f>
        <v>5.4</v>
      </c>
      <c r="AS6" s="91">
        <v>8</v>
      </c>
      <c r="AT6" s="93">
        <v>13</v>
      </c>
      <c r="AU6" s="93">
        <v>13</v>
      </c>
      <c r="AW6" s="87">
        <v>0.9</v>
      </c>
      <c r="AX6" s="87">
        <v>1.2</v>
      </c>
      <c r="AY6" s="87">
        <v>1.2</v>
      </c>
      <c r="BA6" s="119">
        <v>7.8174999999999999</v>
      </c>
      <c r="BB6" s="119">
        <v>34.29</v>
      </c>
      <c r="BC6" s="119">
        <v>37.408700000000003</v>
      </c>
    </row>
    <row r="7" spans="1:55" x14ac:dyDescent="0.25">
      <c r="A7">
        <v>1.2</v>
      </c>
      <c r="B7">
        <f>A7*1</f>
        <v>1.2</v>
      </c>
      <c r="E7">
        <v>0.6</v>
      </c>
      <c r="F7">
        <v>0.6</v>
      </c>
      <c r="Y7" s="49">
        <f>0.15+0.01*3+0.007*('INFILTRATION LOAD'!D7-'INFILTRATION LOAD'!E7)</f>
        <v>0.26400000000000001</v>
      </c>
      <c r="Z7">
        <v>16.3095</v>
      </c>
      <c r="AB7" s="45">
        <v>2.6175000000000002</v>
      </c>
      <c r="AD7">
        <f>0.15+3*0.01+0.007*('INFILTRATION LOAD'!D166-'INFILTRATION LOAD'!E166)</f>
        <v>0.26400000000000001</v>
      </c>
      <c r="AE7">
        <v>2.6175000000000002</v>
      </c>
      <c r="AG7">
        <v>0</v>
      </c>
      <c r="AH7">
        <v>0</v>
      </c>
      <c r="AI7">
        <f>3*4</f>
        <v>12</v>
      </c>
      <c r="AK7">
        <v>0</v>
      </c>
      <c r="AL7">
        <v>2.4</v>
      </c>
      <c r="AM7">
        <f>11.2*4</f>
        <v>44.8</v>
      </c>
      <c r="AO7">
        <v>0</v>
      </c>
      <c r="AP7">
        <v>2.4</v>
      </c>
      <c r="AQ7">
        <f>11.2*4</f>
        <v>44.8</v>
      </c>
      <c r="AS7" s="91">
        <v>2.5</v>
      </c>
      <c r="AT7" s="93">
        <v>13</v>
      </c>
      <c r="AU7" s="93">
        <v>13</v>
      </c>
      <c r="AW7" s="87">
        <v>0.8</v>
      </c>
      <c r="AX7" s="87">
        <v>0.7</v>
      </c>
      <c r="AY7" s="87">
        <v>0.7</v>
      </c>
      <c r="BA7" s="119">
        <v>16.3095</v>
      </c>
      <c r="BB7" s="119">
        <v>34.1175</v>
      </c>
      <c r="BC7" s="119">
        <v>37.408700000000003</v>
      </c>
    </row>
    <row r="8" spans="1:55" x14ac:dyDescent="0.25">
      <c r="A8">
        <v>0.6</v>
      </c>
      <c r="B8">
        <f>A8*0.6</f>
        <v>0.36</v>
      </c>
      <c r="E8">
        <v>1.2</v>
      </c>
      <c r="F8">
        <v>0.6</v>
      </c>
      <c r="Y8" s="49">
        <f>0.15+0.01*3+0.007*('INFILTRATION LOAD'!D8-'INFILTRATION LOAD'!E8)</f>
        <v>0.2535</v>
      </c>
      <c r="Z8" s="50">
        <v>2.8374999999999999</v>
      </c>
      <c r="AB8" s="46">
        <v>220.33240000000001</v>
      </c>
      <c r="AD8">
        <f>0.15+3*0.01+0.007*('INFILTRATION LOAD'!D167-'INFILTRATION LOAD'!E167)</f>
        <v>0.22549999999999998</v>
      </c>
      <c r="AE8">
        <v>37.408700000000003</v>
      </c>
      <c r="AG8">
        <v>0</v>
      </c>
      <c r="AH8">
        <v>0</v>
      </c>
      <c r="AI8">
        <f>2.9*4</f>
        <v>11.6</v>
      </c>
      <c r="AK8">
        <v>0</v>
      </c>
      <c r="AL8">
        <f>0.7*2</f>
        <v>1.4</v>
      </c>
      <c r="AM8">
        <f>3.7*4</f>
        <v>14.8</v>
      </c>
      <c r="AO8">
        <v>0</v>
      </c>
      <c r="AP8">
        <v>1.4</v>
      </c>
      <c r="AQ8">
        <f>3.7*4</f>
        <v>14.8</v>
      </c>
      <c r="AS8" s="91">
        <v>8</v>
      </c>
      <c r="AT8" s="93">
        <v>13</v>
      </c>
      <c r="AU8" s="93">
        <v>13</v>
      </c>
      <c r="AW8" s="87">
        <v>0.9</v>
      </c>
      <c r="AX8" s="87">
        <v>1.2</v>
      </c>
      <c r="AY8" s="87">
        <v>1.2</v>
      </c>
      <c r="BA8" s="119">
        <v>18.299099999999999</v>
      </c>
      <c r="BB8" s="119">
        <v>13.6738</v>
      </c>
      <c r="BC8" s="119">
        <v>34.26</v>
      </c>
    </row>
    <row r="9" spans="1:55" x14ac:dyDescent="0.25">
      <c r="A9">
        <v>1.2</v>
      </c>
      <c r="B9">
        <f>A9*0.6</f>
        <v>0.72</v>
      </c>
      <c r="E9">
        <v>1.2</v>
      </c>
      <c r="F9">
        <v>0.6</v>
      </c>
      <c r="Y9" s="49">
        <f>0.15+0.01*3+0.007*('INFILTRATION LOAD'!D9-'INFILTRATION LOAD'!E9)</f>
        <v>0.2535</v>
      </c>
      <c r="Z9">
        <v>18.299099999999999</v>
      </c>
      <c r="AB9" s="46">
        <v>143.29113000000001</v>
      </c>
      <c r="AD9">
        <f>0.15+3*0.01+0.007*('INFILTRATION LOAD'!D168-'INFILTRATION LOAD'!E168)</f>
        <v>0.22549999999999998</v>
      </c>
      <c r="AE9">
        <v>37.408700000000003</v>
      </c>
      <c r="AG9">
        <v>1.4</v>
      </c>
      <c r="AH9">
        <f>0.9*2</f>
        <v>1.8</v>
      </c>
      <c r="AI9">
        <f>7.45*4</f>
        <v>29.8</v>
      </c>
      <c r="AK9">
        <v>0</v>
      </c>
      <c r="AL9">
        <v>0</v>
      </c>
      <c r="AM9">
        <f>1.35*4</f>
        <v>5.4</v>
      </c>
      <c r="AO9">
        <v>0</v>
      </c>
      <c r="AP9">
        <v>0</v>
      </c>
      <c r="AQ9">
        <f>1.35*4</f>
        <v>5.4</v>
      </c>
      <c r="AS9" s="91">
        <v>2.5</v>
      </c>
      <c r="AT9" s="93">
        <v>13</v>
      </c>
      <c r="AU9" s="93">
        <v>13</v>
      </c>
      <c r="AW9" s="87">
        <v>0.9</v>
      </c>
      <c r="AX9" s="87">
        <v>0.7</v>
      </c>
      <c r="AY9" s="87">
        <v>0.7</v>
      </c>
      <c r="BA9" s="119">
        <v>18.346399999999999</v>
      </c>
      <c r="BB9" s="119">
        <v>13.9206</v>
      </c>
      <c r="BC9" s="119">
        <v>34.26</v>
      </c>
    </row>
    <row r="10" spans="1:55" x14ac:dyDescent="0.25">
      <c r="A10">
        <v>1.2</v>
      </c>
      <c r="B10">
        <f>A10*0.6</f>
        <v>0.72</v>
      </c>
      <c r="E10">
        <v>1.6</v>
      </c>
      <c r="F10">
        <v>1</v>
      </c>
      <c r="Y10" s="49">
        <f>0.15+0.01*3+0.007*('INFILTRATION LOAD'!D10-'INFILTRATION LOAD'!E10)</f>
        <v>0.2535</v>
      </c>
      <c r="Z10">
        <v>18.346399999999999</v>
      </c>
      <c r="AB10" s="46">
        <v>78.757400000000004</v>
      </c>
      <c r="AD10">
        <f>0.15+3*0.01+0.007*('INFILTRATION LOAD'!D169-'INFILTRATION LOAD'!E169)</f>
        <v>0.26400000000000001</v>
      </c>
      <c r="AE10">
        <v>34.26</v>
      </c>
      <c r="AG10">
        <v>0</v>
      </c>
      <c r="AH10">
        <f>0.9*2</f>
        <v>1.8</v>
      </c>
      <c r="AI10">
        <f>3.37*4</f>
        <v>13.48</v>
      </c>
      <c r="AK10">
        <v>0</v>
      </c>
      <c r="AL10">
        <v>2.4</v>
      </c>
      <c r="AM10">
        <f>11.15*4</f>
        <v>44.6</v>
      </c>
      <c r="AO10">
        <v>0</v>
      </c>
      <c r="AP10">
        <v>2.4</v>
      </c>
      <c r="AQ10">
        <f>11.2*4</f>
        <v>44.8</v>
      </c>
      <c r="AS10" s="91">
        <v>8</v>
      </c>
      <c r="AT10" s="93">
        <v>13</v>
      </c>
      <c r="AU10" s="93">
        <v>13</v>
      </c>
      <c r="AW10" s="114">
        <v>0.9</v>
      </c>
      <c r="AX10" s="87">
        <v>1.2</v>
      </c>
      <c r="AY10" s="87">
        <v>1.2</v>
      </c>
      <c r="BA10" s="119">
        <v>23.3886</v>
      </c>
      <c r="BB10" s="119">
        <v>13.875400000000001</v>
      </c>
      <c r="BC10" s="119">
        <v>10.1393</v>
      </c>
    </row>
    <row r="11" spans="1:55" x14ac:dyDescent="0.25">
      <c r="A11">
        <v>1.6</v>
      </c>
      <c r="B11">
        <f>A11*1</f>
        <v>1.6</v>
      </c>
      <c r="E11">
        <v>2.2000000000000002</v>
      </c>
      <c r="F11">
        <v>1</v>
      </c>
      <c r="Y11" s="49">
        <f>0.15+0.01*3+0.007*('INFILTRATION LOAD'!D11-'INFILTRATION LOAD'!E11)</f>
        <v>0.26750000000000002</v>
      </c>
      <c r="Z11">
        <v>23.3886</v>
      </c>
      <c r="AB11" s="46">
        <v>99.654700000000005</v>
      </c>
      <c r="AD11">
        <f>0.15+3*0.01+0.007*('INFILTRATION LOAD'!D170-'INFILTRATION LOAD'!E170)</f>
        <v>0.2535</v>
      </c>
      <c r="AE11">
        <v>2.6175000000000002</v>
      </c>
      <c r="AG11">
        <v>0</v>
      </c>
      <c r="AH11">
        <f>0.9*2</f>
        <v>1.8</v>
      </c>
      <c r="AI11">
        <f>9.5*4</f>
        <v>38</v>
      </c>
      <c r="AK11">
        <v>0</v>
      </c>
      <c r="AL11">
        <f>0.7*2</f>
        <v>1.4</v>
      </c>
      <c r="AM11">
        <f>3.7*4</f>
        <v>14.8</v>
      </c>
      <c r="AO11">
        <v>0</v>
      </c>
      <c r="AP11">
        <v>1.4</v>
      </c>
      <c r="AQ11">
        <f>3.7*4</f>
        <v>14.8</v>
      </c>
      <c r="AS11" s="91">
        <v>2.5</v>
      </c>
      <c r="AT11" s="93">
        <v>2.5</v>
      </c>
      <c r="AU11" s="93">
        <v>2.5</v>
      </c>
      <c r="AW11" s="114">
        <v>1.8</v>
      </c>
      <c r="AX11" s="87">
        <v>0.7</v>
      </c>
      <c r="AY11" s="87">
        <v>0.7</v>
      </c>
      <c r="BA11" s="119">
        <v>5.61</v>
      </c>
      <c r="BB11" s="119">
        <v>30.712</v>
      </c>
      <c r="BC11" s="119">
        <v>13.9222</v>
      </c>
    </row>
    <row r="12" spans="1:55" x14ac:dyDescent="0.25">
      <c r="A12">
        <v>4.4000000000000004</v>
      </c>
      <c r="B12">
        <f>A12*1</f>
        <v>4.4000000000000004</v>
      </c>
      <c r="E12">
        <v>1.2</v>
      </c>
      <c r="F12">
        <v>0.6</v>
      </c>
      <c r="Y12" s="49">
        <f>0.15+0.01*3+0.007*('INFILTRATION LOAD'!D12-'INFILTRATION LOAD'!E12)</f>
        <v>0.2535</v>
      </c>
      <c r="Z12">
        <v>5.61</v>
      </c>
      <c r="AB12" s="46">
        <v>142.8801</v>
      </c>
      <c r="AD12">
        <f>0.15+3*0.01+0.007*('INFILTRATION LOAD'!D171-'INFILTRATION LOAD'!E171)</f>
        <v>0.26400000000000001</v>
      </c>
      <c r="AE12">
        <v>34.26</v>
      </c>
      <c r="AG12">
        <v>0</v>
      </c>
      <c r="AH12">
        <f>0.9*2</f>
        <v>1.8</v>
      </c>
      <c r="AI12">
        <f>9.5*4</f>
        <v>38</v>
      </c>
      <c r="AK12">
        <v>0</v>
      </c>
      <c r="AL12">
        <v>0</v>
      </c>
      <c r="AM12">
        <f>1.35*4</f>
        <v>5.4</v>
      </c>
      <c r="AO12">
        <v>0</v>
      </c>
      <c r="AP12">
        <v>0</v>
      </c>
      <c r="AQ12">
        <f>1.35*4</f>
        <v>5.4</v>
      </c>
      <c r="AS12" s="91">
        <v>8</v>
      </c>
      <c r="AT12" s="93">
        <v>8</v>
      </c>
      <c r="AU12" s="93">
        <v>8</v>
      </c>
      <c r="AW12" s="114">
        <v>1.8</v>
      </c>
      <c r="AX12" s="87">
        <v>1.2</v>
      </c>
      <c r="AY12" s="87">
        <v>1.2</v>
      </c>
      <c r="BA12" s="119">
        <v>42.192500000000003</v>
      </c>
      <c r="BB12" s="119">
        <v>17.941299999999998</v>
      </c>
      <c r="BC12" s="119">
        <v>13.873799999999999</v>
      </c>
    </row>
    <row r="13" spans="1:55" x14ac:dyDescent="0.25">
      <c r="B13">
        <f>A13*1</f>
        <v>0</v>
      </c>
      <c r="E13">
        <v>2</v>
      </c>
      <c r="F13">
        <v>1</v>
      </c>
      <c r="Y13" s="49">
        <f>0.15+0.01*3+0.007*('INFILTRATION LOAD'!D13-'INFILTRATION LOAD'!E13)</f>
        <v>0.26400000000000001</v>
      </c>
      <c r="Z13" s="121">
        <v>131.30000000000001</v>
      </c>
      <c r="AB13" s="45">
        <v>34.29</v>
      </c>
      <c r="AD13">
        <f>0.15+3*0.01+0.007*('INFILTRATION LOAD'!D172-'INFILTRATION LOAD'!E172)</f>
        <v>0.2535</v>
      </c>
      <c r="AE13">
        <v>2.6175000000000002</v>
      </c>
      <c r="AG13">
        <v>0</v>
      </c>
      <c r="AH13">
        <f>0.9*2</f>
        <v>1.8</v>
      </c>
      <c r="AI13">
        <f>6.5*4</f>
        <v>26</v>
      </c>
      <c r="AK13">
        <v>0</v>
      </c>
      <c r="AL13">
        <v>2.4</v>
      </c>
      <c r="AM13">
        <f>4.7*4</f>
        <v>18.8</v>
      </c>
      <c r="AO13">
        <v>0</v>
      </c>
      <c r="AP13">
        <v>2.4</v>
      </c>
      <c r="AQ13">
        <f>4.7*4</f>
        <v>18.8</v>
      </c>
      <c r="AS13" s="91">
        <v>10</v>
      </c>
      <c r="AT13" s="93">
        <v>8</v>
      </c>
      <c r="AU13" s="93">
        <v>13</v>
      </c>
      <c r="AW13" s="114">
        <v>0.8</v>
      </c>
      <c r="AX13" s="87">
        <v>0.7</v>
      </c>
      <c r="AY13" s="87">
        <v>0.7</v>
      </c>
      <c r="BA13" s="119">
        <v>19.637799999999999</v>
      </c>
      <c r="BB13" s="119">
        <v>22.829000000000001</v>
      </c>
      <c r="BC13" s="119">
        <v>30.712</v>
      </c>
    </row>
    <row r="14" spans="1:55" x14ac:dyDescent="0.25">
      <c r="A14">
        <v>1.2</v>
      </c>
      <c r="B14">
        <f>A14*0.6</f>
        <v>0.72</v>
      </c>
      <c r="E14">
        <v>2.75</v>
      </c>
      <c r="F14">
        <v>1</v>
      </c>
      <c r="Y14" s="49">
        <f>0.15+0.01*3+0.007*('INFILTRATION LOAD'!D14-'INFILTRATION LOAD'!E14)</f>
        <v>0.2535</v>
      </c>
      <c r="Z14" s="50">
        <v>3.7086999999999999</v>
      </c>
      <c r="AB14" s="45">
        <v>2.6175000000000002</v>
      </c>
      <c r="AD14">
        <f>0.15+3*0.01+0.007*('INFILTRATION LOAD'!D173-'INFILTRATION LOAD'!E173)</f>
        <v>0.26400000000000001</v>
      </c>
      <c r="AE14">
        <v>10.1393</v>
      </c>
      <c r="AG14">
        <v>0</v>
      </c>
      <c r="AH14">
        <f>0.9*2*2</f>
        <v>3.6</v>
      </c>
      <c r="AI14">
        <f>5.6*4</f>
        <v>22.4</v>
      </c>
      <c r="AK14">
        <v>0</v>
      </c>
      <c r="AL14">
        <f>0.7*2</f>
        <v>1.4</v>
      </c>
      <c r="AM14">
        <f>3.7*4</f>
        <v>14.8</v>
      </c>
      <c r="AO14">
        <v>0</v>
      </c>
      <c r="AP14">
        <v>1.4</v>
      </c>
      <c r="AQ14">
        <f>3.7*4</f>
        <v>14.8</v>
      </c>
      <c r="AS14" s="91">
        <v>2.5</v>
      </c>
      <c r="AT14" s="93">
        <v>2.5</v>
      </c>
      <c r="AU14" s="93">
        <v>13</v>
      </c>
      <c r="AW14" s="87">
        <v>1.6</v>
      </c>
      <c r="AX14" s="87">
        <v>1.2</v>
      </c>
      <c r="AY14" s="87">
        <v>1.2</v>
      </c>
      <c r="BA14" s="119">
        <v>31.289300000000001</v>
      </c>
      <c r="BB14" s="119">
        <v>4.7869000000000002</v>
      </c>
      <c r="BC14" s="119">
        <v>17.941299999999998</v>
      </c>
    </row>
    <row r="15" spans="1:55" x14ac:dyDescent="0.25">
      <c r="A15">
        <v>1.6</v>
      </c>
      <c r="B15">
        <f>A15*1</f>
        <v>1.6</v>
      </c>
      <c r="E15">
        <v>3.6</v>
      </c>
      <c r="F15">
        <v>2.5</v>
      </c>
      <c r="Y15" s="49">
        <f>0.15+0.01*3+0.007*('INFILTRATION LOAD'!D15-'INFILTRATION LOAD'!E15)</f>
        <v>0.26400000000000001</v>
      </c>
      <c r="Z15">
        <v>19.637799999999999</v>
      </c>
      <c r="AB15" s="45">
        <v>34.1175</v>
      </c>
      <c r="AD15">
        <f>0.15+3*0.01+0.007*('INFILTRATION LOAD'!D174-'INFILTRATION LOAD'!E174)</f>
        <v>0.2535</v>
      </c>
      <c r="AE15">
        <v>2.6221999999999999</v>
      </c>
      <c r="AG15">
        <v>0</v>
      </c>
      <c r="AH15">
        <v>0</v>
      </c>
      <c r="AI15">
        <f>1.93*4</f>
        <v>7.72</v>
      </c>
      <c r="AK15">
        <v>0</v>
      </c>
      <c r="AL15">
        <v>0</v>
      </c>
      <c r="AM15">
        <f>1.35*4</f>
        <v>5.4</v>
      </c>
      <c r="AO15">
        <v>0</v>
      </c>
      <c r="AP15">
        <v>0</v>
      </c>
      <c r="AQ15">
        <f>1.35*4</f>
        <v>5.4</v>
      </c>
      <c r="AS15" s="91">
        <v>2.5</v>
      </c>
      <c r="AT15" s="93">
        <v>2.5</v>
      </c>
      <c r="AU15" s="93">
        <v>13</v>
      </c>
      <c r="AW15" s="87">
        <v>0.9</v>
      </c>
      <c r="AX15" s="87">
        <v>0.7</v>
      </c>
      <c r="AY15" s="87">
        <v>0.7</v>
      </c>
      <c r="BA15" s="119">
        <v>3.9771999999999998</v>
      </c>
      <c r="BB15" s="119">
        <v>2.4581</v>
      </c>
      <c r="BC15" s="119">
        <v>22.829000000000001</v>
      </c>
    </row>
    <row r="16" spans="1:55" x14ac:dyDescent="0.25">
      <c r="A16">
        <v>4.4000000000000004</v>
      </c>
      <c r="B16">
        <f>A16*1</f>
        <v>4.4000000000000004</v>
      </c>
      <c r="E16">
        <v>0.6</v>
      </c>
      <c r="F16">
        <v>1</v>
      </c>
      <c r="Y16" s="49">
        <f>0.15+0.01*3+0.007*('INFILTRATION LOAD'!D16-'INFILTRATION LOAD'!E16)</f>
        <v>0.26400000000000001</v>
      </c>
      <c r="Z16">
        <v>31.289300000000001</v>
      </c>
      <c r="AB16" s="45">
        <v>2.6175000000000002</v>
      </c>
      <c r="AD16">
        <f>0.15+3*0.01+0.007*('INFILTRATION LOAD'!D175-'INFILTRATION LOAD'!E175)</f>
        <v>0.26400000000000001</v>
      </c>
      <c r="AE16">
        <v>13.9222</v>
      </c>
      <c r="AG16">
        <v>0</v>
      </c>
      <c r="AH16">
        <v>0</v>
      </c>
      <c r="AI16">
        <f>2.8*4</f>
        <v>11.2</v>
      </c>
      <c r="AK16">
        <v>0</v>
      </c>
      <c r="AL16">
        <v>2.4</v>
      </c>
      <c r="AM16">
        <f>1.67*4</f>
        <v>6.68</v>
      </c>
      <c r="AO16">
        <v>0</v>
      </c>
      <c r="AP16">
        <v>2.4</v>
      </c>
      <c r="AQ16">
        <f>1.67*4</f>
        <v>6.68</v>
      </c>
      <c r="AS16" s="91">
        <v>2.5</v>
      </c>
      <c r="AT16" s="93">
        <v>13</v>
      </c>
      <c r="AU16" s="93">
        <v>13</v>
      </c>
      <c r="AW16" s="87">
        <v>1.8</v>
      </c>
      <c r="AX16" s="87">
        <v>1.2</v>
      </c>
      <c r="AY16" s="87">
        <v>1.2</v>
      </c>
      <c r="BA16" s="119">
        <v>20.748699999999999</v>
      </c>
      <c r="BB16" s="119">
        <v>13.8735</v>
      </c>
      <c r="BC16" s="119">
        <v>4.7869000000000002</v>
      </c>
    </row>
    <row r="17" spans="1:55" x14ac:dyDescent="0.25">
      <c r="A17">
        <v>8.15</v>
      </c>
      <c r="B17">
        <f>A17*1</f>
        <v>8.15</v>
      </c>
      <c r="E17">
        <v>4.2</v>
      </c>
      <c r="F17">
        <v>1</v>
      </c>
      <c r="Y17" s="49">
        <f>0.15+0.01*3+0.007*('INFILTRATION LOAD'!D17-'INFILTRATION LOAD'!E17)</f>
        <v>0.2535</v>
      </c>
      <c r="Z17">
        <v>3.9771999999999998</v>
      </c>
      <c r="AB17" s="45">
        <v>13.6738</v>
      </c>
      <c r="AD17">
        <f>0.15+3*0.01+0.007*('INFILTRATION LOAD'!D176-'INFILTRATION LOAD'!E176)</f>
        <v>0.2535</v>
      </c>
      <c r="AE17">
        <v>2.6154999999999999</v>
      </c>
      <c r="AG17">
        <v>0.6</v>
      </c>
      <c r="AH17">
        <f>0.9*2</f>
        <v>1.8</v>
      </c>
      <c r="AI17">
        <f>2.2*4</f>
        <v>8.8000000000000007</v>
      </c>
      <c r="AK17">
        <v>0</v>
      </c>
      <c r="AL17">
        <v>1.4</v>
      </c>
      <c r="AM17" s="121">
        <f>3.7*4</f>
        <v>14.8</v>
      </c>
      <c r="AO17">
        <v>0</v>
      </c>
      <c r="AP17">
        <v>1.4</v>
      </c>
      <c r="AQ17" s="121">
        <f>3.7*4</f>
        <v>14.8</v>
      </c>
      <c r="AS17" s="91">
        <v>2.5</v>
      </c>
      <c r="AT17" s="93">
        <v>13</v>
      </c>
      <c r="AU17" s="93">
        <v>13</v>
      </c>
      <c r="AW17" s="87">
        <v>1</v>
      </c>
      <c r="AX17" s="87">
        <v>0.7</v>
      </c>
      <c r="AY17" s="87">
        <v>0.7</v>
      </c>
      <c r="BA17" s="119">
        <v>17.9512</v>
      </c>
      <c r="BB17" s="119">
        <v>13.892799999999999</v>
      </c>
      <c r="BC17" s="119">
        <v>2.4581</v>
      </c>
    </row>
    <row r="18" spans="1:55" x14ac:dyDescent="0.25">
      <c r="A18">
        <v>2.4</v>
      </c>
      <c r="B18">
        <f>A18*1</f>
        <v>2.4</v>
      </c>
      <c r="E18">
        <v>0.6</v>
      </c>
      <c r="F18">
        <v>0.6</v>
      </c>
      <c r="Y18" s="49">
        <f>0.15+0.01*3+0.007*('INFILTRATION LOAD'!D18-'INFILTRATION LOAD'!E18)</f>
        <v>0.26400000000000001</v>
      </c>
      <c r="Z18">
        <v>20.748699999999999</v>
      </c>
      <c r="AB18" s="46">
        <v>2.6231</v>
      </c>
      <c r="AD18">
        <f>0.15+3*0.01+0.007*('INFILTRATION LOAD'!D177-'INFILTRATION LOAD'!E177)</f>
        <v>0.26400000000000001</v>
      </c>
      <c r="AE18">
        <v>13.873799999999999</v>
      </c>
      <c r="AG18">
        <v>0</v>
      </c>
      <c r="AH18">
        <f>0.9*2</f>
        <v>1.8</v>
      </c>
      <c r="AI18">
        <f>1.93*4</f>
        <v>7.72</v>
      </c>
      <c r="AK18">
        <v>0</v>
      </c>
      <c r="AL18">
        <v>0</v>
      </c>
      <c r="AM18">
        <f>1.35*4</f>
        <v>5.4</v>
      </c>
      <c r="AO18">
        <v>0</v>
      </c>
      <c r="AP18">
        <v>0</v>
      </c>
      <c r="AQ18">
        <f>1.35*4</f>
        <v>5.4</v>
      </c>
      <c r="AS18" s="91">
        <v>2.5</v>
      </c>
      <c r="AT18" s="93">
        <v>13</v>
      </c>
      <c r="AU18" s="93">
        <v>13</v>
      </c>
      <c r="AW18" s="87">
        <v>0.9</v>
      </c>
      <c r="AX18" s="87">
        <v>0.9</v>
      </c>
      <c r="AY18" s="87">
        <v>0.9</v>
      </c>
      <c r="BA18" s="119">
        <v>18.630800000000001</v>
      </c>
      <c r="BB18" s="119">
        <v>13.7066</v>
      </c>
      <c r="BC18" s="119">
        <v>13.8735</v>
      </c>
    </row>
    <row r="19" spans="1:55" x14ac:dyDescent="0.25">
      <c r="A19">
        <v>0.6</v>
      </c>
      <c r="B19">
        <f>A19*0.6</f>
        <v>0.36</v>
      </c>
      <c r="E19">
        <v>0.6</v>
      </c>
      <c r="F19">
        <v>1</v>
      </c>
      <c r="Y19" s="49">
        <f>0.15+0.01*3+0.007*('INFILTRATION LOAD'!D19-'INFILTRATION LOAD'!E19)</f>
        <v>0.26400000000000001</v>
      </c>
      <c r="Z19">
        <v>17.9512</v>
      </c>
      <c r="AB19" s="45">
        <v>13.9206</v>
      </c>
      <c r="AD19">
        <f>0.15+3*0.01+0.007*('INFILTRATION LOAD'!D178-'INFILTRATION LOAD'!E178)</f>
        <v>0.2535</v>
      </c>
      <c r="AE19">
        <v>2.6185999999999998</v>
      </c>
      <c r="AG19">
        <v>1.4</v>
      </c>
      <c r="AH19">
        <f>0.9*4</f>
        <v>3.6</v>
      </c>
      <c r="AI19">
        <f>9.05*4</f>
        <v>36.200000000000003</v>
      </c>
      <c r="AK19">
        <v>0</v>
      </c>
      <c r="AL19">
        <v>2.4</v>
      </c>
      <c r="AM19">
        <f>1.7*4</f>
        <v>6.8</v>
      </c>
      <c r="AO19">
        <v>0</v>
      </c>
      <c r="AP19">
        <v>2.4</v>
      </c>
      <c r="AQ19">
        <f>1.7*4</f>
        <v>6.8</v>
      </c>
      <c r="AS19" s="91">
        <v>2.5</v>
      </c>
      <c r="AT19" s="93">
        <v>13</v>
      </c>
      <c r="AU19" s="93">
        <v>13</v>
      </c>
      <c r="AW19" s="87">
        <v>0.9</v>
      </c>
      <c r="AX19" s="114">
        <v>0.7</v>
      </c>
      <c r="AY19" s="87">
        <v>0.7</v>
      </c>
      <c r="BA19" s="119">
        <v>17.137799999999999</v>
      </c>
      <c r="BB19" s="119">
        <v>11.052199999999999</v>
      </c>
      <c r="BC19" s="119">
        <v>13.892799999999999</v>
      </c>
    </row>
    <row r="20" spans="1:55" x14ac:dyDescent="0.25">
      <c r="A20">
        <v>0.6</v>
      </c>
      <c r="B20">
        <f>A20*0.6</f>
        <v>0.36</v>
      </c>
      <c r="E20">
        <v>1.6</v>
      </c>
      <c r="F20">
        <v>1</v>
      </c>
      <c r="Y20" s="49">
        <f>0.15+0.01*3+0.007*('INFILTRATION LOAD'!D20-'INFILTRATION LOAD'!E20)</f>
        <v>0.26400000000000001</v>
      </c>
      <c r="Z20">
        <v>18.630800000000001</v>
      </c>
      <c r="AB20" s="46">
        <v>2.6154999999999999</v>
      </c>
      <c r="AD20">
        <f>0.15+3*0.01+0.007*('INFILTRATION LOAD'!D179-'INFILTRATION LOAD'!E179)</f>
        <v>0.26400000000000001</v>
      </c>
      <c r="AE20">
        <v>30.712</v>
      </c>
      <c r="AG20">
        <v>0</v>
      </c>
      <c r="AH20">
        <f>0.9*2</f>
        <v>1.8</v>
      </c>
      <c r="AI20">
        <f>1.3*4</f>
        <v>5.2</v>
      </c>
      <c r="AK20">
        <v>0</v>
      </c>
      <c r="AL20">
        <v>1.4</v>
      </c>
      <c r="AM20">
        <f>3.7*4</f>
        <v>14.8</v>
      </c>
      <c r="AO20">
        <v>0</v>
      </c>
      <c r="AP20">
        <v>1.4</v>
      </c>
      <c r="AQ20">
        <f>3.7*4</f>
        <v>14.8</v>
      </c>
      <c r="AS20" s="91">
        <v>2.5</v>
      </c>
      <c r="AT20" s="93">
        <v>13</v>
      </c>
      <c r="AU20" s="93">
        <v>13</v>
      </c>
      <c r="AW20" s="87">
        <v>0.9</v>
      </c>
      <c r="AX20" s="87">
        <v>1.2</v>
      </c>
      <c r="AY20" s="87">
        <v>1.2</v>
      </c>
      <c r="BA20" s="119">
        <v>11.606199999999999</v>
      </c>
      <c r="BB20" s="119">
        <v>13.6813</v>
      </c>
      <c r="BC20" s="119">
        <v>10.1716</v>
      </c>
    </row>
    <row r="21" spans="1:55" x14ac:dyDescent="0.25">
      <c r="A21">
        <v>2</v>
      </c>
      <c r="B21">
        <f>A21*1</f>
        <v>2</v>
      </c>
      <c r="E21">
        <v>0.6</v>
      </c>
      <c r="F21">
        <v>0.6</v>
      </c>
      <c r="Y21" s="49">
        <f>0.15+0.01*3+0.007*('INFILTRATION LOAD'!D21-'INFILTRATION LOAD'!E21)</f>
        <v>0.26400000000000001</v>
      </c>
      <c r="Z21">
        <v>17.137799999999999</v>
      </c>
      <c r="AB21" s="45">
        <v>13.875400000000001</v>
      </c>
      <c r="AD21">
        <f>0.15+3*0.01+0.007*('INFILTRATION LOAD'!D180-'INFILTRATION LOAD'!E180)</f>
        <v>0.2535</v>
      </c>
      <c r="AE21">
        <v>2.6374</v>
      </c>
      <c r="AG21">
        <v>0</v>
      </c>
      <c r="AH21">
        <v>0</v>
      </c>
      <c r="AI21">
        <f>2.6*4</f>
        <v>10.4</v>
      </c>
      <c r="AK21">
        <v>0</v>
      </c>
      <c r="AL21">
        <v>0</v>
      </c>
      <c r="AM21">
        <f>0.75*4</f>
        <v>3</v>
      </c>
      <c r="AO21">
        <v>0</v>
      </c>
      <c r="AP21">
        <v>0</v>
      </c>
      <c r="AQ21">
        <f>1.35*4</f>
        <v>5.4</v>
      </c>
      <c r="AS21" s="91">
        <v>2.5</v>
      </c>
      <c r="AT21" s="93">
        <v>2.5</v>
      </c>
      <c r="AU21" s="93">
        <v>13</v>
      </c>
      <c r="AW21" s="87">
        <v>0.9</v>
      </c>
      <c r="AX21" s="87">
        <v>0.6</v>
      </c>
      <c r="AY21" s="87">
        <v>0.6</v>
      </c>
      <c r="BA21" s="119">
        <v>130.9682</v>
      </c>
      <c r="BB21" s="119">
        <v>18.7319</v>
      </c>
      <c r="BC21" s="119">
        <v>15.8619</v>
      </c>
    </row>
    <row r="22" spans="1:55" x14ac:dyDescent="0.25">
      <c r="A22">
        <v>4.8</v>
      </c>
      <c r="B22">
        <f>A22*1</f>
        <v>4.8</v>
      </c>
      <c r="E22">
        <v>4.2</v>
      </c>
      <c r="F22">
        <v>1</v>
      </c>
      <c r="Y22" s="49">
        <f>0.15+0.01*3+0.007*('INFILTRATION LOAD'!D22-'INFILTRATION LOAD'!E22)</f>
        <v>0.26400000000000001</v>
      </c>
      <c r="Z22">
        <v>11.606199999999999</v>
      </c>
      <c r="AB22" s="46">
        <v>2.6196999999999999</v>
      </c>
      <c r="AD22">
        <f>0.15+3*0.01+0.007*('INFILTRATION LOAD'!D181-'INFILTRATION LOAD'!E181)</f>
        <v>0.26400000000000001</v>
      </c>
      <c r="AE22">
        <v>17.941299999999998</v>
      </c>
      <c r="AG22">
        <v>1.4</v>
      </c>
      <c r="AH22">
        <v>0</v>
      </c>
      <c r="AI22">
        <f>3*4</f>
        <v>12</v>
      </c>
      <c r="AK22">
        <v>0</v>
      </c>
      <c r="AL22">
        <v>0</v>
      </c>
      <c r="AM22">
        <f>1.35*4</f>
        <v>5.4</v>
      </c>
      <c r="AO22">
        <v>0</v>
      </c>
      <c r="AP22">
        <v>0</v>
      </c>
      <c r="AQ22">
        <f>7.7*4</f>
        <v>30.8</v>
      </c>
      <c r="AS22" s="91">
        <v>8</v>
      </c>
      <c r="AT22" s="93">
        <v>13</v>
      </c>
      <c r="AU22" s="93">
        <v>13</v>
      </c>
      <c r="AW22" s="87">
        <v>0.9</v>
      </c>
      <c r="AX22" s="87">
        <v>0.6</v>
      </c>
      <c r="AY22" s="87">
        <v>0.6</v>
      </c>
      <c r="BA22" s="119">
        <v>32.86</v>
      </c>
      <c r="BB22" s="119">
        <v>25.372</v>
      </c>
      <c r="BC22" s="119">
        <v>15.8619</v>
      </c>
    </row>
    <row r="23" spans="1:55" x14ac:dyDescent="0.25">
      <c r="A23">
        <v>0.6</v>
      </c>
      <c r="B23">
        <f>A23*0.6</f>
        <v>0.36</v>
      </c>
      <c r="E23">
        <v>8.4</v>
      </c>
      <c r="F23">
        <v>1</v>
      </c>
      <c r="Y23" s="49" t="e">
        <f>0.15+0.01*3+0.007*('INFILTRATION LOAD'!#REF!-'INFILTRATION LOAD'!#REF!)</f>
        <v>#REF!</v>
      </c>
      <c r="Z23">
        <v>130.9682</v>
      </c>
      <c r="AB23" s="45">
        <v>30.712</v>
      </c>
      <c r="AD23">
        <f>0.15+3*0.01+0.007*('INFILTRATION LOAD'!D182-'INFILTRATION LOAD'!E182)</f>
        <v>0.22549999999999998</v>
      </c>
      <c r="AE23">
        <v>22.829000000000001</v>
      </c>
      <c r="AG23">
        <v>0</v>
      </c>
      <c r="AH23">
        <f>0.9*2*2</f>
        <v>3.6</v>
      </c>
      <c r="AI23">
        <f>3.5*4</f>
        <v>14</v>
      </c>
      <c r="AK23">
        <v>0</v>
      </c>
      <c r="AL23">
        <v>2.4</v>
      </c>
      <c r="AM23">
        <f>7.7*4</f>
        <v>30.8</v>
      </c>
      <c r="AO23">
        <v>0</v>
      </c>
      <c r="AP23">
        <v>0</v>
      </c>
      <c r="AQ23">
        <f>3.7*4</f>
        <v>14.8</v>
      </c>
      <c r="AS23" s="91">
        <v>8</v>
      </c>
      <c r="AT23" s="93">
        <v>13</v>
      </c>
      <c r="AU23" s="93">
        <v>13</v>
      </c>
      <c r="AW23" s="87">
        <v>1.2</v>
      </c>
      <c r="AX23" s="87">
        <v>0.6</v>
      </c>
      <c r="AY23" s="114">
        <v>0.6</v>
      </c>
      <c r="BA23" s="119">
        <v>12.6775</v>
      </c>
      <c r="BB23" s="119">
        <v>25.48</v>
      </c>
      <c r="BC23" s="119">
        <v>24.783000000000001</v>
      </c>
    </row>
    <row r="24" spans="1:55" x14ac:dyDescent="0.25">
      <c r="B24">
        <f>A24*1</f>
        <v>0</v>
      </c>
      <c r="E24">
        <v>1.4</v>
      </c>
      <c r="F24">
        <v>1</v>
      </c>
      <c r="Y24" s="49">
        <f>0.15+0.01*3+0.007*('INFILTRATION LOAD'!D23-'INFILTRATION LOAD'!E23)</f>
        <v>0.2535</v>
      </c>
      <c r="Z24" s="50">
        <v>2.9773000000000001</v>
      </c>
      <c r="AB24" s="46">
        <v>2.6374</v>
      </c>
      <c r="AD24">
        <f>0.15+3*0.01+0.007*('INFILTRATION LOAD'!D183-'INFILTRATION LOAD'!E183)</f>
        <v>0.2535</v>
      </c>
      <c r="AE24">
        <v>2.415</v>
      </c>
      <c r="AG24" s="80">
        <v>0</v>
      </c>
      <c r="AH24">
        <v>0</v>
      </c>
      <c r="AI24">
        <f>6*4</f>
        <v>24</v>
      </c>
      <c r="AK24">
        <v>0</v>
      </c>
      <c r="AL24">
        <v>1.4</v>
      </c>
      <c r="AM24">
        <f>3.7*4</f>
        <v>14.8</v>
      </c>
      <c r="AO24">
        <v>0</v>
      </c>
      <c r="AP24">
        <v>0</v>
      </c>
      <c r="AQ24">
        <f>1.35*4</f>
        <v>5.4</v>
      </c>
      <c r="AS24" s="91">
        <v>2.5</v>
      </c>
      <c r="AT24" s="93">
        <v>13</v>
      </c>
      <c r="AU24" s="93">
        <v>13</v>
      </c>
      <c r="AW24" s="87">
        <v>0.9</v>
      </c>
      <c r="AX24" s="114">
        <v>1.2</v>
      </c>
      <c r="AY24" s="87">
        <v>1.2</v>
      </c>
      <c r="BA24" s="119">
        <v>14.3811</v>
      </c>
      <c r="BB24" s="119">
        <v>13.751200000000001</v>
      </c>
      <c r="BC24" s="119">
        <v>24.890899999999998</v>
      </c>
    </row>
    <row r="25" spans="1:55" x14ac:dyDescent="0.25">
      <c r="A25">
        <v>4.2</v>
      </c>
      <c r="B25">
        <f>A25*1</f>
        <v>4.2</v>
      </c>
      <c r="E25">
        <v>2.4</v>
      </c>
      <c r="F25">
        <v>1</v>
      </c>
      <c r="Y25" s="49">
        <f>0.15+0.01*3+0.007*('INFILTRATION LOAD'!D24-'INFILTRATION LOAD'!E24)</f>
        <v>0.22549999999999998</v>
      </c>
      <c r="Z25" s="50">
        <v>656.17899999999997</v>
      </c>
      <c r="AB25" s="45">
        <v>17.941299999999998</v>
      </c>
      <c r="AD25">
        <f>0.15+3*0.01+0.007*('INFILTRATION LOAD'!D184-'INFILTRATION LOAD'!E184)</f>
        <v>0.2535</v>
      </c>
      <c r="AE25">
        <v>4.7869000000000002</v>
      </c>
      <c r="AG25">
        <v>0</v>
      </c>
      <c r="AH25">
        <v>0</v>
      </c>
      <c r="AI25">
        <f>1.3*4</f>
        <v>5.2</v>
      </c>
      <c r="AK25">
        <v>0</v>
      </c>
      <c r="AL25">
        <v>0</v>
      </c>
      <c r="AM25">
        <f>1.35*4</f>
        <v>5.4</v>
      </c>
      <c r="AO25">
        <v>1.2</v>
      </c>
      <c r="AP25">
        <v>1.8</v>
      </c>
      <c r="AQ25">
        <f>16.35*4</f>
        <v>65.400000000000006</v>
      </c>
      <c r="AS25" s="91">
        <v>2.5</v>
      </c>
      <c r="AT25" s="93">
        <v>13</v>
      </c>
      <c r="AU25" s="93">
        <v>13</v>
      </c>
      <c r="AW25" s="87">
        <v>1.2</v>
      </c>
      <c r="AX25" s="114">
        <v>0.7</v>
      </c>
      <c r="AY25" s="87">
        <v>0.7</v>
      </c>
      <c r="BA25" s="119">
        <v>14.3811</v>
      </c>
      <c r="BB25" s="119">
        <v>38.453699999999998</v>
      </c>
      <c r="BC25" s="119">
        <v>13.6813</v>
      </c>
    </row>
    <row r="26" spans="1:55" x14ac:dyDescent="0.25">
      <c r="A26">
        <v>2.8</v>
      </c>
      <c r="B26">
        <f>A26*1</f>
        <v>2.8</v>
      </c>
      <c r="E26">
        <v>2.8</v>
      </c>
      <c r="F26">
        <v>1</v>
      </c>
      <c r="Y26" s="49">
        <f>0.15+0.01*3+0.007*('INFILTRATION LOAD'!D25-'INFILTRATION LOAD'!E25)</f>
        <v>0.26750000000000002</v>
      </c>
      <c r="Z26">
        <v>32.86</v>
      </c>
      <c r="AB26" s="45">
        <v>22.829000000000001</v>
      </c>
      <c r="AD26">
        <f>0.15+3*0.01+0.007*('INFILTRATION LOAD'!D185-'INFILTRATION LOAD'!E185)</f>
        <v>0.2535</v>
      </c>
      <c r="AE26">
        <v>2.4581</v>
      </c>
      <c r="AG26">
        <v>2.4</v>
      </c>
      <c r="AH26">
        <f>1*2</f>
        <v>2</v>
      </c>
      <c r="AI26">
        <f>11.5*4</f>
        <v>46</v>
      </c>
      <c r="AK26">
        <v>0</v>
      </c>
      <c r="AL26">
        <v>1.8</v>
      </c>
      <c r="AM26">
        <f>16.35*4</f>
        <v>65.400000000000006</v>
      </c>
      <c r="AO26">
        <v>0</v>
      </c>
      <c r="AP26">
        <v>1.4</v>
      </c>
      <c r="AQ26">
        <f>3.7*4</f>
        <v>14.8</v>
      </c>
      <c r="AS26" s="91">
        <v>2.5</v>
      </c>
      <c r="AT26" s="93">
        <v>13</v>
      </c>
      <c r="AU26" s="93">
        <v>13</v>
      </c>
      <c r="AW26" s="87">
        <v>1.2</v>
      </c>
      <c r="AX26" s="87">
        <v>1.2</v>
      </c>
      <c r="AY26" s="87">
        <v>1.2</v>
      </c>
      <c r="BA26" s="119">
        <v>14.435600000000001</v>
      </c>
      <c r="BB26" s="119">
        <v>25.372</v>
      </c>
      <c r="BC26" s="119">
        <v>13.751200000000001</v>
      </c>
    </row>
    <row r="27" spans="1:55" x14ac:dyDescent="0.25">
      <c r="A27">
        <v>2.8</v>
      </c>
      <c r="B27">
        <f>A27*0.6</f>
        <v>1.68</v>
      </c>
      <c r="E27">
        <v>1.8</v>
      </c>
      <c r="F27">
        <v>1</v>
      </c>
      <c r="Y27" s="49">
        <f>0.15+0.01*3+0.007*('INFILTRATION LOAD'!D26-'INFILTRATION LOAD'!E26)</f>
        <v>0.26400000000000001</v>
      </c>
      <c r="Z27">
        <v>12.6775</v>
      </c>
      <c r="AB27" s="46">
        <v>2.4121000000000001</v>
      </c>
      <c r="AD27">
        <f>0.15+3*0.01+0.007*('INFILTRATION LOAD'!D186-'INFILTRATION LOAD'!E186)</f>
        <v>0.26400000000000001</v>
      </c>
      <c r="AE27">
        <v>13.8735</v>
      </c>
      <c r="AG27">
        <v>0</v>
      </c>
      <c r="AH27">
        <v>0</v>
      </c>
      <c r="AI27">
        <f>5.5*4</f>
        <v>22</v>
      </c>
      <c r="AK27">
        <v>0</v>
      </c>
      <c r="AL27">
        <v>1.4</v>
      </c>
      <c r="AM27">
        <f>3.7*4</f>
        <v>14.8</v>
      </c>
      <c r="AO27">
        <v>0</v>
      </c>
      <c r="AP27">
        <v>0</v>
      </c>
      <c r="AQ27">
        <f>3.7*4</f>
        <v>14.8</v>
      </c>
      <c r="AS27" s="91">
        <v>2.5</v>
      </c>
      <c r="AT27" s="93">
        <v>13</v>
      </c>
      <c r="AU27" s="93">
        <v>13</v>
      </c>
      <c r="AW27" s="87">
        <v>1.2</v>
      </c>
      <c r="AX27" s="114">
        <v>0.7</v>
      </c>
      <c r="AY27" s="87">
        <v>0.7</v>
      </c>
      <c r="BA27" s="119">
        <v>14.435600000000001</v>
      </c>
      <c r="BB27" s="119">
        <v>25.48</v>
      </c>
      <c r="BC27" s="119">
        <v>16.011199999999999</v>
      </c>
    </row>
    <row r="28" spans="1:55" x14ac:dyDescent="0.25">
      <c r="A28">
        <v>2.4</v>
      </c>
      <c r="B28">
        <f>A28*1</f>
        <v>2.4</v>
      </c>
      <c r="E28">
        <v>2.4</v>
      </c>
      <c r="F28">
        <v>1</v>
      </c>
      <c r="Y28" s="49">
        <f>0.15+0.01*3+0.007*('INFILTRATION LOAD'!D27-'INFILTRATION LOAD'!E27)</f>
        <v>0.2535</v>
      </c>
      <c r="Z28" s="50">
        <v>3.2363</v>
      </c>
      <c r="AB28" s="45">
        <v>4.7869000000000002</v>
      </c>
      <c r="AD28">
        <f>0.15+3*0.01+0.007*('INFILTRATION LOAD'!D187-'INFILTRATION LOAD'!E187)</f>
        <v>0.2535</v>
      </c>
      <c r="AE28">
        <v>2.6175000000000002</v>
      </c>
      <c r="AH28">
        <f>0.9*2</f>
        <v>1.8</v>
      </c>
      <c r="AI28">
        <f>4.3*4</f>
        <v>17.2</v>
      </c>
      <c r="AK28">
        <v>0</v>
      </c>
      <c r="AL28">
        <v>0</v>
      </c>
      <c r="AM28">
        <f>3.7*4</f>
        <v>14.8</v>
      </c>
      <c r="AO28">
        <v>1.2</v>
      </c>
      <c r="AP28">
        <v>2.4</v>
      </c>
      <c r="AQ28">
        <f>15.95*4</f>
        <v>63.8</v>
      </c>
      <c r="AS28" s="91">
        <v>2.5</v>
      </c>
      <c r="AT28" s="93">
        <v>13</v>
      </c>
      <c r="AU28" s="93">
        <v>2.5</v>
      </c>
      <c r="AW28" s="87">
        <v>1.2</v>
      </c>
      <c r="AX28" s="87">
        <v>1.2</v>
      </c>
      <c r="AY28" s="87">
        <v>1.2</v>
      </c>
      <c r="BA28" s="119">
        <v>5.4874999999999998</v>
      </c>
      <c r="BB28" s="119">
        <v>13.751200000000001</v>
      </c>
      <c r="BC28" s="119">
        <v>16.011199999999999</v>
      </c>
    </row>
    <row r="29" spans="1:55" x14ac:dyDescent="0.25">
      <c r="B29">
        <f>A29*1</f>
        <v>0</v>
      </c>
      <c r="E29">
        <v>1.73</v>
      </c>
      <c r="F29">
        <v>1</v>
      </c>
      <c r="Y29" s="49">
        <f>0.15+0.01*3+0.007*('INFILTRATION LOAD'!D28-'INFILTRATION LOAD'!E28)</f>
        <v>0.26400000000000001</v>
      </c>
      <c r="Z29">
        <v>14.3811</v>
      </c>
      <c r="AB29" s="45">
        <v>2.4581</v>
      </c>
      <c r="AD29">
        <f>0.15+3*0.01+0.007*('INFILTRATION LOAD'!D188-'INFILTRATION LOAD'!E188)</f>
        <v>0.26400000000000001</v>
      </c>
      <c r="AE29">
        <v>13.892799999999999</v>
      </c>
      <c r="AG29">
        <f>1.4*2</f>
        <v>2.8</v>
      </c>
      <c r="AH29">
        <f>0.9*2</f>
        <v>1.8</v>
      </c>
      <c r="AI29">
        <f>14.7*4</f>
        <v>58.8</v>
      </c>
      <c r="AK29">
        <v>0</v>
      </c>
      <c r="AL29">
        <f>0.6*2*2</f>
        <v>2.4</v>
      </c>
      <c r="AM29">
        <f>13.55*4</f>
        <v>54.2</v>
      </c>
      <c r="AO29">
        <v>0</v>
      </c>
      <c r="AP29">
        <v>1.2</v>
      </c>
      <c r="AQ29">
        <f>7.74*4</f>
        <v>30.96</v>
      </c>
      <c r="AS29" s="91">
        <v>2.5</v>
      </c>
      <c r="AT29" s="93">
        <v>13</v>
      </c>
      <c r="AU29" s="93">
        <v>2.5</v>
      </c>
      <c r="AW29" s="87">
        <v>0.9</v>
      </c>
      <c r="AX29" s="87">
        <v>0.7</v>
      </c>
      <c r="AY29" s="87">
        <v>0.7</v>
      </c>
      <c r="BA29" s="119">
        <v>5.51</v>
      </c>
      <c r="BB29" s="119">
        <v>13.751200000000001</v>
      </c>
      <c r="BC29" s="119">
        <v>13.751200000000001</v>
      </c>
    </row>
    <row r="30" spans="1:55" x14ac:dyDescent="0.25">
      <c r="A30">
        <v>2.2000000000000002</v>
      </c>
      <c r="B30">
        <f>A30*1</f>
        <v>2.2000000000000002</v>
      </c>
      <c r="E30">
        <v>2</v>
      </c>
      <c r="F30">
        <v>1</v>
      </c>
      <c r="Y30" s="49">
        <f>0.15+0.01*3+0.007*('INFILTRATION LOAD'!D29-'INFILTRATION LOAD'!E29)</f>
        <v>0.26400000000000001</v>
      </c>
      <c r="Z30">
        <v>14.3811</v>
      </c>
      <c r="AB30" s="45">
        <v>13.8735</v>
      </c>
      <c r="AD30">
        <f>0.15+3*0.01+0.007*('INFILTRATION LOAD'!D189-'INFILTRATION LOAD'!E189)</f>
        <v>0.2535</v>
      </c>
      <c r="AE30">
        <v>2.6175000000000002</v>
      </c>
      <c r="AG30">
        <v>0</v>
      </c>
      <c r="AH30">
        <v>0</v>
      </c>
      <c r="AI30">
        <f>4.2*4</f>
        <v>16.8</v>
      </c>
      <c r="AK30">
        <v>0</v>
      </c>
      <c r="AL30">
        <v>1.2</v>
      </c>
      <c r="AM30">
        <f>7.74*4</f>
        <v>30.96</v>
      </c>
      <c r="AO30">
        <v>0</v>
      </c>
      <c r="AP30">
        <v>1.2</v>
      </c>
      <c r="AQ30">
        <f>3.16*4</f>
        <v>12.64</v>
      </c>
      <c r="AS30" s="91">
        <v>2.5</v>
      </c>
      <c r="AT30" s="93">
        <v>2.5</v>
      </c>
      <c r="AU30" s="93">
        <v>2.5</v>
      </c>
      <c r="AW30" s="87">
        <v>0.9</v>
      </c>
      <c r="AX30" s="87">
        <v>0.8</v>
      </c>
      <c r="AY30" s="87">
        <v>1.2</v>
      </c>
      <c r="BA30" s="119">
        <v>5.6363000000000003</v>
      </c>
      <c r="BB30" s="119">
        <v>21.361599999999999</v>
      </c>
      <c r="BC30" s="119">
        <v>13.751200000000001</v>
      </c>
    </row>
    <row r="31" spans="1:55" x14ac:dyDescent="0.25">
      <c r="B31">
        <f>A31*0.6</f>
        <v>0</v>
      </c>
      <c r="E31">
        <v>0.6</v>
      </c>
      <c r="F31">
        <v>0.6</v>
      </c>
      <c r="Y31" s="49">
        <f>0.15+0.01*3+0.007*('INFILTRATION LOAD'!D30-'INFILTRATION LOAD'!E30)</f>
        <v>0.26400000000000001</v>
      </c>
      <c r="Z31">
        <v>8.9650999999999996</v>
      </c>
      <c r="AB31" s="46">
        <v>2.6175000000000002</v>
      </c>
      <c r="AD31">
        <f>0.15+3*0.01+0.007*('INFILTRATION LOAD'!D190-'INFILTRATION LOAD'!E190)</f>
        <v>0.26400000000000001</v>
      </c>
      <c r="AE31">
        <v>10.1716</v>
      </c>
      <c r="AG31">
        <v>4.08</v>
      </c>
      <c r="AH31">
        <f>0.9*2</f>
        <v>1.8</v>
      </c>
      <c r="AI31">
        <f>12.8*4</f>
        <v>51.2</v>
      </c>
      <c r="AK31">
        <v>0</v>
      </c>
      <c r="AL31">
        <v>1.2</v>
      </c>
      <c r="AM31">
        <f>3.16*4</f>
        <v>12.64</v>
      </c>
      <c r="AO31">
        <v>0</v>
      </c>
      <c r="AP31">
        <v>1.2</v>
      </c>
      <c r="AQ31">
        <f>4.98*4</f>
        <v>19.920000000000002</v>
      </c>
      <c r="AS31" s="91">
        <v>2.5</v>
      </c>
      <c r="AT31" s="93">
        <v>8</v>
      </c>
      <c r="AU31" s="93">
        <v>2.5</v>
      </c>
      <c r="AW31" s="87">
        <v>0.9</v>
      </c>
      <c r="AX31" s="87">
        <v>0.9</v>
      </c>
      <c r="AY31" s="87">
        <v>0.7</v>
      </c>
      <c r="BA31" s="119">
        <v>5.5202999999999998</v>
      </c>
      <c r="BB31" s="119">
        <v>31.438800000000001</v>
      </c>
      <c r="BC31" s="119">
        <v>23.482900000000001</v>
      </c>
    </row>
    <row r="32" spans="1:55" x14ac:dyDescent="0.25">
      <c r="A32">
        <v>0.6</v>
      </c>
      <c r="B32">
        <f>A32*0.6</f>
        <v>0.36</v>
      </c>
      <c r="E32">
        <v>0.6</v>
      </c>
      <c r="F32">
        <v>0.6</v>
      </c>
      <c r="Y32" s="49">
        <f>0.15+0.01*3+0.007*('INFILTRATION LOAD'!D31-'INFILTRATION LOAD'!E31)</f>
        <v>0.26400000000000001</v>
      </c>
      <c r="Z32">
        <v>14.435600000000001</v>
      </c>
      <c r="AB32" s="45">
        <v>13.892799999999999</v>
      </c>
      <c r="AD32">
        <f>0.15+3*0.01+0.007*('INFILTRATION LOAD'!D191-'INFILTRATION LOAD'!E191)</f>
        <v>0.2535</v>
      </c>
      <c r="AE32">
        <v>2.6213000000000002</v>
      </c>
      <c r="AG32">
        <v>2.4</v>
      </c>
      <c r="AH32">
        <f>0.9*2</f>
        <v>1.8</v>
      </c>
      <c r="AI32">
        <f>12*4</f>
        <v>48</v>
      </c>
      <c r="AK32">
        <v>0</v>
      </c>
      <c r="AL32">
        <v>1.2</v>
      </c>
      <c r="AM32">
        <f>4.98*4</f>
        <v>19.920000000000002</v>
      </c>
      <c r="AO32">
        <v>0</v>
      </c>
      <c r="AP32">
        <v>2.4</v>
      </c>
      <c r="AQ32">
        <f>7.7*4</f>
        <v>30.8</v>
      </c>
      <c r="AS32" s="91">
        <v>2.5</v>
      </c>
      <c r="AT32" s="93">
        <v>2.5</v>
      </c>
      <c r="AU32" s="93">
        <v>2.5</v>
      </c>
      <c r="AW32" s="87">
        <v>0.9</v>
      </c>
      <c r="AX32" s="87">
        <v>0.6</v>
      </c>
      <c r="AY32" s="87">
        <v>1.2</v>
      </c>
      <c r="BA32" s="119">
        <v>9.1492000000000004</v>
      </c>
      <c r="BB32" s="119">
        <v>34.986199999999997</v>
      </c>
      <c r="BC32" s="119">
        <v>10.757199999999999</v>
      </c>
    </row>
    <row r="33" spans="1:55" x14ac:dyDescent="0.25">
      <c r="B33">
        <f>A33*1</f>
        <v>0</v>
      </c>
      <c r="E33">
        <v>2.4</v>
      </c>
      <c r="F33">
        <v>1</v>
      </c>
      <c r="Y33" s="49">
        <f>0.15+0.01*3+0.007*('INFILTRATION LOAD'!D32-'INFILTRATION LOAD'!E32)</f>
        <v>0.26400000000000001</v>
      </c>
      <c r="Z33">
        <v>14.435600000000001</v>
      </c>
      <c r="AB33" s="46">
        <v>2.6175000000000002</v>
      </c>
      <c r="AD33">
        <f>0.15+3*0.01+0.007*('INFILTRATION LOAD'!D192-'INFILTRATION LOAD'!E192)</f>
        <v>0.26400000000000001</v>
      </c>
      <c r="AE33">
        <v>15.8619</v>
      </c>
      <c r="AG33">
        <v>0</v>
      </c>
      <c r="AH33">
        <v>0</v>
      </c>
      <c r="AI33">
        <f>2.25*4</f>
        <v>9</v>
      </c>
      <c r="AK33">
        <v>0</v>
      </c>
      <c r="AL33">
        <v>2.4</v>
      </c>
      <c r="AM33">
        <f>7.65*4</f>
        <v>30.6</v>
      </c>
      <c r="AO33">
        <v>0</v>
      </c>
      <c r="AP33">
        <v>1.4</v>
      </c>
      <c r="AQ33">
        <f>3.7*4</f>
        <v>14.8</v>
      </c>
      <c r="AS33" s="91">
        <v>2.5</v>
      </c>
      <c r="AT33" s="93">
        <v>8</v>
      </c>
      <c r="AU33" s="93">
        <v>8</v>
      </c>
      <c r="AW33" s="87">
        <v>0.9</v>
      </c>
      <c r="AX33" s="87">
        <v>1.2</v>
      </c>
      <c r="AY33" s="87">
        <v>0.7</v>
      </c>
      <c r="BA33" s="119">
        <v>4.9522000000000004</v>
      </c>
      <c r="BB33" s="119">
        <v>5.4111000000000002</v>
      </c>
      <c r="BC33" s="119">
        <v>11.315</v>
      </c>
    </row>
    <row r="34" spans="1:55" x14ac:dyDescent="0.25">
      <c r="B34">
        <f>A34*1</f>
        <v>0</v>
      </c>
      <c r="E34">
        <v>1.6</v>
      </c>
      <c r="F34">
        <v>1</v>
      </c>
      <c r="Y34" s="49">
        <f>0.15+0.01*3+0.007*('INFILTRATION LOAD'!D33-'INFILTRATION LOAD'!E33)</f>
        <v>0.26400000000000001</v>
      </c>
      <c r="Z34">
        <v>5.4874999999999998</v>
      </c>
      <c r="AB34" s="45">
        <v>13.7066</v>
      </c>
      <c r="AD34">
        <f>0.15+3*0.01+0.007*('INFILTRATION LOAD'!D193-'INFILTRATION LOAD'!E193)</f>
        <v>0.2535</v>
      </c>
      <c r="AE34">
        <v>2.64</v>
      </c>
      <c r="AG34">
        <v>0</v>
      </c>
      <c r="AH34">
        <f>0.9*2</f>
        <v>1.8</v>
      </c>
      <c r="AI34">
        <f>5.4*4</f>
        <v>21.6</v>
      </c>
      <c r="AK34">
        <v>0</v>
      </c>
      <c r="AL34">
        <v>1.4</v>
      </c>
      <c r="AM34">
        <f>3.7*4</f>
        <v>14.8</v>
      </c>
      <c r="AO34">
        <v>0</v>
      </c>
      <c r="AP34">
        <v>0</v>
      </c>
      <c r="AQ34">
        <f>1.35*4</f>
        <v>5.4</v>
      </c>
      <c r="AS34" s="91">
        <v>8</v>
      </c>
      <c r="AT34" s="93">
        <v>2.5</v>
      </c>
      <c r="AW34" s="87">
        <v>0.9</v>
      </c>
      <c r="AX34" s="87">
        <v>0.7</v>
      </c>
      <c r="AY34" s="87">
        <v>1.2</v>
      </c>
      <c r="BA34" s="119">
        <v>25.253799999999998</v>
      </c>
      <c r="BB34" s="119">
        <v>25.7486</v>
      </c>
      <c r="BC34" s="119">
        <v>13.308299999999999</v>
      </c>
    </row>
    <row r="35" spans="1:55" x14ac:dyDescent="0.25">
      <c r="A35">
        <v>14</v>
      </c>
      <c r="B35">
        <f>A35*1</f>
        <v>14</v>
      </c>
      <c r="Y35" s="49">
        <f>0.15+0.01*3+0.007*('INFILTRATION LOAD'!D34-'INFILTRATION LOAD'!E34)</f>
        <v>0.26400000000000001</v>
      </c>
      <c r="Z35">
        <v>5.51</v>
      </c>
      <c r="AB35" s="46">
        <v>2.6213000000000002</v>
      </c>
      <c r="AD35">
        <f>0.15+3*0.01+0.007*('INFILTRATION LOAD'!D194-'INFILTRATION LOAD'!E194)</f>
        <v>0.26400000000000001</v>
      </c>
      <c r="AE35">
        <v>15.8619</v>
      </c>
      <c r="AG35">
        <v>0</v>
      </c>
      <c r="AH35">
        <v>0</v>
      </c>
      <c r="AI35">
        <f>3.05*4</f>
        <v>12.2</v>
      </c>
      <c r="AK35">
        <v>0</v>
      </c>
      <c r="AL35">
        <v>0</v>
      </c>
      <c r="AM35">
        <f>1.35*4</f>
        <v>5.4</v>
      </c>
      <c r="AO35">
        <v>0</v>
      </c>
      <c r="AP35">
        <v>2.4</v>
      </c>
      <c r="AQ35">
        <f>1.7*4</f>
        <v>6.8</v>
      </c>
      <c r="AS35" s="91">
        <v>2.5</v>
      </c>
      <c r="AT35" s="93">
        <v>2.5</v>
      </c>
      <c r="AW35" s="87">
        <v>1.2</v>
      </c>
      <c r="AX35" s="87">
        <v>1.2</v>
      </c>
      <c r="AY35" s="87">
        <v>0.7</v>
      </c>
      <c r="BA35" s="119">
        <v>14.3811</v>
      </c>
      <c r="BB35" s="119">
        <v>16.799399999999999</v>
      </c>
      <c r="BC35" s="119">
        <v>11.087199999999999</v>
      </c>
    </row>
    <row r="36" spans="1:55" x14ac:dyDescent="0.25">
      <c r="B36">
        <f>A36*1</f>
        <v>0</v>
      </c>
      <c r="Y36" s="49">
        <f>0.15+0.01*3+0.007*('INFILTRATION LOAD'!D35-'INFILTRATION LOAD'!E35)</f>
        <v>0.26400000000000001</v>
      </c>
      <c r="Z36">
        <v>5.6363000000000003</v>
      </c>
      <c r="AB36" s="45">
        <v>11.052199999999999</v>
      </c>
      <c r="AD36">
        <f>0.15+3*0.01+0.007*('INFILTRATION LOAD'!D195-'INFILTRATION LOAD'!E195)</f>
        <v>0.2535</v>
      </c>
      <c r="AE36">
        <v>2.64</v>
      </c>
      <c r="AG36">
        <v>0</v>
      </c>
      <c r="AH36">
        <v>0</v>
      </c>
      <c r="AI36">
        <f>1.45*4</f>
        <v>5.8</v>
      </c>
      <c r="AK36">
        <v>0</v>
      </c>
      <c r="AL36">
        <v>2.4</v>
      </c>
      <c r="AM36">
        <f>1.7*4</f>
        <v>6.8</v>
      </c>
      <c r="AO36">
        <v>0</v>
      </c>
      <c r="AP36">
        <v>1.4</v>
      </c>
      <c r="AQ36">
        <f>3.7*4</f>
        <v>14.8</v>
      </c>
      <c r="AS36" s="91">
        <v>2.5</v>
      </c>
      <c r="AT36" s="93">
        <v>2.5</v>
      </c>
      <c r="AW36" s="87">
        <v>1.2</v>
      </c>
      <c r="AX36" s="87">
        <v>0.7</v>
      </c>
      <c r="AY36" s="87">
        <v>1.2</v>
      </c>
      <c r="BA36" s="119">
        <v>14.3811</v>
      </c>
      <c r="BB36" s="119">
        <v>16.799900000000001</v>
      </c>
      <c r="BC36" s="119">
        <v>8.2750000000000004</v>
      </c>
    </row>
    <row r="37" spans="1:55" x14ac:dyDescent="0.25">
      <c r="Y37" s="49">
        <f>0.15+0.01*3+0.007*('INFILTRATION LOAD'!D36-'INFILTRATION LOAD'!E36)</f>
        <v>0.2535</v>
      </c>
      <c r="Z37">
        <v>5.5202999999999998</v>
      </c>
      <c r="AB37" s="45">
        <v>13.6813</v>
      </c>
      <c r="AD37">
        <f>0.15+3*0.01+0.007*('INFILTRATION LOAD'!D196-'INFILTRATION LOAD'!E196)</f>
        <v>0.26400000000000001</v>
      </c>
      <c r="AE37">
        <v>24.783000000000001</v>
      </c>
      <c r="AG37">
        <v>0</v>
      </c>
      <c r="AH37">
        <v>0</v>
      </c>
      <c r="AI37">
        <f>3.65*4</f>
        <v>14.6</v>
      </c>
      <c r="AK37">
        <v>0</v>
      </c>
      <c r="AL37">
        <v>1.4</v>
      </c>
      <c r="AM37">
        <f>3.7*4</f>
        <v>14.8</v>
      </c>
      <c r="AO37">
        <v>0</v>
      </c>
      <c r="AP37">
        <v>0</v>
      </c>
      <c r="AQ37">
        <f>1.35*4</f>
        <v>5.4</v>
      </c>
      <c r="AS37" s="91">
        <v>2.5</v>
      </c>
      <c r="AT37" s="93">
        <v>15</v>
      </c>
      <c r="AW37" s="87">
        <v>1.2</v>
      </c>
      <c r="AX37" s="87">
        <v>1.2</v>
      </c>
      <c r="AY37" s="87">
        <v>0.7</v>
      </c>
      <c r="BA37" s="119">
        <v>10.417999999999999</v>
      </c>
      <c r="BB37" s="119">
        <v>10.2258</v>
      </c>
      <c r="BC37" s="119">
        <v>13.467499999999999</v>
      </c>
    </row>
    <row r="38" spans="1:55" x14ac:dyDescent="0.25">
      <c r="A38" s="169" t="s">
        <v>98</v>
      </c>
      <c r="B38" s="169"/>
      <c r="C38" s="169"/>
      <c r="Y38" s="49">
        <f>0.15+0.01*3+0.007*('INFILTRATION LOAD'!D37-'INFILTRATION LOAD'!E37)</f>
        <v>0.26400000000000001</v>
      </c>
      <c r="Z38">
        <v>9.1492000000000004</v>
      </c>
      <c r="AB38" s="46">
        <v>2.64</v>
      </c>
      <c r="AD38">
        <f>0.15+3*0.01+0.007*('INFILTRATION LOAD'!D197-'INFILTRATION LOAD'!E197)</f>
        <v>0.2535</v>
      </c>
      <c r="AE38">
        <v>2.64</v>
      </c>
      <c r="AG38">
        <v>0</v>
      </c>
      <c r="AH38">
        <f>0.9*2</f>
        <v>1.8</v>
      </c>
      <c r="AI38">
        <f>1.66*4</f>
        <v>6.64</v>
      </c>
      <c r="AK38">
        <v>0</v>
      </c>
      <c r="AL38">
        <v>0</v>
      </c>
      <c r="AM38">
        <f>1.35*4</f>
        <v>5.4</v>
      </c>
      <c r="AO38">
        <v>0</v>
      </c>
      <c r="AP38">
        <v>2.4</v>
      </c>
      <c r="AQ38">
        <f>1.68*4</f>
        <v>6.72</v>
      </c>
      <c r="AS38" s="91">
        <v>8</v>
      </c>
      <c r="AT38" s="93">
        <v>8</v>
      </c>
      <c r="AW38" s="87">
        <v>0.8</v>
      </c>
      <c r="AX38" s="87">
        <v>0.7</v>
      </c>
      <c r="AY38" s="87">
        <v>1.2</v>
      </c>
      <c r="BA38" s="119">
        <v>9.9804999999999993</v>
      </c>
      <c r="BB38" s="119">
        <v>19.000699999999998</v>
      </c>
      <c r="BC38" s="119">
        <v>183.94380000000001</v>
      </c>
    </row>
    <row r="39" spans="1:55" x14ac:dyDescent="0.25">
      <c r="A39" s="169" t="s">
        <v>97</v>
      </c>
      <c r="B39" s="169"/>
      <c r="C39" s="169"/>
      <c r="Y39" s="49">
        <f>0.15+0.01*3+0.007*('INFILTRATION LOAD'!D38-'INFILTRATION LOAD'!E38)</f>
        <v>0.26400000000000001</v>
      </c>
      <c r="Z39">
        <v>4.9522000000000004</v>
      </c>
      <c r="AB39" s="45">
        <v>18.7319</v>
      </c>
      <c r="AD39">
        <f>0.15+3*0.01+0.007*('INFILTRATION LOAD'!D198-'INFILTRATION LOAD'!E198)</f>
        <v>0.26400000000000001</v>
      </c>
      <c r="AE39">
        <v>24.890899999999998</v>
      </c>
      <c r="AG39">
        <v>0</v>
      </c>
      <c r="AH39">
        <f>0.9*2</f>
        <v>1.8</v>
      </c>
      <c r="AI39">
        <f>1.6*4</f>
        <v>6.4</v>
      </c>
      <c r="AK39">
        <v>0</v>
      </c>
      <c r="AL39">
        <v>2.4</v>
      </c>
      <c r="AM39">
        <f>1.68*4</f>
        <v>6.72</v>
      </c>
      <c r="AO39">
        <v>0</v>
      </c>
      <c r="AP39">
        <v>1.4</v>
      </c>
      <c r="AQ39" s="121">
        <f>3.7*4</f>
        <v>14.8</v>
      </c>
      <c r="AS39" s="91">
        <v>2.5</v>
      </c>
      <c r="AT39" s="93">
        <v>2.5</v>
      </c>
      <c r="AW39" s="87">
        <v>1.2</v>
      </c>
      <c r="AX39" s="87">
        <v>1.2</v>
      </c>
      <c r="AY39" s="87">
        <v>0.7</v>
      </c>
      <c r="BA39" s="119">
        <v>14.435600000000001</v>
      </c>
      <c r="BB39" s="119">
        <v>14.987500000000001</v>
      </c>
      <c r="BC39" s="119">
        <v>58.860100000000003</v>
      </c>
    </row>
    <row r="40" spans="1:55" x14ac:dyDescent="0.25">
      <c r="A40" s="27" t="s">
        <v>86</v>
      </c>
      <c r="B40" s="27" t="s">
        <v>87</v>
      </c>
      <c r="C40" s="27" t="s">
        <v>93</v>
      </c>
      <c r="E40" t="s">
        <v>121</v>
      </c>
      <c r="F40" t="s">
        <v>52</v>
      </c>
      <c r="Y40" s="49">
        <f>0.15+0.01*3+0.007*('INFILTRATION LOAD'!D39-'INFILTRATION LOAD'!E39)</f>
        <v>0.26400000000000001</v>
      </c>
      <c r="Z40">
        <v>25.253799999999998</v>
      </c>
      <c r="AB40" s="46">
        <v>6.9295999999999998</v>
      </c>
      <c r="AD40">
        <f>0.15+3*0.01+0.007*('INFILTRATION LOAD'!D199-'INFILTRATION LOAD'!E199)</f>
        <v>0.2535</v>
      </c>
      <c r="AE40">
        <v>2.64</v>
      </c>
      <c r="AG40">
        <v>0</v>
      </c>
      <c r="AH40">
        <f>2.4</f>
        <v>2.4</v>
      </c>
      <c r="AI40">
        <f>4.6*4</f>
        <v>18.399999999999999</v>
      </c>
      <c r="AK40">
        <v>0</v>
      </c>
      <c r="AL40">
        <v>1.4</v>
      </c>
      <c r="AM40" s="121">
        <f>3.7*4</f>
        <v>14.8</v>
      </c>
      <c r="AO40">
        <v>0</v>
      </c>
      <c r="AP40">
        <v>0</v>
      </c>
      <c r="AQ40">
        <f>1.35*4</f>
        <v>5.4</v>
      </c>
      <c r="AS40" s="91">
        <v>8</v>
      </c>
      <c r="AT40" s="93">
        <v>15</v>
      </c>
      <c r="AW40" s="87">
        <v>1.2</v>
      </c>
      <c r="AX40" s="87">
        <v>0.7</v>
      </c>
      <c r="AY40" s="87">
        <v>1.2</v>
      </c>
      <c r="BA40" s="119">
        <v>14.435600000000001</v>
      </c>
      <c r="BB40" s="119">
        <v>21.6006</v>
      </c>
      <c r="BC40" s="119">
        <v>17.4452</v>
      </c>
    </row>
    <row r="41" spans="1:55" x14ac:dyDescent="0.25">
      <c r="A41">
        <v>0</v>
      </c>
      <c r="B41">
        <v>0</v>
      </c>
      <c r="C41">
        <v>6.5</v>
      </c>
      <c r="E41">
        <v>2.31</v>
      </c>
      <c r="F41">
        <v>1</v>
      </c>
      <c r="Y41" s="49">
        <f>0.15+0.01*3+0.007*('INFILTRATION LOAD'!D40-'INFILTRATION LOAD'!E40)</f>
        <v>0.26400000000000001</v>
      </c>
      <c r="Z41">
        <v>14.3811</v>
      </c>
      <c r="AB41" s="45">
        <v>25.372</v>
      </c>
      <c r="AD41">
        <f>0.15+3*0.01+0.007*('INFILTRATION LOAD'!D200-'INFILTRATION LOAD'!E200)</f>
        <v>0.26400000000000001</v>
      </c>
      <c r="AE41">
        <v>13.6813</v>
      </c>
      <c r="AG41">
        <v>0</v>
      </c>
      <c r="AH41">
        <v>0</v>
      </c>
      <c r="AI41">
        <f>1.5*4</f>
        <v>6</v>
      </c>
      <c r="AK41">
        <v>0</v>
      </c>
      <c r="AL41">
        <v>0</v>
      </c>
      <c r="AM41">
        <f>1.35*4</f>
        <v>5.4</v>
      </c>
      <c r="AO41">
        <v>0</v>
      </c>
      <c r="AP41">
        <v>2.4</v>
      </c>
      <c r="AQ41">
        <f>1.7*4</f>
        <v>6.8</v>
      </c>
      <c r="AT41" s="93">
        <v>2.5</v>
      </c>
      <c r="AW41" s="114">
        <v>0.9</v>
      </c>
      <c r="AX41" s="87">
        <v>1</v>
      </c>
      <c r="AY41" s="87">
        <v>0.7</v>
      </c>
      <c r="BA41" s="119">
        <v>656.17899999999997</v>
      </c>
      <c r="BB41" s="119">
        <v>23.600300000000001</v>
      </c>
      <c r="BC41" s="119">
        <v>17.480599999999999</v>
      </c>
    </row>
    <row r="42" spans="1:55" x14ac:dyDescent="0.25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49">
        <f>0.15+0.01*3+0.007*('INFILTRATION LOAD'!D41-'INFILTRATION LOAD'!E41)</f>
        <v>0.26400000000000001</v>
      </c>
      <c r="Z42">
        <v>14.3811</v>
      </c>
      <c r="AB42" s="46">
        <v>2.6086999999999998</v>
      </c>
      <c r="AD42">
        <f>0.15+3*0.01+0.007*('INFILTRATION LOAD'!D201-'INFILTRATION LOAD'!E201)</f>
        <v>0.2535</v>
      </c>
      <c r="AE42">
        <v>2.64</v>
      </c>
      <c r="AG42">
        <v>0</v>
      </c>
      <c r="AH42">
        <v>0</v>
      </c>
      <c r="AI42">
        <f>1.7*4</f>
        <v>6.8</v>
      </c>
      <c r="AK42">
        <v>0</v>
      </c>
      <c r="AL42">
        <v>0</v>
      </c>
      <c r="AM42">
        <f>3*4</f>
        <v>12</v>
      </c>
      <c r="AO42">
        <v>0</v>
      </c>
      <c r="AP42">
        <v>1.4</v>
      </c>
      <c r="AQ42">
        <f>3.7*4</f>
        <v>14.8</v>
      </c>
      <c r="AT42" s="93">
        <v>2.5</v>
      </c>
      <c r="AW42" s="114">
        <v>0.9</v>
      </c>
      <c r="AX42" s="87">
        <v>1.2</v>
      </c>
      <c r="AY42" s="87">
        <v>1.2</v>
      </c>
      <c r="BA42" s="119">
        <v>8.4309999999999992</v>
      </c>
      <c r="BB42" s="119">
        <v>35.042499999999997</v>
      </c>
      <c r="BC42" s="119">
        <v>43.5914</v>
      </c>
    </row>
    <row r="43" spans="1:55" x14ac:dyDescent="0.25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49">
        <f>0.15+0.01*3+0.007*('INFILTRATION LOAD'!D42-'INFILTRATION LOAD'!E42)</f>
        <v>0.26400000000000001</v>
      </c>
      <c r="Z43">
        <v>10.417999999999999</v>
      </c>
      <c r="AB43" s="46">
        <v>6.6151</v>
      </c>
      <c r="AD43">
        <f>0.15+3*0.01+0.007*('INFILTRATION LOAD'!D202-'INFILTRATION LOAD'!E202)</f>
        <v>0.26400000000000001</v>
      </c>
      <c r="AE43">
        <v>13.751200000000001</v>
      </c>
      <c r="AG43">
        <v>1.4</v>
      </c>
      <c r="AH43">
        <f>0.9*2</f>
        <v>1.8</v>
      </c>
      <c r="AI43">
        <f>3.15*4</f>
        <v>12.6</v>
      </c>
      <c r="AK43">
        <v>0</v>
      </c>
      <c r="AL43">
        <v>1.6</v>
      </c>
      <c r="AM43">
        <f>3*4</f>
        <v>12</v>
      </c>
      <c r="AO43">
        <v>0</v>
      </c>
      <c r="AP43">
        <v>0</v>
      </c>
      <c r="AQ43">
        <f>1.35*4</f>
        <v>5.4</v>
      </c>
      <c r="AT43" s="93">
        <v>2.5</v>
      </c>
      <c r="AW43" s="114">
        <v>1</v>
      </c>
      <c r="AX43" s="87">
        <v>0.7</v>
      </c>
      <c r="AY43" s="87">
        <v>0.7</v>
      </c>
      <c r="BA43" s="119">
        <v>8.3137000000000008</v>
      </c>
      <c r="BB43" s="119">
        <v>5.6912000000000003</v>
      </c>
      <c r="BC43" s="119">
        <v>10.900600000000001</v>
      </c>
    </row>
    <row r="44" spans="1:55" x14ac:dyDescent="0.25">
      <c r="A44">
        <v>0</v>
      </c>
      <c r="B44">
        <v>0</v>
      </c>
      <c r="C44">
        <v>10.23</v>
      </c>
      <c r="E44">
        <v>2.31</v>
      </c>
      <c r="F44">
        <v>1</v>
      </c>
      <c r="Y44" s="49">
        <f>0.15+0.01*3+0.007*('INFILTRATION LOAD'!D43-'INFILTRATION LOAD'!E43)</f>
        <v>0.26400000000000001</v>
      </c>
      <c r="Z44">
        <v>9.9804999999999993</v>
      </c>
      <c r="AB44" s="45">
        <v>25.48</v>
      </c>
      <c r="AD44">
        <f>0.15+3*0.01+0.007*('INFILTRATION LOAD'!D203-'INFILTRATION LOAD'!E203)</f>
        <v>0.2535</v>
      </c>
      <c r="AE44">
        <v>2.64</v>
      </c>
      <c r="AG44">
        <v>0</v>
      </c>
      <c r="AH44">
        <v>0</v>
      </c>
      <c r="AI44">
        <f>3.58*4</f>
        <v>14.32</v>
      </c>
      <c r="AK44">
        <v>0</v>
      </c>
      <c r="AL44">
        <v>1.8</v>
      </c>
      <c r="AM44">
        <f>3*4</f>
        <v>12</v>
      </c>
      <c r="AO44">
        <v>0</v>
      </c>
      <c r="AP44">
        <v>2.4</v>
      </c>
      <c r="AQ44">
        <f>1.7*4</f>
        <v>6.8</v>
      </c>
      <c r="AT44" s="93">
        <v>2.5</v>
      </c>
      <c r="AW44" s="120">
        <v>0.8</v>
      </c>
      <c r="AX44" s="87">
        <v>1.2</v>
      </c>
      <c r="AY44" s="87">
        <v>1.2</v>
      </c>
      <c r="BA44" s="119">
        <v>8.4375</v>
      </c>
      <c r="BB44" s="119">
        <v>4.1337999999999999</v>
      </c>
      <c r="BC44" s="119">
        <v>10.783099999999999</v>
      </c>
    </row>
    <row r="45" spans="1:55" x14ac:dyDescent="0.25">
      <c r="A45">
        <v>0</v>
      </c>
      <c r="B45">
        <v>0</v>
      </c>
      <c r="C45">
        <v>17</v>
      </c>
      <c r="E45">
        <v>2.7</v>
      </c>
      <c r="F45">
        <v>1</v>
      </c>
      <c r="Y45" s="49">
        <f>0.15+0.01*3+0.007*('INFILTRATION LOAD'!D44-'INFILTRATION LOAD'!E44)</f>
        <v>0.26400000000000001</v>
      </c>
      <c r="Z45">
        <v>14.435600000000001</v>
      </c>
      <c r="AB45" s="46">
        <v>2.6086999999999998</v>
      </c>
      <c r="AD45">
        <f>0.15+3*0.01+0.007*('INFILTRATION LOAD'!D204-'INFILTRATION LOAD'!E204)</f>
        <v>0.26400000000000001</v>
      </c>
      <c r="AE45">
        <v>16.011199999999999</v>
      </c>
      <c r="AG45">
        <v>0</v>
      </c>
      <c r="AH45">
        <v>0</v>
      </c>
      <c r="AI45">
        <f>4.85*4</f>
        <v>19.399999999999999</v>
      </c>
      <c r="AK45">
        <v>0</v>
      </c>
      <c r="AL45">
        <v>1.2</v>
      </c>
      <c r="AM45">
        <f>2.7*4</f>
        <v>10.8</v>
      </c>
      <c r="AO45">
        <v>0</v>
      </c>
      <c r="AP45">
        <v>1.4</v>
      </c>
      <c r="AQ45">
        <f>3.7*4</f>
        <v>14.8</v>
      </c>
      <c r="AT45" s="93">
        <v>2.5</v>
      </c>
      <c r="AW45" s="120">
        <v>0.9</v>
      </c>
      <c r="AX45" s="87">
        <v>0.7</v>
      </c>
      <c r="AY45" s="87">
        <v>0.7</v>
      </c>
      <c r="BA45" s="119">
        <v>13.606999999999999</v>
      </c>
      <c r="BB45" s="119">
        <v>12.91</v>
      </c>
      <c r="BC45" s="119">
        <v>9.4162999999999997</v>
      </c>
    </row>
    <row r="46" spans="1:55" x14ac:dyDescent="0.25">
      <c r="A46">
        <v>0</v>
      </c>
      <c r="B46">
        <v>0</v>
      </c>
      <c r="C46">
        <v>10.23</v>
      </c>
      <c r="E46">
        <v>1.4</v>
      </c>
      <c r="F46">
        <v>1</v>
      </c>
      <c r="Y46" s="49">
        <f>0.15+0.01*3+0.007*('INFILTRATION LOAD'!D45-'INFILTRATION LOAD'!E45)</f>
        <v>0.26400000000000001</v>
      </c>
      <c r="Z46">
        <v>14.435600000000001</v>
      </c>
      <c r="AB46" s="45">
        <v>13.751200000000001</v>
      </c>
      <c r="AD46">
        <f>0.15+3*0.01+0.007*('INFILTRATION LOAD'!D205-'INFILTRATION LOAD'!E205)</f>
        <v>0.2535</v>
      </c>
      <c r="AE46">
        <v>2.64</v>
      </c>
      <c r="AG46">
        <v>0</v>
      </c>
      <c r="AH46">
        <v>2.4</v>
      </c>
      <c r="AI46">
        <f>6.03*4</f>
        <v>24.12</v>
      </c>
      <c r="AK46">
        <v>0</v>
      </c>
      <c r="AL46">
        <v>2</v>
      </c>
      <c r="AM46">
        <f>6*4</f>
        <v>24</v>
      </c>
      <c r="AO46">
        <v>0</v>
      </c>
      <c r="AP46">
        <v>0</v>
      </c>
      <c r="AQ46">
        <f>1.35*4</f>
        <v>5.4</v>
      </c>
      <c r="AT46" s="93">
        <v>8</v>
      </c>
      <c r="AW46" s="87">
        <v>0.9</v>
      </c>
      <c r="AX46" s="87">
        <v>1.2</v>
      </c>
      <c r="AY46" s="87">
        <v>1.2</v>
      </c>
      <c r="BA46" s="119">
        <v>17.259899999999998</v>
      </c>
      <c r="BB46" s="119">
        <v>7.4783999999999997</v>
      </c>
      <c r="BC46" s="119">
        <v>26.995799999999999</v>
      </c>
    </row>
    <row r="47" spans="1:55" x14ac:dyDescent="0.25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49" t="e">
        <f>0.15+0.01*3+0.007*('INFILTRATION LOAD'!#REF!-'INFILTRATION LOAD'!#REF!)</f>
        <v>#REF!</v>
      </c>
      <c r="Z47">
        <v>14.363899999999999</v>
      </c>
      <c r="AB47" s="46">
        <v>2.64</v>
      </c>
      <c r="AD47">
        <f>0.15+3*0.01+0.007*('INFILTRATION LOAD'!D206-'INFILTRATION LOAD'!E206)</f>
        <v>0.26400000000000001</v>
      </c>
      <c r="AE47">
        <v>16.011199999999999</v>
      </c>
      <c r="AG47">
        <v>0</v>
      </c>
      <c r="AH47">
        <f>0.9*2</f>
        <v>1.8</v>
      </c>
      <c r="AI47">
        <f>3*4</f>
        <v>12</v>
      </c>
      <c r="AK47">
        <v>0</v>
      </c>
      <c r="AL47">
        <v>1.8</v>
      </c>
      <c r="AM47">
        <f>3.75*4</f>
        <v>15</v>
      </c>
      <c r="AO47">
        <v>0</v>
      </c>
      <c r="AP47">
        <v>2.4</v>
      </c>
      <c r="AQ47">
        <f>1.7*4</f>
        <v>6.8</v>
      </c>
      <c r="AT47" s="93">
        <v>8</v>
      </c>
      <c r="AW47" s="87">
        <v>0.9</v>
      </c>
      <c r="AX47" s="87">
        <v>0.7</v>
      </c>
      <c r="AY47" s="87">
        <v>0.7</v>
      </c>
      <c r="BA47" s="119">
        <v>17.1267</v>
      </c>
      <c r="BB47" s="119">
        <v>17.520700000000001</v>
      </c>
      <c r="BC47" s="119">
        <v>808.0077</v>
      </c>
    </row>
    <row r="48" spans="1:55" x14ac:dyDescent="0.25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49">
        <f>0.15+0.01*3+0.007*('INFILTRATION LOAD'!D46-'INFILTRATION LOAD'!E46)</f>
        <v>0.26400000000000001</v>
      </c>
      <c r="Z48">
        <v>8.4309999999999992</v>
      </c>
      <c r="AB48" s="45">
        <v>38.453699999999998</v>
      </c>
      <c r="AD48">
        <f>0.15+3*0.01+0.007*('INFILTRATION LOAD'!D207-'INFILTRATION LOAD'!E207)</f>
        <v>0.2535</v>
      </c>
      <c r="AE48">
        <v>2.64</v>
      </c>
      <c r="AG48">
        <v>0</v>
      </c>
      <c r="AH48">
        <v>1.8</v>
      </c>
      <c r="AI48">
        <f>3*4</f>
        <v>12</v>
      </c>
      <c r="AK48">
        <v>0</v>
      </c>
      <c r="AL48">
        <v>0</v>
      </c>
      <c r="AM48">
        <f>3*4</f>
        <v>12</v>
      </c>
      <c r="AO48">
        <v>0</v>
      </c>
      <c r="AP48">
        <v>1.4</v>
      </c>
      <c r="AQ48">
        <f>3.7*4</f>
        <v>14.8</v>
      </c>
      <c r="AW48" s="87">
        <v>0.9</v>
      </c>
      <c r="AX48" s="87">
        <v>1.2</v>
      </c>
      <c r="AY48" s="87">
        <v>1.2</v>
      </c>
      <c r="BA48" s="119">
        <v>8.5710999999999995</v>
      </c>
      <c r="BB48" s="119">
        <v>2.8</v>
      </c>
    </row>
    <row r="49" spans="1:54" x14ac:dyDescent="0.25">
      <c r="A49">
        <v>0</v>
      </c>
      <c r="B49">
        <v>0</v>
      </c>
      <c r="C49">
        <v>6.5</v>
      </c>
      <c r="E49">
        <v>1.4</v>
      </c>
      <c r="F49">
        <v>1</v>
      </c>
      <c r="Y49" s="49">
        <f>0.15+0.01*3+0.007*('INFILTRATION LOAD'!D47-'INFILTRATION LOAD'!E47)</f>
        <v>0.2535</v>
      </c>
      <c r="Z49">
        <v>8.3137000000000008</v>
      </c>
      <c r="AB49" s="45">
        <v>25.372</v>
      </c>
      <c r="AD49">
        <f>0.15+3*0.01+0.007*('INFILTRATION LOAD'!D208-'INFILTRATION LOAD'!E208)</f>
        <v>0.26400000000000001</v>
      </c>
      <c r="AE49">
        <v>8.9650999999999996</v>
      </c>
      <c r="AG49">
        <v>0</v>
      </c>
      <c r="AH49">
        <v>0</v>
      </c>
      <c r="AI49">
        <f>2.22*4</f>
        <v>8.8800000000000008</v>
      </c>
      <c r="AK49">
        <v>0</v>
      </c>
      <c r="AL49">
        <v>1.2</v>
      </c>
      <c r="AM49">
        <f>2.9*4</f>
        <v>11.6</v>
      </c>
      <c r="AO49">
        <v>0</v>
      </c>
      <c r="AP49">
        <v>0</v>
      </c>
      <c r="AQ49">
        <f>1.35*4</f>
        <v>5.4</v>
      </c>
      <c r="AW49" s="87">
        <v>0.9</v>
      </c>
      <c r="AX49" s="87">
        <v>0.7</v>
      </c>
      <c r="AY49" s="87">
        <v>0.7</v>
      </c>
      <c r="BA49" s="119">
        <v>13.5984</v>
      </c>
      <c r="BB49" s="119">
        <v>2.8</v>
      </c>
    </row>
    <row r="50" spans="1:54" x14ac:dyDescent="0.25">
      <c r="A50">
        <v>0</v>
      </c>
      <c r="B50">
        <v>2.7</v>
      </c>
      <c r="C50">
        <v>3.1</v>
      </c>
      <c r="E50">
        <v>1.4</v>
      </c>
      <c r="F50">
        <v>1</v>
      </c>
      <c r="Y50" s="49">
        <f>0.15+0.01*3+0.007*('INFILTRATION LOAD'!D48-'INFILTRATION LOAD'!E48)</f>
        <v>0.2535</v>
      </c>
      <c r="Z50">
        <v>8.4375</v>
      </c>
      <c r="AB50" s="46">
        <v>2.6086999999999998</v>
      </c>
      <c r="AD50">
        <f>0.15+3*0.01+0.007*('INFILTRATION LOAD'!D209-'INFILTRATION LOAD'!E209)</f>
        <v>0.26400000000000001</v>
      </c>
      <c r="AE50">
        <v>13.751200000000001</v>
      </c>
      <c r="AG50">
        <v>1.4</v>
      </c>
      <c r="AH50">
        <v>0</v>
      </c>
      <c r="AI50">
        <f>3.03*4</f>
        <v>12.12</v>
      </c>
      <c r="AK50">
        <v>0</v>
      </c>
      <c r="AL50">
        <v>0</v>
      </c>
      <c r="AM50">
        <f>3.83*4</f>
        <v>15.32</v>
      </c>
      <c r="AO50">
        <v>0</v>
      </c>
      <c r="AP50">
        <v>2.4</v>
      </c>
      <c r="AQ50">
        <f>1.7*4</f>
        <v>6.8</v>
      </c>
      <c r="AW50" s="87">
        <v>0.9</v>
      </c>
      <c r="AX50" s="87">
        <v>0.9</v>
      </c>
      <c r="AY50" s="87">
        <v>1.2</v>
      </c>
      <c r="BA50" s="119">
        <v>17.0428</v>
      </c>
      <c r="BB50" s="119">
        <v>2.8</v>
      </c>
    </row>
    <row r="51" spans="1:54" x14ac:dyDescent="0.25">
      <c r="A51">
        <v>0</v>
      </c>
      <c r="B51">
        <v>1.4</v>
      </c>
      <c r="C51">
        <v>3.7</v>
      </c>
      <c r="E51">
        <v>3.35</v>
      </c>
      <c r="F51">
        <v>1</v>
      </c>
      <c r="Y51" s="49">
        <f>0.15+0.01*3+0.007*('INFILTRATION LOAD'!D49-'INFILTRATION LOAD'!E49)</f>
        <v>0.26400000000000001</v>
      </c>
      <c r="Z51">
        <v>13.606999999999999</v>
      </c>
      <c r="AB51" s="45">
        <v>25.48</v>
      </c>
      <c r="AD51">
        <f>0.15+3*0.01+0.007*('INFILTRATION LOAD'!D210-'INFILTRATION LOAD'!E210)</f>
        <v>0.2535</v>
      </c>
      <c r="AE51">
        <v>2.64</v>
      </c>
      <c r="AG51">
        <v>0</v>
      </c>
      <c r="AH51">
        <v>2</v>
      </c>
      <c r="AI51">
        <f>10*4</f>
        <v>40</v>
      </c>
      <c r="AK51">
        <v>0</v>
      </c>
      <c r="AL51">
        <v>1.4</v>
      </c>
      <c r="AM51">
        <f>3.7*4</f>
        <v>14.8</v>
      </c>
      <c r="AO51">
        <v>0</v>
      </c>
      <c r="AP51">
        <v>1.4</v>
      </c>
      <c r="AQ51">
        <f>3.7*4</f>
        <v>14.8</v>
      </c>
      <c r="AW51" s="87">
        <v>0.9</v>
      </c>
      <c r="AX51" s="87">
        <v>0.6</v>
      </c>
      <c r="AY51" s="87">
        <v>0.7</v>
      </c>
      <c r="BA51" s="119">
        <v>10.441700000000001</v>
      </c>
      <c r="BB51" s="119">
        <v>41.302100000000003</v>
      </c>
    </row>
    <row r="52" spans="1:54" x14ac:dyDescent="0.25">
      <c r="A52">
        <v>0</v>
      </c>
      <c r="B52">
        <v>1.4</v>
      </c>
      <c r="C52">
        <v>2.35</v>
      </c>
      <c r="E52">
        <v>2.4</v>
      </c>
      <c r="F52">
        <v>1</v>
      </c>
      <c r="Y52" s="49">
        <f>0.15+0.01*3+0.007*('INFILTRATION LOAD'!D50-'INFILTRATION LOAD'!E50)</f>
        <v>0.2535</v>
      </c>
      <c r="Z52">
        <v>17.259899999999998</v>
      </c>
      <c r="AB52" s="46">
        <v>2.6086999999999998</v>
      </c>
      <c r="AD52">
        <f>0.15+3*0.01+0.007*('INFILTRATION LOAD'!D211-'INFILTRATION LOAD'!E211)</f>
        <v>0.26400000000000001</v>
      </c>
      <c r="AE52">
        <v>13.751200000000001</v>
      </c>
      <c r="AG52">
        <v>1.2</v>
      </c>
      <c r="AH52">
        <v>2.4</v>
      </c>
      <c r="AI52">
        <f>8*4</f>
        <v>32</v>
      </c>
      <c r="AK52">
        <v>0</v>
      </c>
      <c r="AL52">
        <v>2.4</v>
      </c>
      <c r="AM52">
        <f>13.48*4</f>
        <v>53.92</v>
      </c>
      <c r="AO52">
        <v>0</v>
      </c>
      <c r="AP52">
        <v>0</v>
      </c>
      <c r="AQ52">
        <f>1.35*4</f>
        <v>5.4</v>
      </c>
      <c r="AW52" s="87">
        <v>0.6</v>
      </c>
      <c r="AX52" s="87">
        <v>1</v>
      </c>
      <c r="AY52" s="87">
        <v>1.2</v>
      </c>
      <c r="BA52" s="119">
        <v>11.591900000000001</v>
      </c>
      <c r="BB52" s="119">
        <v>46.974200000000003</v>
      </c>
    </row>
    <row r="53" spans="1:54" x14ac:dyDescent="0.25">
      <c r="A53">
        <v>0</v>
      </c>
      <c r="B53">
        <v>0</v>
      </c>
      <c r="C53">
        <v>3</v>
      </c>
      <c r="E53">
        <v>2.4</v>
      </c>
      <c r="F53">
        <v>1</v>
      </c>
      <c r="Y53" s="49">
        <f>0.15+0.01*3+0.007*('INFILTRATION LOAD'!D51-'INFILTRATION LOAD'!E51)</f>
        <v>0.26400000000000001</v>
      </c>
      <c r="Z53">
        <v>17.1267</v>
      </c>
      <c r="AB53" s="45">
        <v>13.751200000000001</v>
      </c>
      <c r="AD53">
        <f>0.15+3*0.01+0.007*('INFILTRATION LOAD'!D212-'INFILTRATION LOAD'!E212)</f>
        <v>0.2535</v>
      </c>
      <c r="AE53">
        <v>2.64</v>
      </c>
      <c r="AG53">
        <v>1.2</v>
      </c>
      <c r="AH53">
        <v>2.4</v>
      </c>
      <c r="AI53">
        <f>5.5*4</f>
        <v>22</v>
      </c>
      <c r="AK53">
        <v>0</v>
      </c>
      <c r="AL53">
        <v>0</v>
      </c>
      <c r="AM53">
        <f>1.35*4</f>
        <v>5.4</v>
      </c>
      <c r="AO53">
        <v>0.8</v>
      </c>
      <c r="AP53">
        <v>2.4</v>
      </c>
      <c r="AQ53">
        <f>3.75*4</f>
        <v>15</v>
      </c>
      <c r="AW53" s="87">
        <v>0.6</v>
      </c>
      <c r="AX53" s="114">
        <v>0.9</v>
      </c>
      <c r="AY53" s="87">
        <v>0.7</v>
      </c>
      <c r="BA53" s="119">
        <v>19.076899999999998</v>
      </c>
      <c r="BB53" s="125">
        <v>684.91673000000003</v>
      </c>
    </row>
    <row r="54" spans="1:54" x14ac:dyDescent="0.25">
      <c r="A54">
        <v>0</v>
      </c>
      <c r="B54">
        <v>1.4</v>
      </c>
      <c r="C54">
        <v>3</v>
      </c>
      <c r="E54">
        <v>2.4</v>
      </c>
      <c r="F54">
        <v>1</v>
      </c>
      <c r="Y54" s="49">
        <f>0.15+0.01*3+0.007*('INFILTRATION LOAD'!D52-'INFILTRATION LOAD'!E52)</f>
        <v>0.26400000000000001</v>
      </c>
      <c r="Z54">
        <v>8.5710999999999995</v>
      </c>
      <c r="AB54" s="46">
        <v>2.64</v>
      </c>
      <c r="AD54">
        <f>0.15+3*0.01+0.007*('INFILTRATION LOAD'!D213-'INFILTRATION LOAD'!E213)</f>
        <v>0.22549999999999998</v>
      </c>
      <c r="AE54">
        <v>23.482900000000001</v>
      </c>
      <c r="AG54">
        <v>1.2</v>
      </c>
      <c r="AH54">
        <v>2.4</v>
      </c>
      <c r="AI54">
        <f>8*4</f>
        <v>32</v>
      </c>
      <c r="AK54">
        <v>0</v>
      </c>
      <c r="AL54">
        <v>1.4</v>
      </c>
      <c r="AM54">
        <f>3.7*4</f>
        <v>14.8</v>
      </c>
      <c r="AO54">
        <v>0</v>
      </c>
      <c r="AP54">
        <v>0</v>
      </c>
      <c r="AQ54">
        <f>3.8*4</f>
        <v>15.2</v>
      </c>
      <c r="AW54" s="87">
        <v>0.9</v>
      </c>
      <c r="AX54" s="87">
        <v>1.6</v>
      </c>
      <c r="AY54" s="87">
        <v>1.2</v>
      </c>
      <c r="BA54" s="119">
        <v>34.215200000000003</v>
      </c>
    </row>
    <row r="55" spans="1:54" x14ac:dyDescent="0.25">
      <c r="A55">
        <v>0</v>
      </c>
      <c r="B55">
        <v>1.4</v>
      </c>
      <c r="C55">
        <v>3</v>
      </c>
      <c r="E55">
        <v>2.23</v>
      </c>
      <c r="F55">
        <v>1</v>
      </c>
      <c r="Y55" s="49">
        <f>0.15+0.01*3+0.007*('INFILTRATION LOAD'!D53-'INFILTRATION LOAD'!E53)</f>
        <v>0.26400000000000001</v>
      </c>
      <c r="Z55">
        <v>35.317700000000002</v>
      </c>
      <c r="AB55" s="45">
        <v>13.751200000000001</v>
      </c>
      <c r="AD55">
        <f>0.15+3*0.01+0.007*('INFILTRATION LOAD'!D214-'INFILTRATION LOAD'!E214)</f>
        <v>0.26400000000000001</v>
      </c>
      <c r="AE55">
        <v>10.757199999999999</v>
      </c>
      <c r="AG55">
        <v>1.2</v>
      </c>
      <c r="AH55">
        <v>2.4</v>
      </c>
      <c r="AI55">
        <f>3.14*4</f>
        <v>12.56</v>
      </c>
      <c r="AK55">
        <v>0</v>
      </c>
      <c r="AL55">
        <v>2.4</v>
      </c>
      <c r="AM55">
        <f>14.27*4</f>
        <v>57.08</v>
      </c>
      <c r="AO55">
        <v>0</v>
      </c>
      <c r="AP55">
        <v>2.4</v>
      </c>
      <c r="AQ55">
        <f>11.12*4</f>
        <v>44.48</v>
      </c>
      <c r="AW55" s="87">
        <v>1.2</v>
      </c>
      <c r="AX55" s="114">
        <v>0.9</v>
      </c>
      <c r="AY55" s="87">
        <v>0.7</v>
      </c>
      <c r="BA55" s="119">
        <v>2.5941000000000001</v>
      </c>
    </row>
    <row r="56" spans="1:54" x14ac:dyDescent="0.25">
      <c r="A56">
        <v>0</v>
      </c>
      <c r="B56">
        <v>1.4</v>
      </c>
      <c r="C56">
        <v>3</v>
      </c>
      <c r="E56">
        <v>0.6</v>
      </c>
      <c r="F56">
        <v>0.6</v>
      </c>
      <c r="Y56" s="49">
        <f>0.15+0.01*3+0.007*('INFILTRATION LOAD'!D54-'INFILTRATION LOAD'!E54)</f>
        <v>0.26400000000000001</v>
      </c>
      <c r="Z56">
        <v>13.5984</v>
      </c>
      <c r="AB56" s="46">
        <v>2.64</v>
      </c>
      <c r="AD56">
        <f>0.15+3*0.01+0.007*('INFILTRATION LOAD'!D215-'INFILTRATION LOAD'!E215)</f>
        <v>0.2535</v>
      </c>
      <c r="AE56">
        <v>2.64</v>
      </c>
      <c r="AG56" s="121">
        <v>0</v>
      </c>
      <c r="AH56" s="121">
        <v>0</v>
      </c>
      <c r="AI56" s="121">
        <f>4.8*4</f>
        <v>19.2</v>
      </c>
      <c r="AK56">
        <v>0</v>
      </c>
      <c r="AL56">
        <v>0</v>
      </c>
      <c r="AM56">
        <f>1.35*4</f>
        <v>5.4</v>
      </c>
      <c r="AO56">
        <v>0</v>
      </c>
      <c r="AP56">
        <v>1.4</v>
      </c>
      <c r="AQ56">
        <f>3.7*4</f>
        <v>14.8</v>
      </c>
      <c r="AW56" s="87">
        <v>1.2</v>
      </c>
      <c r="AX56" s="87">
        <v>0.7</v>
      </c>
      <c r="AY56" s="87">
        <v>1.2</v>
      </c>
      <c r="BA56" s="119">
        <v>1.9624999999999999</v>
      </c>
    </row>
    <row r="57" spans="1:54" x14ac:dyDescent="0.25">
      <c r="A57">
        <v>0</v>
      </c>
      <c r="B57">
        <v>1.4</v>
      </c>
      <c r="C57">
        <v>3</v>
      </c>
      <c r="E57">
        <v>2.4</v>
      </c>
      <c r="F57">
        <v>1</v>
      </c>
      <c r="Y57" s="49">
        <f>0.15+0.01*3+0.007*('INFILTRATION LOAD'!D55-'INFILTRATION LOAD'!E55)</f>
        <v>0.2535</v>
      </c>
      <c r="Z57">
        <v>17.0428</v>
      </c>
      <c r="AB57" s="45">
        <v>21.361599999999999</v>
      </c>
      <c r="AD57">
        <f>0.15+3*0.01+0.007*('INFILTRATION LOAD'!D216-'INFILTRATION LOAD'!E216)</f>
        <v>0.26400000000000001</v>
      </c>
      <c r="AE57">
        <v>11.315</v>
      </c>
      <c r="AG57">
        <v>1.2</v>
      </c>
      <c r="AH57">
        <v>1.6</v>
      </c>
      <c r="AI57">
        <f>4.8*4</f>
        <v>19.2</v>
      </c>
      <c r="AK57">
        <v>0</v>
      </c>
      <c r="AM57">
        <f>9.04*4</f>
        <v>36.159999999999997</v>
      </c>
      <c r="AO57">
        <v>0</v>
      </c>
      <c r="AP57">
        <v>0</v>
      </c>
      <c r="AQ57">
        <f>2.35*4</f>
        <v>9.4</v>
      </c>
      <c r="AW57" s="87">
        <v>0.9</v>
      </c>
      <c r="AX57" s="87">
        <v>1</v>
      </c>
      <c r="AY57" s="87">
        <v>0.7</v>
      </c>
      <c r="BA57" s="119">
        <v>5.7183999999999999</v>
      </c>
    </row>
    <row r="58" spans="1:54" x14ac:dyDescent="0.25">
      <c r="A58">
        <v>0</v>
      </c>
      <c r="B58">
        <v>3.35</v>
      </c>
      <c r="C58">
        <v>3.75</v>
      </c>
      <c r="E58">
        <v>1.2</v>
      </c>
      <c r="F58">
        <v>0.6</v>
      </c>
      <c r="Y58" s="49">
        <f>0.15+0.01*3+0.007*('INFILTRATION LOAD'!D56-'INFILTRATION LOAD'!E56)</f>
        <v>0.26400000000000001</v>
      </c>
      <c r="Z58">
        <v>10.441700000000001</v>
      </c>
      <c r="AB58" s="46">
        <v>1.6646000000000001</v>
      </c>
      <c r="AD58">
        <f>0.15+3*0.01+0.007*('INFILTRATION LOAD'!D217-'INFILTRATION LOAD'!E217)</f>
        <v>0.2535</v>
      </c>
      <c r="AE58">
        <v>2.64</v>
      </c>
      <c r="AG58">
        <v>1.2</v>
      </c>
      <c r="AH58">
        <v>1.6</v>
      </c>
      <c r="AI58">
        <f>5.36*4</f>
        <v>21.44</v>
      </c>
      <c r="AK58">
        <v>0</v>
      </c>
      <c r="AL58">
        <v>1.4</v>
      </c>
      <c r="AM58">
        <f>3.7*4</f>
        <v>14.8</v>
      </c>
      <c r="AO58">
        <v>0</v>
      </c>
      <c r="AP58">
        <v>0</v>
      </c>
      <c r="AQ58">
        <f>2.35*4</f>
        <v>9.4</v>
      </c>
      <c r="AW58" s="87">
        <v>1.2</v>
      </c>
      <c r="AX58" s="87">
        <v>1.6</v>
      </c>
      <c r="AY58" s="87">
        <v>1.2</v>
      </c>
      <c r="BA58" s="119">
        <v>9.2249999999999996</v>
      </c>
    </row>
    <row r="59" spans="1:54" x14ac:dyDescent="0.25">
      <c r="A59">
        <v>0</v>
      </c>
      <c r="B59">
        <v>0</v>
      </c>
      <c r="C59">
        <v>3</v>
      </c>
      <c r="E59">
        <v>1.2</v>
      </c>
      <c r="F59">
        <v>0.6</v>
      </c>
      <c r="Y59" s="49">
        <f>0.15+0.01*3+0.007*('INFILTRATION LOAD'!D57-'INFILTRATION LOAD'!E57)</f>
        <v>0.26400000000000001</v>
      </c>
      <c r="Z59">
        <v>11.591900000000001</v>
      </c>
      <c r="AB59" s="45">
        <v>31.438800000000001</v>
      </c>
      <c r="AD59">
        <f>0.15+3*0.01+0.007*('INFILTRATION LOAD'!D218-'INFILTRATION LOAD'!E218)</f>
        <v>0.26400000000000001</v>
      </c>
      <c r="AE59">
        <v>13.308299999999999</v>
      </c>
      <c r="AG59">
        <v>1.2</v>
      </c>
      <c r="AH59">
        <v>1.6</v>
      </c>
      <c r="AI59">
        <f>3*4</f>
        <v>12</v>
      </c>
      <c r="AK59">
        <v>0</v>
      </c>
      <c r="AL59">
        <v>1.6</v>
      </c>
      <c r="AM59">
        <f>12.15*4</f>
        <v>48.6</v>
      </c>
      <c r="AO59">
        <v>0</v>
      </c>
      <c r="AP59">
        <v>0</v>
      </c>
      <c r="AQ59">
        <f>1.35*4</f>
        <v>5.4</v>
      </c>
      <c r="AW59" s="114">
        <v>0.8</v>
      </c>
      <c r="AX59" s="87">
        <v>0.8</v>
      </c>
      <c r="AY59" s="87">
        <v>1.2</v>
      </c>
      <c r="BA59" s="119">
        <v>38.032499999999999</v>
      </c>
    </row>
    <row r="60" spans="1:54" x14ac:dyDescent="0.25">
      <c r="A60">
        <v>0</v>
      </c>
      <c r="B60">
        <v>2.4</v>
      </c>
      <c r="C60">
        <v>3.9</v>
      </c>
      <c r="Y60" s="49">
        <f>0.15+0.01*3+0.007*('INFILTRATION LOAD'!D58-'INFILTRATION LOAD'!E58)</f>
        <v>0.26400000000000001</v>
      </c>
      <c r="Z60">
        <v>19.076899999999998</v>
      </c>
      <c r="AB60" s="45">
        <v>34.986199999999997</v>
      </c>
      <c r="AD60">
        <f>0.15+3*0.01+0.007*('INFILTRATION LOAD'!D219-'INFILTRATION LOAD'!E219)</f>
        <v>0.22549999999999998</v>
      </c>
      <c r="AE60">
        <v>11.087199999999999</v>
      </c>
      <c r="AG60">
        <v>1.2</v>
      </c>
      <c r="AH60">
        <v>1.6</v>
      </c>
      <c r="AI60">
        <f>7.86*4</f>
        <v>31.44</v>
      </c>
      <c r="AK60">
        <v>0</v>
      </c>
      <c r="AL60">
        <v>0</v>
      </c>
      <c r="AM60">
        <f>1.35*4</f>
        <v>5.4</v>
      </c>
      <c r="AO60">
        <v>0</v>
      </c>
      <c r="AP60">
        <v>2.4</v>
      </c>
      <c r="AQ60">
        <f>6.79*4</f>
        <v>27.16</v>
      </c>
      <c r="AW60" s="120">
        <v>2</v>
      </c>
      <c r="AX60" s="87">
        <v>0.9</v>
      </c>
      <c r="AY60" s="87">
        <v>1.6</v>
      </c>
      <c r="BA60" s="119">
        <v>50.888100000000001</v>
      </c>
    </row>
    <row r="61" spans="1:54" x14ac:dyDescent="0.25">
      <c r="A61">
        <v>0</v>
      </c>
      <c r="B61">
        <v>2.4</v>
      </c>
      <c r="C61">
        <v>3.9</v>
      </c>
      <c r="E61">
        <v>3.35</v>
      </c>
      <c r="F61">
        <v>1</v>
      </c>
      <c r="Y61" s="49">
        <f>0.15+0.01*3+0.007*('INFILTRATION LOAD'!D59-'INFILTRATION LOAD'!E59)</f>
        <v>0.2535</v>
      </c>
      <c r="Z61" s="50">
        <v>2.5344000000000002</v>
      </c>
      <c r="AB61" s="45">
        <v>5.4111000000000002</v>
      </c>
      <c r="AD61">
        <f>0.15+3*0.01+0.007*('INFILTRATION LOAD'!D220-'INFILTRATION LOAD'!E220)</f>
        <v>0.22549999999999998</v>
      </c>
      <c r="AE61">
        <v>8.2750000000000004</v>
      </c>
      <c r="AG61">
        <v>1.2</v>
      </c>
      <c r="AH61">
        <v>1.6</v>
      </c>
      <c r="AI61">
        <f>7.86*4</f>
        <v>31.44</v>
      </c>
      <c r="AK61">
        <v>0</v>
      </c>
      <c r="AL61">
        <v>1.4</v>
      </c>
      <c r="AM61">
        <f>3.7*4</f>
        <v>14.8</v>
      </c>
      <c r="AO61">
        <v>0</v>
      </c>
      <c r="AP61">
        <v>1.4</v>
      </c>
      <c r="AQ61">
        <f>3.71*4</f>
        <v>14.84</v>
      </c>
      <c r="AW61" s="87">
        <v>1.2</v>
      </c>
      <c r="AX61" s="87">
        <v>1.6</v>
      </c>
      <c r="AY61" s="87">
        <v>1.6</v>
      </c>
      <c r="BA61" s="119">
        <v>27.005600000000001</v>
      </c>
    </row>
    <row r="62" spans="1:54" x14ac:dyDescent="0.25">
      <c r="A62">
        <v>0</v>
      </c>
      <c r="B62">
        <v>2.4</v>
      </c>
      <c r="C62" s="28">
        <v>3.2</v>
      </c>
      <c r="E62">
        <v>1.4</v>
      </c>
      <c r="F62">
        <v>1</v>
      </c>
      <c r="Y62" s="49">
        <f>0.15+0.01*3+0.007*('INFILTRATION LOAD'!D60-'INFILTRATION LOAD'!E60)</f>
        <v>0.2535</v>
      </c>
      <c r="Z62">
        <v>34.215200000000003</v>
      </c>
      <c r="AB62" s="45">
        <v>25.7486</v>
      </c>
      <c r="AD62">
        <f>0.15+3*0.01+0.007*('INFILTRATION LOAD'!D221-'INFILTRATION LOAD'!E221)</f>
        <v>0.26400000000000001</v>
      </c>
      <c r="AE62">
        <v>13.467499999999999</v>
      </c>
      <c r="AG62">
        <v>1.8</v>
      </c>
      <c r="AH62">
        <v>1.8</v>
      </c>
      <c r="AI62">
        <f>6.9*4</f>
        <v>27.6</v>
      </c>
      <c r="AK62">
        <v>0</v>
      </c>
      <c r="AL62">
        <v>2.4</v>
      </c>
      <c r="AM62">
        <f>14.62*4</f>
        <v>58.48</v>
      </c>
      <c r="AO62">
        <v>0</v>
      </c>
      <c r="AP62">
        <v>0</v>
      </c>
      <c r="AQ62">
        <f>1.36*4</f>
        <v>5.44</v>
      </c>
      <c r="AW62" s="87">
        <v>0.9</v>
      </c>
      <c r="AX62" s="87">
        <v>0.9</v>
      </c>
      <c r="AY62" s="87">
        <v>0.9</v>
      </c>
      <c r="BA62" s="119">
        <v>181.69919999999999</v>
      </c>
    </row>
    <row r="63" spans="1:54" x14ac:dyDescent="0.25">
      <c r="A63">
        <v>0</v>
      </c>
      <c r="B63">
        <v>2.23</v>
      </c>
      <c r="C63" s="28">
        <v>2.48</v>
      </c>
      <c r="E63">
        <v>1.4</v>
      </c>
      <c r="F63">
        <v>1</v>
      </c>
      <c r="Y63" s="49">
        <f>0.15+0.01*3+0.007*('INFILTRATION LOAD'!D61-'INFILTRATION LOAD'!E61)</f>
        <v>0.2535</v>
      </c>
      <c r="Z63">
        <v>2.5941000000000001</v>
      </c>
      <c r="AB63" s="46">
        <v>3.863</v>
      </c>
      <c r="AD63">
        <f>0.15+3*0.01+0.007*('INFILTRATION LOAD'!D222-'INFILTRATION LOAD'!E222)</f>
        <v>0.2535</v>
      </c>
      <c r="AE63">
        <v>183.94380000000001</v>
      </c>
      <c r="AG63">
        <v>1.95</v>
      </c>
      <c r="AH63">
        <v>1.8</v>
      </c>
      <c r="AI63">
        <f>1.95*2*4</f>
        <v>15.6</v>
      </c>
      <c r="AK63">
        <v>0</v>
      </c>
      <c r="AL63">
        <v>0</v>
      </c>
      <c r="AM63">
        <f>1.35*4</f>
        <v>5.4</v>
      </c>
      <c r="AO63">
        <v>0</v>
      </c>
      <c r="AP63">
        <v>2.4</v>
      </c>
      <c r="AQ63">
        <f>6.69*4</f>
        <v>26.76</v>
      </c>
      <c r="AX63" s="87">
        <v>0.7</v>
      </c>
      <c r="AY63" s="87">
        <v>0.9</v>
      </c>
    </row>
    <row r="64" spans="1:54" x14ac:dyDescent="0.25">
      <c r="A64">
        <v>0</v>
      </c>
      <c r="B64">
        <v>0.6</v>
      </c>
      <c r="C64" s="28">
        <v>1.88</v>
      </c>
      <c r="E64">
        <v>1.4</v>
      </c>
      <c r="F64">
        <v>1</v>
      </c>
      <c r="Y64" s="49">
        <f>0.15+0.01*3+0.007*('INFILTRATION LOAD'!D62-'INFILTRATION LOAD'!E62)</f>
        <v>0.2535</v>
      </c>
      <c r="Z64">
        <v>1.9624999999999999</v>
      </c>
      <c r="AB64" s="45">
        <v>16.799399999999999</v>
      </c>
      <c r="AD64">
        <f>0.15+3*0.01+0.007*('INFILTRATION LOAD'!D223-'INFILTRATION LOAD'!E223)</f>
        <v>0.22549999999999998</v>
      </c>
      <c r="AE64">
        <v>58.860100000000003</v>
      </c>
      <c r="AG64">
        <v>1.88</v>
      </c>
      <c r="AH64">
        <v>1.8</v>
      </c>
      <c r="AI64">
        <f>1.95*2*4</f>
        <v>15.6</v>
      </c>
      <c r="AK64">
        <v>0</v>
      </c>
      <c r="AL64">
        <v>2.4</v>
      </c>
      <c r="AM64">
        <f>1.7*4</f>
        <v>6.8</v>
      </c>
      <c r="AO64">
        <v>0</v>
      </c>
      <c r="AP64">
        <v>1.4</v>
      </c>
      <c r="AQ64">
        <f>3.69*4</f>
        <v>14.76</v>
      </c>
      <c r="AX64" s="87">
        <v>1</v>
      </c>
    </row>
    <row r="65" spans="1:50" x14ac:dyDescent="0.25">
      <c r="A65">
        <v>0</v>
      </c>
      <c r="B65">
        <v>0.6</v>
      </c>
      <c r="C65" s="28">
        <v>1.5</v>
      </c>
      <c r="E65">
        <v>1.4</v>
      </c>
      <c r="F65">
        <v>1</v>
      </c>
      <c r="Y65" s="49">
        <f>0.15+0.01*3+0.007*('INFILTRATION LOAD'!D63-'INFILTRATION LOAD'!E63)</f>
        <v>0.26400000000000001</v>
      </c>
      <c r="Z65">
        <v>5.7183999999999999</v>
      </c>
      <c r="AB65" s="45">
        <v>16.799900000000001</v>
      </c>
      <c r="AD65">
        <f>0.15+3*0.01+0.007*('INFILTRATION LOAD'!D224-'INFILTRATION LOAD'!E224)</f>
        <v>0.2535</v>
      </c>
      <c r="AE65">
        <v>17.4452</v>
      </c>
      <c r="AG65">
        <v>3</v>
      </c>
      <c r="AH65">
        <v>1.8</v>
      </c>
      <c r="AI65">
        <f>18*4</f>
        <v>72</v>
      </c>
      <c r="AK65">
        <v>0</v>
      </c>
      <c r="AL65">
        <v>1.4</v>
      </c>
      <c r="AM65">
        <f>3.7*4</f>
        <v>14.8</v>
      </c>
      <c r="AO65">
        <v>0</v>
      </c>
      <c r="AP65">
        <v>0</v>
      </c>
      <c r="AQ65">
        <f>1.34*4</f>
        <v>5.36</v>
      </c>
      <c r="AX65" s="87">
        <v>0.8</v>
      </c>
    </row>
    <row r="66" spans="1:50" x14ac:dyDescent="0.25">
      <c r="A66">
        <v>0</v>
      </c>
      <c r="B66">
        <v>2.4</v>
      </c>
      <c r="C66">
        <v>5.7</v>
      </c>
      <c r="E66">
        <v>1.4</v>
      </c>
      <c r="F66">
        <v>1</v>
      </c>
      <c r="Y66" s="49">
        <f>0.15+0.01*3+0.007*('INFILTRATION LOAD'!D64-'INFILTRATION LOAD'!E64)</f>
        <v>0.26400000000000001</v>
      </c>
      <c r="Z66">
        <v>9.2249999999999996</v>
      </c>
      <c r="AB66" s="45">
        <v>10.2258</v>
      </c>
      <c r="AD66">
        <f>0.15+3*0.01+0.007*('INFILTRATION LOAD'!D225-'INFILTRATION LOAD'!E225)</f>
        <v>0.2535</v>
      </c>
      <c r="AE66">
        <v>17.480599999999999</v>
      </c>
      <c r="AG66">
        <v>2.4</v>
      </c>
      <c r="AH66">
        <v>0</v>
      </c>
      <c r="AI66">
        <f>4.8*4</f>
        <v>19.2</v>
      </c>
      <c r="AK66">
        <v>0</v>
      </c>
      <c r="AL66">
        <v>0</v>
      </c>
      <c r="AM66">
        <f>1.35*4</f>
        <v>5.4</v>
      </c>
      <c r="AO66">
        <v>0</v>
      </c>
      <c r="AP66">
        <v>0</v>
      </c>
      <c r="AQ66">
        <f>(4.38+(1.19*2))*4</f>
        <v>27.04</v>
      </c>
      <c r="AX66" s="87">
        <v>0.9</v>
      </c>
    </row>
    <row r="67" spans="1:50" x14ac:dyDescent="0.25">
      <c r="A67">
        <v>0</v>
      </c>
      <c r="B67">
        <v>0</v>
      </c>
      <c r="C67">
        <v>4.8</v>
      </c>
      <c r="E67">
        <v>0.6</v>
      </c>
      <c r="F67">
        <v>0.6</v>
      </c>
      <c r="Y67" s="49">
        <f>0.15+0.01*3+0.007*('INFILTRATION LOAD'!D65-'INFILTRATION LOAD'!E65)</f>
        <v>0.2535</v>
      </c>
      <c r="Z67" s="50">
        <v>1.9450000000000001</v>
      </c>
      <c r="AB67" s="45">
        <v>19.000699999999998</v>
      </c>
      <c r="AD67">
        <f>0.15+3*0.01+0.007*('INFILTRATION LOAD'!D226-'INFILTRATION LOAD'!E226)</f>
        <v>0.26400000000000001</v>
      </c>
      <c r="AE67">
        <v>43.5914</v>
      </c>
      <c r="AG67">
        <v>0</v>
      </c>
      <c r="AH67">
        <v>0</v>
      </c>
      <c r="AI67">
        <f>3*4</f>
        <v>12</v>
      </c>
      <c r="AK67">
        <v>0</v>
      </c>
      <c r="AL67">
        <v>2.4</v>
      </c>
      <c r="AM67">
        <f>1.7*4</f>
        <v>6.8</v>
      </c>
      <c r="AO67">
        <v>0</v>
      </c>
      <c r="AP67">
        <v>0</v>
      </c>
      <c r="AQ67">
        <f>2.35*4</f>
        <v>9.4</v>
      </c>
      <c r="AX67" s="87">
        <v>0.8</v>
      </c>
    </row>
    <row r="68" spans="1:50" x14ac:dyDescent="0.25">
      <c r="A68">
        <v>0</v>
      </c>
      <c r="B68">
        <v>1.2</v>
      </c>
      <c r="C68">
        <v>3</v>
      </c>
      <c r="Y68" s="49">
        <f>0.15+0.01*3+0.007*('INFILTRATION LOAD'!D66-'INFILTRATION LOAD'!E66)</f>
        <v>0.2535</v>
      </c>
      <c r="Z68">
        <v>38.032499999999999</v>
      </c>
      <c r="AB68" s="45">
        <v>14.987500000000001</v>
      </c>
      <c r="AD68">
        <f>0.15+3*0.01+0.007*('INFILTRATION LOAD'!D227-'INFILTRATION LOAD'!E227)</f>
        <v>0.26400000000000001</v>
      </c>
      <c r="AE68">
        <v>10.900600000000001</v>
      </c>
      <c r="AG68">
        <v>2.4</v>
      </c>
      <c r="AH68">
        <v>1.8</v>
      </c>
      <c r="AI68">
        <f>4.8*4</f>
        <v>19.2</v>
      </c>
      <c r="AK68">
        <v>0</v>
      </c>
      <c r="AL68">
        <v>1.4</v>
      </c>
      <c r="AM68">
        <f>3.7*4</f>
        <v>14.8</v>
      </c>
      <c r="AO68">
        <v>0</v>
      </c>
      <c r="AP68">
        <v>2.4</v>
      </c>
      <c r="AQ68">
        <f>11.15*4</f>
        <v>44.6</v>
      </c>
      <c r="AX68" s="87">
        <v>0.9</v>
      </c>
    </row>
    <row r="69" spans="1:50" x14ac:dyDescent="0.25">
      <c r="A69">
        <v>0</v>
      </c>
      <c r="B69">
        <v>1.2</v>
      </c>
      <c r="C69">
        <v>3</v>
      </c>
      <c r="Y69" s="49">
        <f>0.15+0.01*3+0.007*('INFILTRATION LOAD'!D67-'INFILTRATION LOAD'!E67)</f>
        <v>0.2535</v>
      </c>
      <c r="Z69">
        <v>50.888100000000001</v>
      </c>
      <c r="AB69" s="46">
        <v>1.68</v>
      </c>
      <c r="AD69">
        <f>0.15+3*0.01+0.007*('INFILTRATION LOAD'!D228-'INFILTRATION LOAD'!E228)</f>
        <v>0.26400000000000001</v>
      </c>
      <c r="AE69">
        <v>10.783099999999999</v>
      </c>
      <c r="AG69">
        <v>0</v>
      </c>
      <c r="AH69">
        <v>0</v>
      </c>
      <c r="AI69">
        <f>3*4</f>
        <v>12</v>
      </c>
      <c r="AK69">
        <v>0</v>
      </c>
      <c r="AL69">
        <v>0</v>
      </c>
      <c r="AM69">
        <f>1.35*4</f>
        <v>5.4</v>
      </c>
      <c r="AO69">
        <v>0</v>
      </c>
      <c r="AP69">
        <v>1.4</v>
      </c>
      <c r="AQ69">
        <f>3.7*4</f>
        <v>14.8</v>
      </c>
      <c r="AX69" s="87">
        <v>0.6</v>
      </c>
    </row>
    <row r="70" spans="1:50" x14ac:dyDescent="0.25">
      <c r="A70">
        <v>0</v>
      </c>
      <c r="C70">
        <v>6</v>
      </c>
      <c r="Y70" s="49">
        <f>0.15+0.01*3+0.007*('INFILTRATION LOAD'!D68-'INFILTRATION LOAD'!E68)</f>
        <v>0.26400000000000001</v>
      </c>
      <c r="Z70">
        <v>27.005600000000001</v>
      </c>
      <c r="AB70" s="45">
        <v>21.6006</v>
      </c>
      <c r="AD70">
        <f>0.15+3*0.01+0.007*('INFILTRATION LOAD'!D229-'INFILTRATION LOAD'!E229)</f>
        <v>0.26400000000000001</v>
      </c>
      <c r="AE70">
        <v>9.4162999999999997</v>
      </c>
      <c r="AG70">
        <v>1.2</v>
      </c>
      <c r="AH70">
        <v>1.8</v>
      </c>
      <c r="AI70">
        <f>9*4</f>
        <v>36</v>
      </c>
      <c r="AK70">
        <v>0</v>
      </c>
      <c r="AL70">
        <v>2.4</v>
      </c>
      <c r="AM70">
        <f>1.7*4</f>
        <v>6.8</v>
      </c>
      <c r="AO70">
        <v>0</v>
      </c>
      <c r="AP70">
        <v>0</v>
      </c>
      <c r="AQ70">
        <f>2.35*4</f>
        <v>9.4</v>
      </c>
      <c r="AX70" s="87">
        <v>0.6</v>
      </c>
    </row>
    <row r="71" spans="1:50" x14ac:dyDescent="0.25">
      <c r="A71">
        <v>0</v>
      </c>
      <c r="B71">
        <v>0</v>
      </c>
      <c r="C71">
        <v>12</v>
      </c>
      <c r="Y71" s="49">
        <f>0.15+0.01*3+0.007*('INFILTRATION LOAD'!D69-'INFILTRATION LOAD'!E69)</f>
        <v>0.2535</v>
      </c>
      <c r="Z71" s="50">
        <v>2.5344000000000002</v>
      </c>
      <c r="AB71" s="45">
        <v>23.600300000000001</v>
      </c>
      <c r="AD71">
        <f>0.15+3*0.01+0.007*('INFILTRATION LOAD'!D230-'INFILTRATION LOAD'!E230)</f>
        <v>0.2535</v>
      </c>
      <c r="AE71">
        <v>26.995799999999999</v>
      </c>
      <c r="AG71">
        <v>1.2</v>
      </c>
      <c r="AH71">
        <v>1.8</v>
      </c>
      <c r="AI71">
        <f>9*4</f>
        <v>36</v>
      </c>
      <c r="AK71">
        <v>0</v>
      </c>
      <c r="AL71">
        <v>1.4</v>
      </c>
      <c r="AM71">
        <f>3.7*4</f>
        <v>14.8</v>
      </c>
      <c r="AO71">
        <v>0</v>
      </c>
      <c r="AP71">
        <v>0</v>
      </c>
      <c r="AQ71">
        <f>1.35*4</f>
        <v>5.4</v>
      </c>
      <c r="AX71" s="87">
        <v>0.6</v>
      </c>
    </row>
    <row r="72" spans="1:50" x14ac:dyDescent="0.25">
      <c r="A72">
        <v>0</v>
      </c>
      <c r="B72">
        <v>0</v>
      </c>
      <c r="C72">
        <v>15.4</v>
      </c>
      <c r="Y72" s="49">
        <f>0.15+0.01*3+0.007*('INFILTRATION LOAD'!D71-'INFILTRATION LOAD'!E71)</f>
        <v>0.2535</v>
      </c>
      <c r="Z72">
        <v>2.2799999999999998</v>
      </c>
      <c r="AB72" s="45">
        <v>35.042499999999997</v>
      </c>
      <c r="AD72">
        <f>0.15+3*0.01+0.007*('INFILTRATION LOAD'!D231-'INFILTRATION LOAD'!E231)</f>
        <v>0.2535</v>
      </c>
      <c r="AE72">
        <v>2.64</v>
      </c>
      <c r="AG72">
        <v>1.4</v>
      </c>
      <c r="AH72">
        <v>1.8</v>
      </c>
      <c r="AI72">
        <f>6.76*4</f>
        <v>27.04</v>
      </c>
      <c r="AK72">
        <v>0</v>
      </c>
      <c r="AL72">
        <v>0</v>
      </c>
      <c r="AM72">
        <f>1.35*4</f>
        <v>5.4</v>
      </c>
      <c r="AO72">
        <v>0</v>
      </c>
      <c r="AP72">
        <v>2.4</v>
      </c>
      <c r="AQ72">
        <f>6.69*4</f>
        <v>26.76</v>
      </c>
      <c r="AX72" s="114">
        <v>1.6</v>
      </c>
    </row>
    <row r="73" spans="1:50" x14ac:dyDescent="0.25">
      <c r="A73">
        <v>0</v>
      </c>
      <c r="B73">
        <v>0</v>
      </c>
      <c r="C73">
        <v>2.2200000000000002</v>
      </c>
      <c r="Y73" s="49">
        <f>0.15+0.01*3+0.007*('INFILTRATION LOAD'!D70-'INFILTRATION LOAD'!E70)</f>
        <v>0.2535</v>
      </c>
      <c r="Z73">
        <v>181.69919999999999</v>
      </c>
      <c r="AB73" s="45">
        <v>5.6912000000000003</v>
      </c>
      <c r="AD73">
        <f>0.15+3*0.01+0.007*('INFILTRATION LOAD'!D232-'INFILTRATION LOAD'!E232)</f>
        <v>0.22549999999999998</v>
      </c>
      <c r="AE73">
        <v>628.01829999999995</v>
      </c>
      <c r="AG73">
        <v>0</v>
      </c>
      <c r="AH73">
        <v>0</v>
      </c>
      <c r="AI73">
        <f>6.3*4</f>
        <v>25.2</v>
      </c>
      <c r="AK73">
        <v>0</v>
      </c>
      <c r="AL73">
        <v>2.4</v>
      </c>
      <c r="AM73">
        <f>1.7*4</f>
        <v>6.8</v>
      </c>
      <c r="AO73">
        <v>0</v>
      </c>
      <c r="AP73">
        <v>1.4</v>
      </c>
      <c r="AQ73">
        <f>3.7*4</f>
        <v>14.8</v>
      </c>
      <c r="AX73" s="114">
        <v>0.6</v>
      </c>
    </row>
    <row r="74" spans="1:50" x14ac:dyDescent="0.25">
      <c r="A74">
        <v>0</v>
      </c>
      <c r="B74">
        <v>3.33</v>
      </c>
      <c r="C74">
        <v>3.75</v>
      </c>
      <c r="AB74" s="45">
        <v>4.1337999999999999</v>
      </c>
      <c r="AG74">
        <v>0</v>
      </c>
      <c r="AH74">
        <v>1.8</v>
      </c>
      <c r="AI74">
        <f>3.4*4</f>
        <v>13.6</v>
      </c>
      <c r="AK74">
        <v>0</v>
      </c>
      <c r="AL74">
        <v>1.4</v>
      </c>
      <c r="AM74">
        <f>3.7*4</f>
        <v>14.8</v>
      </c>
      <c r="AO74">
        <v>0</v>
      </c>
      <c r="AP74">
        <v>0</v>
      </c>
      <c r="AQ74">
        <f>1.35*4</f>
        <v>5.4</v>
      </c>
    </row>
    <row r="75" spans="1:50" x14ac:dyDescent="0.25">
      <c r="A75">
        <v>0</v>
      </c>
      <c r="B75">
        <v>1.4</v>
      </c>
      <c r="C75">
        <v>3</v>
      </c>
      <c r="AB75" s="45">
        <v>12.91</v>
      </c>
      <c r="AG75">
        <v>0</v>
      </c>
      <c r="AH75">
        <v>1.8</v>
      </c>
      <c r="AI75">
        <f>6.85*4</f>
        <v>27.4</v>
      </c>
      <c r="AK75">
        <v>0</v>
      </c>
      <c r="AL75">
        <v>0</v>
      </c>
      <c r="AM75">
        <f>1.35*4</f>
        <v>5.4</v>
      </c>
      <c r="AO75">
        <v>0</v>
      </c>
      <c r="AP75">
        <v>2.4</v>
      </c>
      <c r="AQ75">
        <f>6.81*4</f>
        <v>27.24</v>
      </c>
    </row>
    <row r="76" spans="1:50" x14ac:dyDescent="0.25">
      <c r="A76">
        <v>0</v>
      </c>
      <c r="B76">
        <v>1.4</v>
      </c>
      <c r="C76">
        <v>3</v>
      </c>
      <c r="AB76" s="45">
        <v>7.4783999999999997</v>
      </c>
      <c r="AG76">
        <v>0</v>
      </c>
      <c r="AH76">
        <f>1.2*2</f>
        <v>2.4</v>
      </c>
      <c r="AI76">
        <f>11.6*4</f>
        <v>46.4</v>
      </c>
      <c r="AK76">
        <v>0</v>
      </c>
      <c r="AL76">
        <v>0</v>
      </c>
      <c r="AM76">
        <f>1.55*4</f>
        <v>6.2</v>
      </c>
      <c r="AO76">
        <v>0</v>
      </c>
      <c r="AP76">
        <v>1.4</v>
      </c>
      <c r="AQ76">
        <f>3.7*4</f>
        <v>14.8</v>
      </c>
    </row>
    <row r="77" spans="1:50" x14ac:dyDescent="0.25">
      <c r="A77">
        <v>0</v>
      </c>
      <c r="B77">
        <v>1.4</v>
      </c>
      <c r="C77">
        <v>3</v>
      </c>
      <c r="AB77" s="45">
        <v>17.520700000000001</v>
      </c>
      <c r="AG77">
        <v>0</v>
      </c>
      <c r="AH77">
        <v>1.8</v>
      </c>
      <c r="AI77">
        <f>3.4*4</f>
        <v>13.6</v>
      </c>
      <c r="AK77">
        <v>0</v>
      </c>
      <c r="AL77">
        <v>1.8</v>
      </c>
      <c r="AM77">
        <f>2.1*4</f>
        <v>8.4</v>
      </c>
      <c r="AO77">
        <v>0</v>
      </c>
      <c r="AP77">
        <v>0</v>
      </c>
      <c r="AQ77">
        <f>1.35*4</f>
        <v>5.4</v>
      </c>
    </row>
    <row r="78" spans="1:50" x14ac:dyDescent="0.25">
      <c r="A78">
        <v>0</v>
      </c>
      <c r="B78">
        <v>1.4</v>
      </c>
      <c r="C78">
        <v>3</v>
      </c>
      <c r="AB78" s="45">
        <v>2.8</v>
      </c>
      <c r="AG78">
        <v>0</v>
      </c>
      <c r="AH78">
        <v>4</v>
      </c>
      <c r="AI78">
        <f>7.03*4</f>
        <v>28.12</v>
      </c>
      <c r="AK78">
        <v>0</v>
      </c>
      <c r="AL78">
        <v>3.2</v>
      </c>
      <c r="AM78">
        <f>8.45*4</f>
        <v>33.799999999999997</v>
      </c>
      <c r="AO78">
        <v>0</v>
      </c>
      <c r="AP78">
        <v>2.4</v>
      </c>
      <c r="AQ78">
        <f>1.7*4</f>
        <v>6.8</v>
      </c>
    </row>
    <row r="79" spans="1:50" x14ac:dyDescent="0.25">
      <c r="A79">
        <v>0</v>
      </c>
      <c r="B79">
        <v>0</v>
      </c>
      <c r="C79">
        <v>2.2200000000000002</v>
      </c>
      <c r="AB79" s="45">
        <v>2.8</v>
      </c>
      <c r="AG79">
        <v>2.8</v>
      </c>
      <c r="AH79">
        <f>1.2*2</f>
        <v>2.4</v>
      </c>
      <c r="AI79">
        <f>8.45*4</f>
        <v>33.799999999999997</v>
      </c>
      <c r="AK79">
        <v>0</v>
      </c>
      <c r="AL79">
        <v>0</v>
      </c>
      <c r="AM79">
        <f>3*4</f>
        <v>12</v>
      </c>
      <c r="AO79">
        <v>0</v>
      </c>
      <c r="AP79">
        <v>1.4</v>
      </c>
      <c r="AQ79">
        <f>3.7*4</f>
        <v>14.8</v>
      </c>
    </row>
    <row r="80" spans="1:50" x14ac:dyDescent="0.25">
      <c r="A80">
        <v>0</v>
      </c>
      <c r="B80">
        <v>1.4</v>
      </c>
      <c r="C80">
        <v>3.7</v>
      </c>
      <c r="AB80" s="45">
        <v>2.8</v>
      </c>
      <c r="AG80">
        <v>0</v>
      </c>
      <c r="AH80">
        <v>6.6</v>
      </c>
      <c r="AI80">
        <f>26.26*4</f>
        <v>105.04</v>
      </c>
      <c r="AK80">
        <v>0.8</v>
      </c>
      <c r="AL80">
        <v>0</v>
      </c>
      <c r="AM80">
        <f>3*4</f>
        <v>12</v>
      </c>
      <c r="AO80">
        <v>0</v>
      </c>
      <c r="AP80">
        <v>0</v>
      </c>
      <c r="AQ80">
        <f>1.35*4</f>
        <v>5.4</v>
      </c>
    </row>
    <row r="81" spans="1:43" x14ac:dyDescent="0.25">
      <c r="A81">
        <v>0</v>
      </c>
      <c r="B81">
        <v>0.6</v>
      </c>
      <c r="C81">
        <v>2.35</v>
      </c>
      <c r="AB81" s="46">
        <v>41.302100000000003</v>
      </c>
      <c r="AG81">
        <v>0</v>
      </c>
      <c r="AH81">
        <v>0</v>
      </c>
      <c r="AI81">
        <f>3.03*4</f>
        <v>12.12</v>
      </c>
      <c r="AK81">
        <v>1.6</v>
      </c>
      <c r="AL81">
        <v>5.2</v>
      </c>
      <c r="AM81">
        <f>11.45*4</f>
        <v>45.8</v>
      </c>
      <c r="AO81">
        <v>0</v>
      </c>
      <c r="AP81">
        <v>2.4</v>
      </c>
      <c r="AQ81">
        <f>1.7*4</f>
        <v>6.8</v>
      </c>
    </row>
    <row r="82" spans="1:43" x14ac:dyDescent="0.25">
      <c r="A82">
        <f>2.5</f>
        <v>2.5</v>
      </c>
      <c r="B82">
        <v>0</v>
      </c>
      <c r="C82">
        <v>3.1</v>
      </c>
      <c r="AB82" s="45">
        <v>46.974200000000003</v>
      </c>
      <c r="AG82">
        <v>0</v>
      </c>
      <c r="AH82">
        <f>0.6*2</f>
        <v>1.2</v>
      </c>
      <c r="AI82">
        <f>1.83*4</f>
        <v>7.32</v>
      </c>
      <c r="AK82">
        <v>2.4</v>
      </c>
      <c r="AL82">
        <v>0</v>
      </c>
      <c r="AM82">
        <f>4.5*4</f>
        <v>18</v>
      </c>
      <c r="AO82">
        <v>0</v>
      </c>
      <c r="AP82">
        <v>1.4</v>
      </c>
      <c r="AQ82">
        <f>3.7*4</f>
        <v>14.8</v>
      </c>
    </row>
    <row r="83" spans="1:43" x14ac:dyDescent="0.25">
      <c r="AB83" s="46">
        <v>2.0901000000000001</v>
      </c>
      <c r="AG83">
        <v>0</v>
      </c>
      <c r="AH83">
        <v>1.2</v>
      </c>
      <c r="AI83">
        <f>4.49*4</f>
        <v>17.96</v>
      </c>
      <c r="AK83">
        <v>2.4</v>
      </c>
      <c r="AL83">
        <v>0</v>
      </c>
      <c r="AM83">
        <f>4.58*4</f>
        <v>18.32</v>
      </c>
      <c r="AO83">
        <v>0</v>
      </c>
      <c r="AP83">
        <v>0</v>
      </c>
      <c r="AQ83">
        <f>1.35*4</f>
        <v>5.4</v>
      </c>
    </row>
    <row r="84" spans="1:43" x14ac:dyDescent="0.25">
      <c r="AG84">
        <v>0</v>
      </c>
      <c r="AH84">
        <v>0</v>
      </c>
      <c r="AI84">
        <f>2*4</f>
        <v>8</v>
      </c>
      <c r="AK84">
        <v>0.8</v>
      </c>
      <c r="AL84">
        <v>1.6</v>
      </c>
      <c r="AM84">
        <f>2.85*4</f>
        <v>11.4</v>
      </c>
      <c r="AO84">
        <v>0</v>
      </c>
      <c r="AP84">
        <v>2.4</v>
      </c>
      <c r="AQ84">
        <f>1.7*4</f>
        <v>6.8</v>
      </c>
    </row>
    <row r="85" spans="1:43" x14ac:dyDescent="0.25">
      <c r="AG85">
        <v>0</v>
      </c>
      <c r="AH85">
        <v>0</v>
      </c>
      <c r="AI85">
        <f>3.23*4</f>
        <v>12.92</v>
      </c>
      <c r="AK85">
        <v>0</v>
      </c>
      <c r="AL85">
        <v>0</v>
      </c>
      <c r="AM85">
        <f>3.9*4</f>
        <v>15.6</v>
      </c>
      <c r="AO85">
        <v>0</v>
      </c>
      <c r="AP85">
        <v>1.4</v>
      </c>
      <c r="AQ85">
        <f>3.7*4</f>
        <v>14.8</v>
      </c>
    </row>
    <row r="86" spans="1:43" x14ac:dyDescent="0.25">
      <c r="AG86">
        <v>0</v>
      </c>
      <c r="AH86">
        <v>0</v>
      </c>
      <c r="AI86">
        <f>1.26*4</f>
        <v>5.04</v>
      </c>
      <c r="AK86">
        <v>0</v>
      </c>
      <c r="AL86">
        <v>0</v>
      </c>
      <c r="AM86">
        <f>12*4</f>
        <v>48</v>
      </c>
      <c r="AO86">
        <v>0</v>
      </c>
      <c r="AP86">
        <v>0</v>
      </c>
      <c r="AQ86">
        <f>1.35*4</f>
        <v>5.4</v>
      </c>
    </row>
    <row r="87" spans="1:43" x14ac:dyDescent="0.25">
      <c r="AG87">
        <v>0</v>
      </c>
      <c r="AH87">
        <v>0</v>
      </c>
      <c r="AI87">
        <f>1.7*4</f>
        <v>6.8</v>
      </c>
      <c r="AK87">
        <v>1.4</v>
      </c>
      <c r="AL87">
        <v>1.8</v>
      </c>
      <c r="AM87">
        <f>2.15*4</f>
        <v>8.6</v>
      </c>
      <c r="AO87">
        <v>0</v>
      </c>
      <c r="AP87">
        <v>2.4</v>
      </c>
      <c r="AQ87">
        <f>1.7*4</f>
        <v>6.8</v>
      </c>
    </row>
    <row r="88" spans="1:43" x14ac:dyDescent="0.25">
      <c r="AG88">
        <v>0</v>
      </c>
      <c r="AH88">
        <v>0</v>
      </c>
      <c r="AI88">
        <f>1.35*4</f>
        <v>5.4</v>
      </c>
      <c r="AK88">
        <v>1.4</v>
      </c>
      <c r="AL88">
        <v>1.8</v>
      </c>
      <c r="AM88">
        <f>13*4</f>
        <v>52</v>
      </c>
      <c r="AO88">
        <v>0</v>
      </c>
      <c r="AP88">
        <v>1.4</v>
      </c>
      <c r="AQ88">
        <f>3.7*4</f>
        <v>14.8</v>
      </c>
    </row>
    <row r="89" spans="1:43" x14ac:dyDescent="0.25">
      <c r="AG89">
        <v>0</v>
      </c>
      <c r="AH89">
        <v>1.6</v>
      </c>
      <c r="AI89">
        <f>1.63*4</f>
        <v>6.52</v>
      </c>
      <c r="AK89">
        <v>3.8</v>
      </c>
      <c r="AL89">
        <v>2</v>
      </c>
      <c r="AM89">
        <f>14.63*4</f>
        <v>58.52</v>
      </c>
      <c r="AO89">
        <v>0</v>
      </c>
      <c r="AP89">
        <v>0</v>
      </c>
      <c r="AQ89">
        <f>1.35*4</f>
        <v>5.4</v>
      </c>
    </row>
    <row r="90" spans="1:43" x14ac:dyDescent="0.25">
      <c r="AK90">
        <v>0</v>
      </c>
      <c r="AL90">
        <v>0.6</v>
      </c>
      <c r="AM90">
        <f>4.4*4</f>
        <v>17.600000000000001</v>
      </c>
      <c r="AO90">
        <v>0.8</v>
      </c>
      <c r="AP90">
        <v>2.4</v>
      </c>
      <c r="AQ90">
        <f>3.75*4</f>
        <v>15</v>
      </c>
    </row>
    <row r="91" spans="1:43" x14ac:dyDescent="0.25">
      <c r="AK91">
        <v>0</v>
      </c>
      <c r="AL91">
        <v>1.8</v>
      </c>
      <c r="AM91">
        <f>6.48*4</f>
        <v>25.92</v>
      </c>
      <c r="AO91">
        <v>0</v>
      </c>
      <c r="AP91">
        <v>3.2</v>
      </c>
      <c r="AQ91">
        <f>14*4</f>
        <v>56</v>
      </c>
    </row>
    <row r="92" spans="1:43" x14ac:dyDescent="0.25">
      <c r="AK92">
        <v>0</v>
      </c>
      <c r="AL92">
        <v>0</v>
      </c>
      <c r="AM92">
        <f>3*4</f>
        <v>12</v>
      </c>
      <c r="AO92">
        <v>0</v>
      </c>
      <c r="AP92">
        <v>3.2</v>
      </c>
      <c r="AQ92">
        <f>3*4</f>
        <v>12</v>
      </c>
    </row>
    <row r="93" spans="1:43" x14ac:dyDescent="0.25">
      <c r="AK93">
        <v>0</v>
      </c>
      <c r="AL93">
        <v>3.2</v>
      </c>
      <c r="AM93">
        <f>6.95*4</f>
        <v>27.8</v>
      </c>
      <c r="AO93">
        <v>0</v>
      </c>
      <c r="AP93">
        <v>0</v>
      </c>
      <c r="AQ93">
        <f>3*4</f>
        <v>12</v>
      </c>
    </row>
    <row r="94" spans="1:43" x14ac:dyDescent="0.25">
      <c r="AK94">
        <v>0</v>
      </c>
      <c r="AL94">
        <v>1.2</v>
      </c>
      <c r="AM94">
        <f>3.29*4</f>
        <v>13.16</v>
      </c>
      <c r="AO94">
        <v>0</v>
      </c>
      <c r="AP94">
        <v>0</v>
      </c>
      <c r="AQ94">
        <f>5.6*4</f>
        <v>22.4</v>
      </c>
    </row>
    <row r="95" spans="1:43" x14ac:dyDescent="0.25">
      <c r="AK95">
        <v>0</v>
      </c>
      <c r="AL95">
        <v>3.2</v>
      </c>
      <c r="AM95">
        <f>9.85*4</f>
        <v>39.4</v>
      </c>
      <c r="AO95">
        <v>0</v>
      </c>
      <c r="AP95">
        <v>1.8</v>
      </c>
      <c r="AQ95">
        <f>9.18*4</f>
        <v>36.72</v>
      </c>
    </row>
    <row r="96" spans="1:43" x14ac:dyDescent="0.25">
      <c r="AK96">
        <v>0</v>
      </c>
      <c r="AL96">
        <v>1.8</v>
      </c>
      <c r="AM96">
        <f>2.25*4</f>
        <v>9</v>
      </c>
      <c r="AO96">
        <v>0</v>
      </c>
      <c r="AP96">
        <v>1.8</v>
      </c>
      <c r="AQ96">
        <f>3.13*4</f>
        <v>12.52</v>
      </c>
    </row>
    <row r="97" spans="37:43" x14ac:dyDescent="0.25">
      <c r="AK97">
        <v>0</v>
      </c>
      <c r="AL97">
        <v>0</v>
      </c>
      <c r="AM97">
        <f>2.25*4</f>
        <v>9</v>
      </c>
      <c r="AO97">
        <v>0</v>
      </c>
      <c r="AP97">
        <f>2.5*2</f>
        <v>5</v>
      </c>
      <c r="AQ97">
        <f>21.4</f>
        <v>21.4</v>
      </c>
    </row>
    <row r="98" spans="37:43" x14ac:dyDescent="0.25">
      <c r="AK98">
        <v>0.8</v>
      </c>
      <c r="AL98">
        <v>0</v>
      </c>
      <c r="AM98">
        <f>2.88*4</f>
        <v>11.52</v>
      </c>
    </row>
    <row r="99" spans="37:43" x14ac:dyDescent="0.25">
      <c r="AK99">
        <v>0</v>
      </c>
      <c r="AL99">
        <v>2</v>
      </c>
      <c r="AM99">
        <f>2.25*4</f>
        <v>9</v>
      </c>
    </row>
    <row r="100" spans="37:43" x14ac:dyDescent="0.25">
      <c r="AK100">
        <v>0</v>
      </c>
      <c r="AL100">
        <v>1.4</v>
      </c>
      <c r="AM100">
        <f>4.55*4</f>
        <v>18.2</v>
      </c>
    </row>
    <row r="101" spans="37:43" x14ac:dyDescent="0.25">
      <c r="AK101">
        <v>0</v>
      </c>
      <c r="AL101">
        <v>1.6</v>
      </c>
      <c r="AM101">
        <f>2.88*4</f>
        <v>11.52</v>
      </c>
    </row>
    <row r="102" spans="37:43" x14ac:dyDescent="0.25">
      <c r="AK102">
        <v>0.8</v>
      </c>
      <c r="AL102">
        <v>1.8</v>
      </c>
      <c r="AM102">
        <f>6.28*4</f>
        <v>25.12</v>
      </c>
    </row>
    <row r="103" spans="37:43" x14ac:dyDescent="0.25">
      <c r="AK103">
        <v>0</v>
      </c>
      <c r="AL103">
        <v>1.2</v>
      </c>
      <c r="AM103">
        <f>1.55*4</f>
        <v>6.2</v>
      </c>
    </row>
    <row r="104" spans="37:43" x14ac:dyDescent="0.25">
      <c r="AK104">
        <v>0</v>
      </c>
      <c r="AL104">
        <v>1.2</v>
      </c>
      <c r="AM104">
        <f>1.55*4</f>
        <v>6.2</v>
      </c>
    </row>
    <row r="105" spans="37:43" x14ac:dyDescent="0.25">
      <c r="AK105">
        <v>0</v>
      </c>
      <c r="AL105">
        <v>1.2</v>
      </c>
      <c r="AM105">
        <f>6.05*4</f>
        <v>24.2</v>
      </c>
    </row>
    <row r="106" spans="37:43" x14ac:dyDescent="0.25">
      <c r="AK106">
        <v>0</v>
      </c>
      <c r="AL106">
        <v>3.4</v>
      </c>
      <c r="AM106">
        <f>16*4</f>
        <v>64</v>
      </c>
    </row>
  </sheetData>
  <autoFilter ref="A4:B36" xr:uid="{00000000-0009-0000-0000-00000A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8" priority="9" operator="equal">
      <formula>$T$1</formula>
    </cfRule>
  </conditionalFormatting>
  <conditionalFormatting sqref="AB4:AB83">
    <cfRule type="cellIs" dxfId="7" priority="8" operator="equal">
      <formula>$K$1</formula>
    </cfRule>
  </conditionalFormatting>
  <conditionalFormatting sqref="AG4:AI89">
    <cfRule type="cellIs" dxfId="6" priority="7" operator="equal">
      <formula>$M$4</formula>
    </cfRule>
  </conditionalFormatting>
  <conditionalFormatting sqref="AK4:AM106">
    <cfRule type="cellIs" dxfId="5" priority="6" operator="equal">
      <formula>$H$197</formula>
    </cfRule>
  </conditionalFormatting>
  <conditionalFormatting sqref="AO3:AQ3">
    <cfRule type="cellIs" dxfId="4" priority="5" operator="equal">
      <formula>$H$197</formula>
    </cfRule>
  </conditionalFormatting>
  <conditionalFormatting sqref="AO4:AQ97">
    <cfRule type="cellIs" dxfId="3" priority="4" operator="equal">
      <formula>$H$258</formula>
    </cfRule>
  </conditionalFormatting>
  <conditionalFormatting sqref="AW4:AW62">
    <cfRule type="cellIs" dxfId="2" priority="3" operator="equal">
      <formula>$J$1</formula>
    </cfRule>
  </conditionalFormatting>
  <conditionalFormatting sqref="AX4:AX73">
    <cfRule type="cellIs" dxfId="1" priority="2" operator="equal">
      <formula>$I$65</formula>
    </cfRule>
  </conditionalFormatting>
  <conditionalFormatting sqref="AY4:AY63">
    <cfRule type="cellIs" dxfId="0" priority="1" operator="equal">
      <formula>$J$180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00"/>
  <sheetViews>
    <sheetView topLeftCell="A175" workbookViewId="0">
      <selection activeCell="R8" sqref="R8:R9"/>
    </sheetView>
  </sheetViews>
  <sheetFormatPr defaultRowHeight="15" x14ac:dyDescent="0.25"/>
  <cols>
    <col min="1" max="1" width="33.28515625" customWidth="1"/>
    <col min="2" max="2" width="12.28515625" customWidth="1"/>
    <col min="10" max="11" width="9.28515625" customWidth="1"/>
  </cols>
  <sheetData>
    <row r="1" spans="1:20" ht="23.25" x14ac:dyDescent="0.25">
      <c r="A1" s="159" t="s">
        <v>11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20" ht="24" thickBot="1" x14ac:dyDescent="0.4">
      <c r="A2" s="158" t="s">
        <v>160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</row>
    <row r="3" spans="1:20" ht="15.75" thickBot="1" x14ac:dyDescent="0.3">
      <c r="A3" s="40" t="s">
        <v>0</v>
      </c>
      <c r="B3" s="41" t="s">
        <v>1</v>
      </c>
      <c r="C3" s="41" t="s">
        <v>2</v>
      </c>
      <c r="D3" s="41" t="s">
        <v>12</v>
      </c>
      <c r="E3" s="41" t="s">
        <v>7</v>
      </c>
      <c r="F3" s="41" t="s">
        <v>3</v>
      </c>
      <c r="G3" s="41" t="s">
        <v>13</v>
      </c>
      <c r="H3" s="41" t="s">
        <v>14</v>
      </c>
      <c r="I3" s="41" t="s">
        <v>15</v>
      </c>
      <c r="J3" s="41" t="s">
        <v>17</v>
      </c>
      <c r="K3" s="42" t="s">
        <v>16</v>
      </c>
      <c r="O3" s="160" t="s">
        <v>539</v>
      </c>
      <c r="P3" s="160"/>
      <c r="Q3" s="160"/>
      <c r="R3" s="160"/>
      <c r="S3" s="160"/>
      <c r="T3" s="160"/>
    </row>
    <row r="4" spans="1:20" ht="15.75" thickBot="1" x14ac:dyDescent="0.3">
      <c r="A4" s="8" t="s">
        <v>54</v>
      </c>
      <c r="B4" s="6" t="s">
        <v>46</v>
      </c>
      <c r="C4" s="6">
        <v>2.8721999999999999</v>
      </c>
      <c r="D4" s="6">
        <v>34.5</v>
      </c>
      <c r="E4" s="6">
        <v>22.5</v>
      </c>
      <c r="F4" s="6">
        <f>References!E5*References!F5</f>
        <v>2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602.80000000000007</v>
      </c>
      <c r="K4" s="15">
        <f>(C4*F4)*(D4-E4)</f>
        <v>68.9328</v>
      </c>
      <c r="O4" s="161"/>
      <c r="P4" s="161"/>
      <c r="Q4" s="161"/>
      <c r="R4" s="135" t="s">
        <v>541</v>
      </c>
      <c r="S4" s="135" t="s">
        <v>542</v>
      </c>
      <c r="T4" s="135" t="s">
        <v>430</v>
      </c>
    </row>
    <row r="5" spans="1:20" ht="15.75" thickBot="1" x14ac:dyDescent="0.3">
      <c r="A5" s="8" t="s">
        <v>55</v>
      </c>
      <c r="B5" s="6" t="s">
        <v>47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0">_xlfn.IFS(B5="E",685,B5="N",120,B5="W",685,B5="S",230)</f>
        <v>120</v>
      </c>
      <c r="H5" s="6">
        <f t="shared" ref="H5:H33" si="1">_xlfn.IFS(B5="E",0.8,B5="N",0.91,B5="W",0.82,B5="S",0.83)</f>
        <v>0.91</v>
      </c>
      <c r="I5" s="6">
        <v>0.55000000000000004</v>
      </c>
      <c r="J5" s="6">
        <f t="shared" ref="J5:J33" si="2">G5*H5*F5*I5</f>
        <v>72.072000000000003</v>
      </c>
      <c r="K5" s="15">
        <f t="shared" ref="K5:K33" si="3">(C5*F5)*(D5-E5)</f>
        <v>41.359679999999997</v>
      </c>
      <c r="O5" s="162" t="s">
        <v>160</v>
      </c>
      <c r="P5" s="162"/>
      <c r="Q5" s="162"/>
      <c r="R5" s="6">
        <f>J34</f>
        <v>13744.838250000003</v>
      </c>
      <c r="S5" s="7">
        <f>K34</f>
        <v>1882.16239</v>
      </c>
      <c r="T5" s="7">
        <f>R5+S5</f>
        <v>15627.000640000002</v>
      </c>
    </row>
    <row r="6" spans="1:20" ht="15.75" thickBot="1" x14ac:dyDescent="0.3">
      <c r="A6" s="8" t="s">
        <v>56</v>
      </c>
      <c r="B6" s="6" t="s">
        <v>47</v>
      </c>
      <c r="C6" s="6">
        <v>2.8721999999999999</v>
      </c>
      <c r="D6" s="6">
        <v>34.5</v>
      </c>
      <c r="E6" s="6">
        <v>24</v>
      </c>
      <c r="F6" s="6">
        <f>References!E7*References!F7</f>
        <v>0.36</v>
      </c>
      <c r="G6" s="6">
        <f t="shared" si="0"/>
        <v>120</v>
      </c>
      <c r="H6" s="6">
        <f t="shared" si="1"/>
        <v>0.91</v>
      </c>
      <c r="I6" s="6">
        <v>0.55000000000000004</v>
      </c>
      <c r="J6" s="6">
        <f t="shared" si="2"/>
        <v>21.621600000000001</v>
      </c>
      <c r="K6" s="15">
        <f t="shared" si="3"/>
        <v>10.856916</v>
      </c>
      <c r="O6" s="162" t="s">
        <v>41</v>
      </c>
      <c r="P6" s="162"/>
      <c r="Q6" s="162"/>
      <c r="R6" s="6">
        <f>J68</f>
        <v>12911.636650000004</v>
      </c>
      <c r="S6" s="7">
        <f>K68</f>
        <v>2185.8239429999999</v>
      </c>
      <c r="T6" s="7">
        <f>R6+S6</f>
        <v>15097.460593000003</v>
      </c>
    </row>
    <row r="7" spans="1:20" ht="15.75" thickBot="1" x14ac:dyDescent="0.3">
      <c r="A7" s="8" t="s">
        <v>101</v>
      </c>
      <c r="B7" s="6" t="s">
        <v>47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0"/>
        <v>120</v>
      </c>
      <c r="H7" s="6">
        <f t="shared" si="1"/>
        <v>0.91</v>
      </c>
      <c r="I7" s="6">
        <v>0.55000000000000004</v>
      </c>
      <c r="J7" s="6">
        <f t="shared" si="2"/>
        <v>43.243200000000002</v>
      </c>
      <c r="K7" s="15">
        <f t="shared" si="3"/>
        <v>21.713832</v>
      </c>
      <c r="O7" s="162" t="s">
        <v>59</v>
      </c>
      <c r="P7" s="162"/>
      <c r="Q7" s="162"/>
      <c r="R7" s="6">
        <f>J99</f>
        <v>11242.204599999995</v>
      </c>
      <c r="S7" s="7">
        <f>K99</f>
        <v>1551.101694</v>
      </c>
      <c r="T7" s="7">
        <f>R7+S7</f>
        <v>12793.306293999995</v>
      </c>
    </row>
    <row r="8" spans="1:20" ht="15.75" thickBot="1" x14ac:dyDescent="0.3">
      <c r="A8" s="8" t="s">
        <v>58</v>
      </c>
      <c r="B8" s="6" t="s">
        <v>47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0"/>
        <v>120</v>
      </c>
      <c r="H8" s="6">
        <f t="shared" si="1"/>
        <v>0.91</v>
      </c>
      <c r="I8" s="6">
        <v>0.55000000000000004</v>
      </c>
      <c r="J8" s="6">
        <f t="shared" si="2"/>
        <v>43.243200000000002</v>
      </c>
      <c r="K8" s="15">
        <f t="shared" si="3"/>
        <v>21.713832</v>
      </c>
      <c r="O8" s="163" t="s">
        <v>540</v>
      </c>
      <c r="P8" s="163"/>
      <c r="Q8" s="163"/>
      <c r="R8" s="167">
        <f>SUM(R5:R7)</f>
        <v>37898.679500000006</v>
      </c>
      <c r="S8" s="167">
        <f>SUM(S5:S7)</f>
        <v>5619.0880269999998</v>
      </c>
      <c r="T8" s="167">
        <f>T5+T6+T7</f>
        <v>43517.767527000004</v>
      </c>
    </row>
    <row r="9" spans="1:20" ht="15.75" thickBot="1" x14ac:dyDescent="0.3">
      <c r="A9" s="8" t="s">
        <v>102</v>
      </c>
      <c r="B9" s="6" t="s">
        <v>47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0"/>
        <v>120</v>
      </c>
      <c r="H9" s="6">
        <f t="shared" si="1"/>
        <v>0.91</v>
      </c>
      <c r="I9" s="6">
        <v>0.55000000000000004</v>
      </c>
      <c r="J9" s="6">
        <f t="shared" si="2"/>
        <v>96.096000000000018</v>
      </c>
      <c r="K9" s="15">
        <f t="shared" si="3"/>
        <v>56.422000000000004</v>
      </c>
      <c r="O9" s="163"/>
      <c r="P9" s="163"/>
      <c r="Q9" s="163"/>
      <c r="R9" s="168"/>
      <c r="S9" s="168"/>
      <c r="T9" s="168"/>
    </row>
    <row r="10" spans="1:20" ht="15.75" thickBot="1" x14ac:dyDescent="0.3">
      <c r="A10" s="8" t="s">
        <v>103</v>
      </c>
      <c r="B10" s="6" t="s">
        <v>47</v>
      </c>
      <c r="C10" s="6">
        <v>2.8721999999999999</v>
      </c>
      <c r="D10" s="6">
        <v>34.5</v>
      </c>
      <c r="E10" s="6">
        <v>22.5</v>
      </c>
      <c r="F10" s="6">
        <f>References!E11*References!F11</f>
        <v>2.2000000000000002</v>
      </c>
      <c r="G10" s="6">
        <f t="shared" si="0"/>
        <v>120</v>
      </c>
      <c r="H10" s="6">
        <f t="shared" si="1"/>
        <v>0.91</v>
      </c>
      <c r="I10" s="6">
        <v>0.55000000000000004</v>
      </c>
      <c r="J10" s="6">
        <f t="shared" si="2"/>
        <v>132.13200000000003</v>
      </c>
      <c r="K10" s="15">
        <f t="shared" si="3"/>
        <v>75.82607999999999</v>
      </c>
    </row>
    <row r="11" spans="1:20" ht="15.75" thickBot="1" x14ac:dyDescent="0.3">
      <c r="A11" s="8" t="s">
        <v>104</v>
      </c>
      <c r="B11" s="6" t="s">
        <v>47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0"/>
        <v>120</v>
      </c>
      <c r="H11" s="6">
        <f t="shared" si="1"/>
        <v>0.91</v>
      </c>
      <c r="I11" s="6">
        <v>0.55000000000000004</v>
      </c>
      <c r="J11" s="6">
        <f t="shared" si="2"/>
        <v>43.243200000000002</v>
      </c>
      <c r="K11" s="15">
        <f t="shared" si="3"/>
        <v>24.815808000000001</v>
      </c>
    </row>
    <row r="12" spans="1:20" ht="15.75" thickBot="1" x14ac:dyDescent="0.3">
      <c r="A12" s="8" t="s">
        <v>105</v>
      </c>
      <c r="B12" s="6" t="s">
        <v>48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0"/>
        <v>685</v>
      </c>
      <c r="H12" s="6">
        <f t="shared" si="1"/>
        <v>0.82</v>
      </c>
      <c r="I12" s="6">
        <v>0.55000000000000004</v>
      </c>
      <c r="J12" s="6">
        <f t="shared" si="2"/>
        <v>617.87</v>
      </c>
      <c r="K12" s="15">
        <f t="shared" si="3"/>
        <v>68.9328</v>
      </c>
    </row>
    <row r="13" spans="1:20" ht="15.75" thickBot="1" x14ac:dyDescent="0.3">
      <c r="A13" s="8" t="s">
        <v>64</v>
      </c>
      <c r="B13" s="6" t="s">
        <v>48</v>
      </c>
      <c r="C13" s="6">
        <v>2.8721999999999999</v>
      </c>
      <c r="D13" s="6">
        <v>34.5</v>
      </c>
      <c r="E13" s="6">
        <v>28</v>
      </c>
      <c r="F13" s="6">
        <f>References!E14*References!F14</f>
        <v>2.75</v>
      </c>
      <c r="G13" s="6">
        <f t="shared" si="0"/>
        <v>685</v>
      </c>
      <c r="H13" s="6">
        <f t="shared" si="1"/>
        <v>0.82</v>
      </c>
      <c r="I13" s="6">
        <v>0.55000000000000004</v>
      </c>
      <c r="J13" s="6">
        <f t="shared" si="2"/>
        <v>849.57124999999996</v>
      </c>
      <c r="K13" s="15">
        <f t="shared" ref="K13" si="4">(C13*F13)*(D13-E13)</f>
        <v>51.340574999999994</v>
      </c>
    </row>
    <row r="14" spans="1:20" ht="15.75" thickBot="1" x14ac:dyDescent="0.3">
      <c r="A14" s="8" t="s">
        <v>64</v>
      </c>
      <c r="B14" s="6" t="s">
        <v>48</v>
      </c>
      <c r="C14" s="6">
        <v>2.8210999999999999</v>
      </c>
      <c r="D14" s="6">
        <v>34.5</v>
      </c>
      <c r="E14" s="6">
        <v>28</v>
      </c>
      <c r="F14" s="6">
        <f>References!E15*References!F15</f>
        <v>9</v>
      </c>
      <c r="G14" s="6">
        <f t="shared" si="0"/>
        <v>685</v>
      </c>
      <c r="H14" s="6">
        <f t="shared" si="1"/>
        <v>0.82</v>
      </c>
      <c r="I14" s="6">
        <v>0.55000000000000004</v>
      </c>
      <c r="J14" s="6">
        <f t="shared" si="2"/>
        <v>2780.415</v>
      </c>
      <c r="K14" s="15">
        <f t="shared" si="3"/>
        <v>165.03435000000002</v>
      </c>
    </row>
    <row r="15" spans="1:20" ht="15.75" thickBot="1" x14ac:dyDescent="0.3">
      <c r="A15" s="8" t="s">
        <v>107</v>
      </c>
      <c r="B15" s="6" t="s">
        <v>47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0"/>
        <v>120</v>
      </c>
      <c r="H15" s="6">
        <f t="shared" si="1"/>
        <v>0.91</v>
      </c>
      <c r="I15" s="6">
        <v>0.55000000000000004</v>
      </c>
      <c r="J15" s="6">
        <f t="shared" si="2"/>
        <v>36.036000000000001</v>
      </c>
      <c r="K15" s="15">
        <f t="shared" si="3"/>
        <v>20.679839999999999</v>
      </c>
    </row>
    <row r="16" spans="1:20" ht="15.75" thickBot="1" x14ac:dyDescent="0.3">
      <c r="A16" s="8" t="s">
        <v>108</v>
      </c>
      <c r="B16" s="6" t="s">
        <v>48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0"/>
        <v>685</v>
      </c>
      <c r="H16" s="6">
        <f t="shared" si="1"/>
        <v>0.82</v>
      </c>
      <c r="I16" s="6">
        <v>0.55000000000000004</v>
      </c>
      <c r="J16" s="6">
        <f t="shared" si="2"/>
        <v>1297.527</v>
      </c>
      <c r="K16" s="15">
        <f t="shared" si="3"/>
        <v>144.75888</v>
      </c>
    </row>
    <row r="17" spans="1:11" ht="15.75" thickBot="1" x14ac:dyDescent="0.3">
      <c r="A17" s="8" t="s">
        <v>106</v>
      </c>
      <c r="B17" s="6" t="s">
        <v>48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0"/>
        <v>685</v>
      </c>
      <c r="H17" s="6">
        <f t="shared" si="1"/>
        <v>0.82</v>
      </c>
      <c r="I17" s="6">
        <v>0.55000000000000004</v>
      </c>
      <c r="J17" s="6">
        <f t="shared" si="2"/>
        <v>111.21659999999999</v>
      </c>
      <c r="K17" s="15">
        <f t="shared" si="3"/>
        <v>10.856916</v>
      </c>
    </row>
    <row r="18" spans="1:11" ht="15.75" thickBot="1" x14ac:dyDescent="0.3">
      <c r="A18" s="8" t="s">
        <v>109</v>
      </c>
      <c r="B18" s="6" t="s">
        <v>48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0"/>
        <v>685</v>
      </c>
      <c r="H18" s="6">
        <f t="shared" si="1"/>
        <v>0.82</v>
      </c>
      <c r="I18" s="6">
        <v>0.55000000000000004</v>
      </c>
      <c r="J18" s="6">
        <f t="shared" si="2"/>
        <v>185.36099999999996</v>
      </c>
      <c r="K18" s="15">
        <f t="shared" si="3"/>
        <v>20.679839999999999</v>
      </c>
    </row>
    <row r="19" spans="1:11" ht="15.75" thickBot="1" x14ac:dyDescent="0.3">
      <c r="A19" s="8" t="s">
        <v>110</v>
      </c>
      <c r="B19" s="6" t="s">
        <v>49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0"/>
        <v>230</v>
      </c>
      <c r="H19" s="6">
        <f t="shared" si="1"/>
        <v>0.83</v>
      </c>
      <c r="I19" s="6">
        <v>0.55000000000000004</v>
      </c>
      <c r="J19" s="6">
        <f t="shared" si="2"/>
        <v>167.99200000000002</v>
      </c>
      <c r="K19" s="15">
        <f t="shared" si="3"/>
        <v>55.146239999999992</v>
      </c>
    </row>
    <row r="20" spans="1:11" ht="15.75" thickBot="1" x14ac:dyDescent="0.3">
      <c r="A20" s="8" t="s">
        <v>111</v>
      </c>
      <c r="B20" s="6" t="s">
        <v>49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0"/>
        <v>230</v>
      </c>
      <c r="H20" s="6">
        <f t="shared" si="1"/>
        <v>0.83</v>
      </c>
      <c r="I20" s="6">
        <v>0.55000000000000004</v>
      </c>
      <c r="J20" s="6">
        <f t="shared" si="2"/>
        <v>37.798199999999994</v>
      </c>
      <c r="K20" s="15">
        <f t="shared" si="3"/>
        <v>10.856916</v>
      </c>
    </row>
    <row r="21" spans="1:11" ht="15.75" thickBot="1" x14ac:dyDescent="0.3">
      <c r="A21" s="8" t="s">
        <v>112</v>
      </c>
      <c r="B21" s="6" t="s">
        <v>48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0"/>
        <v>685</v>
      </c>
      <c r="H21" s="6">
        <f t="shared" si="1"/>
        <v>0.82</v>
      </c>
      <c r="I21" s="6">
        <v>0.55000000000000004</v>
      </c>
      <c r="J21" s="6">
        <f t="shared" si="2"/>
        <v>1297.527</v>
      </c>
      <c r="K21" s="15">
        <f t="shared" si="3"/>
        <v>126.66402000000001</v>
      </c>
    </row>
    <row r="22" spans="1:11" ht="15.75" thickBot="1" x14ac:dyDescent="0.3">
      <c r="A22" s="8" t="s">
        <v>113</v>
      </c>
      <c r="B22" s="6" t="s">
        <v>49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0"/>
        <v>230</v>
      </c>
      <c r="H22" s="6">
        <f t="shared" si="1"/>
        <v>0.83</v>
      </c>
      <c r="I22" s="6">
        <v>0.55000000000000004</v>
      </c>
      <c r="J22" s="6">
        <f t="shared" si="2"/>
        <v>881.95800000000008</v>
      </c>
      <c r="K22" s="15">
        <f t="shared" si="3"/>
        <v>253.32804000000002</v>
      </c>
    </row>
    <row r="23" spans="1:11" ht="15.75" thickBot="1" x14ac:dyDescent="0.3">
      <c r="A23" s="8" t="s">
        <v>114</v>
      </c>
      <c r="B23" s="6" t="s">
        <v>46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0"/>
        <v>685</v>
      </c>
      <c r="H23" s="6">
        <f t="shared" si="1"/>
        <v>0.8</v>
      </c>
      <c r="I23" s="6">
        <v>0.55000000000000004</v>
      </c>
      <c r="J23" s="6">
        <f t="shared" si="2"/>
        <v>421.96</v>
      </c>
      <c r="K23" s="15">
        <f t="shared" si="3"/>
        <v>42.221339999999998</v>
      </c>
    </row>
    <row r="24" spans="1:11" ht="15.75" thickBot="1" x14ac:dyDescent="0.3">
      <c r="A24" s="8" t="s">
        <v>115</v>
      </c>
      <c r="B24" s="6" t="s">
        <v>49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0"/>
        <v>230</v>
      </c>
      <c r="H24" s="6">
        <f t="shared" si="1"/>
        <v>0.83</v>
      </c>
      <c r="I24" s="6">
        <v>0.55000000000000004</v>
      </c>
      <c r="J24" s="6">
        <f t="shared" si="2"/>
        <v>251.98799999999997</v>
      </c>
      <c r="K24" s="15">
        <f t="shared" si="3"/>
        <v>82.719359999999995</v>
      </c>
    </row>
    <row r="25" spans="1:11" ht="15.75" thickBot="1" x14ac:dyDescent="0.3">
      <c r="A25" s="8" t="s">
        <v>116</v>
      </c>
      <c r="B25" s="6" t="s">
        <v>49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0"/>
        <v>230</v>
      </c>
      <c r="H25" s="6">
        <f t="shared" si="1"/>
        <v>0.83</v>
      </c>
      <c r="I25" s="6">
        <v>0.55000000000000004</v>
      </c>
      <c r="J25" s="6">
        <f t="shared" si="2"/>
        <v>293.98599999999993</v>
      </c>
      <c r="K25" s="15">
        <f t="shared" si="3"/>
        <v>96.505919999999989</v>
      </c>
    </row>
    <row r="26" spans="1:11" ht="15.75" thickBot="1" x14ac:dyDescent="0.3">
      <c r="A26" s="8" t="s">
        <v>117</v>
      </c>
      <c r="B26" s="6" t="s">
        <v>49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0"/>
        <v>230</v>
      </c>
      <c r="H26" s="6">
        <f t="shared" si="1"/>
        <v>0.83</v>
      </c>
      <c r="I26" s="6">
        <v>0.55000000000000004</v>
      </c>
      <c r="J26" s="6">
        <f t="shared" si="2"/>
        <v>188.99099999999999</v>
      </c>
      <c r="K26" s="15">
        <f t="shared" si="3"/>
        <v>54.284579999999998</v>
      </c>
    </row>
    <row r="27" spans="1:11" ht="15.75" thickBot="1" x14ac:dyDescent="0.3">
      <c r="A27" s="8" t="s">
        <v>118</v>
      </c>
      <c r="B27" s="6" t="s">
        <v>46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0"/>
        <v>685</v>
      </c>
      <c r="H27" s="6">
        <f t="shared" si="1"/>
        <v>0.8</v>
      </c>
      <c r="I27" s="6">
        <v>0.55000000000000004</v>
      </c>
      <c r="J27" s="6">
        <f t="shared" si="2"/>
        <v>723.36000000000013</v>
      </c>
      <c r="K27" s="15">
        <f t="shared" si="3"/>
        <v>72.379440000000002</v>
      </c>
    </row>
    <row r="28" spans="1:11" ht="15.75" thickBot="1" x14ac:dyDescent="0.3">
      <c r="A28" s="8" t="s">
        <v>50</v>
      </c>
      <c r="B28" s="6" t="s">
        <v>46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1"/>
        <v>0.8</v>
      </c>
      <c r="I28" s="6">
        <v>0.55000000000000004</v>
      </c>
      <c r="J28" s="6">
        <f t="shared" si="2"/>
        <v>521.42200000000003</v>
      </c>
      <c r="K28" s="15">
        <f t="shared" si="3"/>
        <v>52.173512999999993</v>
      </c>
    </row>
    <row r="29" spans="1:11" ht="15.75" thickBot="1" x14ac:dyDescent="0.3">
      <c r="A29" s="8" t="s">
        <v>36</v>
      </c>
      <c r="B29" s="6" t="s">
        <v>46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0"/>
        <v>685</v>
      </c>
      <c r="H29" s="6">
        <f t="shared" si="1"/>
        <v>0.8</v>
      </c>
      <c r="I29" s="6">
        <v>0.55000000000000004</v>
      </c>
      <c r="J29" s="6">
        <f>G29*H29*F29*I29</f>
        <v>602.80000000000007</v>
      </c>
      <c r="K29" s="15">
        <f t="shared" si="3"/>
        <v>68.9328</v>
      </c>
    </row>
    <row r="30" spans="1:11" ht="15.75" thickBot="1" x14ac:dyDescent="0.3">
      <c r="A30" s="8" t="s">
        <v>37</v>
      </c>
      <c r="B30" s="6" t="s">
        <v>46</v>
      </c>
      <c r="C30" s="6">
        <v>2.8721999999999999</v>
      </c>
      <c r="D30" s="6">
        <v>34.5</v>
      </c>
      <c r="E30" s="6">
        <v>24</v>
      </c>
      <c r="F30" s="6">
        <f>References!E31*References!F31</f>
        <v>0.36</v>
      </c>
      <c r="G30" s="6">
        <f t="shared" si="0"/>
        <v>685</v>
      </c>
      <c r="H30" s="6">
        <f t="shared" si="1"/>
        <v>0.8</v>
      </c>
      <c r="I30" s="6">
        <v>0.55000000000000004</v>
      </c>
      <c r="J30" s="6">
        <f t="shared" si="2"/>
        <v>108.504</v>
      </c>
      <c r="K30" s="15">
        <f t="shared" si="3"/>
        <v>10.856916</v>
      </c>
    </row>
    <row r="31" spans="1:11" ht="15.75" thickBot="1" x14ac:dyDescent="0.3">
      <c r="A31" s="8" t="s">
        <v>119</v>
      </c>
      <c r="B31" s="6" t="s">
        <v>46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0"/>
        <v>685</v>
      </c>
      <c r="H31" s="6">
        <f t="shared" si="1"/>
        <v>0.8</v>
      </c>
      <c r="I31" s="6">
        <v>0.55000000000000004</v>
      </c>
      <c r="J31" s="6">
        <f t="shared" si="2"/>
        <v>108.504</v>
      </c>
      <c r="K31" s="15">
        <f t="shared" si="3"/>
        <v>10.856916</v>
      </c>
    </row>
    <row r="32" spans="1:11" ht="15.75" thickBot="1" x14ac:dyDescent="0.3">
      <c r="A32" s="8" t="s">
        <v>120</v>
      </c>
      <c r="B32" s="6" t="s">
        <v>46</v>
      </c>
      <c r="C32" s="6">
        <v>2.8721999999999999</v>
      </c>
      <c r="D32" s="6">
        <v>34.5</v>
      </c>
      <c r="E32" s="6">
        <v>22</v>
      </c>
      <c r="F32" s="6">
        <f>References!E33*References!F33</f>
        <v>2.4</v>
      </c>
      <c r="G32" s="6">
        <f t="shared" si="0"/>
        <v>685</v>
      </c>
      <c r="H32" s="6">
        <f t="shared" si="1"/>
        <v>0.8</v>
      </c>
      <c r="I32" s="6">
        <v>0.55000000000000004</v>
      </c>
      <c r="J32" s="6">
        <f t="shared" si="2"/>
        <v>723.36000000000013</v>
      </c>
      <c r="K32" s="15">
        <f t="shared" si="3"/>
        <v>86.165999999999997</v>
      </c>
    </row>
    <row r="33" spans="1:11" ht="15.75" thickBot="1" x14ac:dyDescent="0.3">
      <c r="A33" s="23" t="s">
        <v>40</v>
      </c>
      <c r="B33" s="21" t="s">
        <v>46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0"/>
        <v>685</v>
      </c>
      <c r="H33" s="21">
        <f t="shared" si="1"/>
        <v>0.8</v>
      </c>
      <c r="I33" s="21">
        <v>0.55000000000000004</v>
      </c>
      <c r="J33" s="21">
        <f t="shared" si="2"/>
        <v>482.24000000000007</v>
      </c>
      <c r="K33" s="22">
        <f t="shared" si="3"/>
        <v>55.146239999999992</v>
      </c>
    </row>
    <row r="34" spans="1:11" ht="15.75" thickBot="1" x14ac:dyDescent="0.3">
      <c r="H34" s="164" t="s">
        <v>122</v>
      </c>
      <c r="I34" s="164"/>
      <c r="J34" s="43">
        <f>SUM(J4:J33)</f>
        <v>13744.838250000003</v>
      </c>
      <c r="K34" s="43">
        <f>SUM(K4:K33)</f>
        <v>1882.16239</v>
      </c>
    </row>
    <row r="35" spans="1:11" ht="15.75" thickBot="1" x14ac:dyDescent="0.3">
      <c r="H35" s="164" t="s">
        <v>166</v>
      </c>
      <c r="I35" s="164"/>
      <c r="J35" s="165">
        <f>J34+K34</f>
        <v>15627.000640000002</v>
      </c>
      <c r="K35" s="166"/>
    </row>
    <row r="36" spans="1:11" x14ac:dyDescent="0.25">
      <c r="H36" s="3"/>
      <c r="I36" s="3"/>
      <c r="J36" s="3"/>
      <c r="K36" s="3"/>
    </row>
    <row r="37" spans="1:11" ht="23.25" x14ac:dyDescent="0.35">
      <c r="A37" s="158" t="s">
        <v>41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</row>
    <row r="38" spans="1:11" ht="15.75" thickBot="1" x14ac:dyDescent="0.3">
      <c r="A38" s="25" t="s">
        <v>0</v>
      </c>
      <c r="B38" s="35" t="s">
        <v>1</v>
      </c>
      <c r="C38" s="35" t="s">
        <v>2</v>
      </c>
      <c r="D38" s="35" t="s">
        <v>12</v>
      </c>
      <c r="E38" s="35" t="s">
        <v>7</v>
      </c>
      <c r="F38" s="35" t="s">
        <v>3</v>
      </c>
      <c r="G38" s="35" t="s">
        <v>13</v>
      </c>
      <c r="H38" s="35" t="s">
        <v>14</v>
      </c>
      <c r="I38" s="35" t="s">
        <v>15</v>
      </c>
      <c r="J38" s="35" t="s">
        <v>17</v>
      </c>
      <c r="K38" s="24" t="s">
        <v>16</v>
      </c>
    </row>
    <row r="39" spans="1:11" ht="15.75" thickBot="1" x14ac:dyDescent="0.3">
      <c r="A39" s="8" t="s">
        <v>60</v>
      </c>
      <c r="B39" s="6" t="s">
        <v>47</v>
      </c>
      <c r="C39" s="6">
        <v>2.8721999999999999</v>
      </c>
      <c r="D39" s="6">
        <v>34.5</v>
      </c>
      <c r="E39" s="6">
        <v>22.5</v>
      </c>
      <c r="F39" s="6">
        <v>4.62</v>
      </c>
      <c r="G39" s="6">
        <f>_xlfn.IFS(B39="N",120,B39="E",685,B39="S",230,B39="W",685)</f>
        <v>120</v>
      </c>
      <c r="H39" s="6">
        <f>_xlfn.IFS(B39="N",0.91,B39="E",0.8,B39="S",0.83,B39="W",0.82)</f>
        <v>0.91</v>
      </c>
      <c r="I39" s="6">
        <v>0.55000000000000004</v>
      </c>
      <c r="J39" s="6">
        <f>I39*H39*G39*F39</f>
        <v>277.47720000000004</v>
      </c>
      <c r="K39" s="15">
        <f>(C39*F39)*(D39-E39)</f>
        <v>159.23476799999997</v>
      </c>
    </row>
    <row r="40" spans="1:11" ht="15.75" thickBot="1" x14ac:dyDescent="0.3">
      <c r="A40" s="8" t="s">
        <v>60</v>
      </c>
      <c r="B40" s="6" t="s">
        <v>47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 t="shared" ref="H40:H67" si="5">_xlfn.IFS(B40="N",0.91,B40="E",0.8,B40="S",0.83,B40="W",0.82)</f>
        <v>0.91</v>
      </c>
      <c r="I40" s="6">
        <v>0.55000000000000004</v>
      </c>
      <c r="J40" s="6">
        <f t="shared" ref="J40:J67" si="6">I40*H40*G40*F40</f>
        <v>277.47720000000004</v>
      </c>
      <c r="K40" s="15">
        <f t="shared" ref="K40:K67" si="7">(C40*F40)*(D40-E40)</f>
        <v>159.23476799999997</v>
      </c>
    </row>
    <row r="41" spans="1:11" ht="15.75" thickBot="1" x14ac:dyDescent="0.3">
      <c r="A41" s="8" t="s">
        <v>60</v>
      </c>
      <c r="B41" s="6" t="s">
        <v>47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 t="shared" ref="G41:G67" si="8">_xlfn.IFS(B41="N",120,B41="E",685,B41="S",230,B41="W",685)</f>
        <v>120</v>
      </c>
      <c r="H41" s="6">
        <f t="shared" si="5"/>
        <v>0.91</v>
      </c>
      <c r="I41" s="6">
        <v>0.55000000000000004</v>
      </c>
      <c r="J41" s="6">
        <f t="shared" si="6"/>
        <v>277.47720000000004</v>
      </c>
      <c r="K41" s="15">
        <f t="shared" si="7"/>
        <v>159.23476799999997</v>
      </c>
    </row>
    <row r="42" spans="1:11" ht="15.75" thickBot="1" x14ac:dyDescent="0.3">
      <c r="A42" s="8" t="s">
        <v>60</v>
      </c>
      <c r="B42" s="6" t="s">
        <v>47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si="8"/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7"/>
        <v>159.23476799999997</v>
      </c>
    </row>
    <row r="43" spans="1:11" ht="15.75" thickBot="1" x14ac:dyDescent="0.3">
      <c r="A43" s="8" t="s">
        <v>64</v>
      </c>
      <c r="B43" s="6" t="s">
        <v>48</v>
      </c>
      <c r="C43" s="6">
        <v>2.8210999999999999</v>
      </c>
      <c r="D43" s="6">
        <v>34.5</v>
      </c>
      <c r="E43" s="6">
        <v>28</v>
      </c>
      <c r="F43" s="6">
        <v>2.7</v>
      </c>
      <c r="G43" s="6">
        <f t="shared" si="8"/>
        <v>685</v>
      </c>
      <c r="H43" s="6">
        <f t="shared" si="5"/>
        <v>0.82</v>
      </c>
      <c r="I43" s="6">
        <v>0.55000000000000004</v>
      </c>
      <c r="J43" s="6">
        <f t="shared" si="6"/>
        <v>834.12450000000001</v>
      </c>
      <c r="K43" s="15">
        <f t="shared" si="7"/>
        <v>49.510305000000002</v>
      </c>
    </row>
    <row r="44" spans="1:11" ht="15.75" thickBot="1" x14ac:dyDescent="0.3">
      <c r="A44" s="8" t="s">
        <v>66</v>
      </c>
      <c r="B44" s="6" t="s">
        <v>48</v>
      </c>
      <c r="C44" s="6">
        <v>2.8721999999999999</v>
      </c>
      <c r="D44" s="6">
        <v>34.5</v>
      </c>
      <c r="E44" s="6">
        <v>22.5</v>
      </c>
      <c r="F44" s="6">
        <v>1.4</v>
      </c>
      <c r="G44" s="6">
        <f t="shared" si="8"/>
        <v>685</v>
      </c>
      <c r="H44" s="6">
        <f t="shared" si="5"/>
        <v>0.82</v>
      </c>
      <c r="I44" s="6">
        <v>0.55000000000000004</v>
      </c>
      <c r="J44" s="6">
        <f t="shared" si="6"/>
        <v>432.50899999999996</v>
      </c>
      <c r="K44" s="15">
        <f t="shared" si="7"/>
        <v>48.252959999999995</v>
      </c>
    </row>
    <row r="45" spans="1:11" ht="15.75" thickBot="1" x14ac:dyDescent="0.3">
      <c r="A45" s="8" t="s">
        <v>88</v>
      </c>
      <c r="B45" s="6" t="s">
        <v>48</v>
      </c>
      <c r="C45" s="6">
        <v>2.8721999999999999</v>
      </c>
      <c r="D45" s="6">
        <v>34.5</v>
      </c>
      <c r="E45" s="6">
        <v>24</v>
      </c>
      <c r="F45" s="6">
        <v>0.36</v>
      </c>
      <c r="G45" s="6">
        <f t="shared" si="8"/>
        <v>685</v>
      </c>
      <c r="H45" s="6">
        <f t="shared" si="5"/>
        <v>0.82</v>
      </c>
      <c r="I45" s="6">
        <v>0.55000000000000004</v>
      </c>
      <c r="J45" s="6">
        <f t="shared" si="6"/>
        <v>111.2166</v>
      </c>
      <c r="K45" s="15">
        <f t="shared" si="7"/>
        <v>10.856916</v>
      </c>
    </row>
    <row r="46" spans="1:11" ht="15.75" thickBot="1" x14ac:dyDescent="0.3">
      <c r="A46" s="8" t="s">
        <v>70</v>
      </c>
      <c r="B46" s="6" t="s">
        <v>48</v>
      </c>
      <c r="C46" s="6">
        <v>2.8721999999999999</v>
      </c>
      <c r="D46" s="6">
        <v>34.5</v>
      </c>
      <c r="E46" s="6">
        <v>22.5</v>
      </c>
      <c r="F46" s="6">
        <v>3</v>
      </c>
      <c r="G46" s="6">
        <f t="shared" si="8"/>
        <v>685</v>
      </c>
      <c r="H46" s="6">
        <f t="shared" si="5"/>
        <v>0.82</v>
      </c>
      <c r="I46" s="6">
        <v>0.55000000000000004</v>
      </c>
      <c r="J46" s="6">
        <f t="shared" si="6"/>
        <v>926.80500000000006</v>
      </c>
      <c r="K46" s="15">
        <f t="shared" si="7"/>
        <v>103.39920000000001</v>
      </c>
    </row>
    <row r="47" spans="1:11" ht="15.75" thickBot="1" x14ac:dyDescent="0.3">
      <c r="A47" s="8" t="s">
        <v>70</v>
      </c>
      <c r="B47" s="6" t="s">
        <v>48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8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7"/>
        <v>103.39920000000001</v>
      </c>
    </row>
    <row r="48" spans="1:11" ht="15.75" thickBot="1" x14ac:dyDescent="0.3">
      <c r="A48" s="8" t="s">
        <v>70</v>
      </c>
      <c r="B48" s="6" t="s">
        <v>48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8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7"/>
        <v>103.39920000000001</v>
      </c>
    </row>
    <row r="49" spans="1:11" ht="15.75" thickBot="1" x14ac:dyDescent="0.3">
      <c r="A49" s="8" t="s">
        <v>70</v>
      </c>
      <c r="B49" s="6" t="s">
        <v>48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8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7"/>
        <v>103.39920000000001</v>
      </c>
    </row>
    <row r="50" spans="1:11" ht="15.75" thickBot="1" x14ac:dyDescent="0.3">
      <c r="A50" s="8" t="s">
        <v>127</v>
      </c>
      <c r="B50" s="6" t="s">
        <v>48</v>
      </c>
      <c r="C50" s="6">
        <v>2.8721999999999999</v>
      </c>
      <c r="D50" s="6">
        <v>34.5</v>
      </c>
      <c r="E50" s="6">
        <v>22.5</v>
      </c>
      <c r="F50" s="6">
        <v>1.95</v>
      </c>
      <c r="G50" s="6">
        <f t="shared" si="8"/>
        <v>685</v>
      </c>
      <c r="H50" s="6">
        <f t="shared" si="5"/>
        <v>0.82</v>
      </c>
      <c r="I50" s="6">
        <v>0.55000000000000004</v>
      </c>
      <c r="J50" s="6">
        <f t="shared" si="6"/>
        <v>602.42324999999994</v>
      </c>
      <c r="K50" s="15">
        <f t="shared" si="7"/>
        <v>67.209479999999999</v>
      </c>
    </row>
    <row r="51" spans="1:11" ht="15.75" thickBot="1" x14ac:dyDescent="0.3">
      <c r="A51" s="8" t="s">
        <v>128</v>
      </c>
      <c r="B51" s="6" t="s">
        <v>48</v>
      </c>
      <c r="C51" s="6">
        <v>2.8721999999999999</v>
      </c>
      <c r="D51" s="6">
        <v>34.5</v>
      </c>
      <c r="E51" s="6">
        <v>24</v>
      </c>
      <c r="F51" s="6">
        <v>5.0199999999999996</v>
      </c>
      <c r="G51" s="6">
        <f t="shared" si="8"/>
        <v>685</v>
      </c>
      <c r="H51" s="6">
        <f t="shared" si="5"/>
        <v>0.82</v>
      </c>
      <c r="I51" s="6">
        <v>0.55000000000000004</v>
      </c>
      <c r="J51" s="6">
        <f t="shared" si="6"/>
        <v>1550.8536999999999</v>
      </c>
      <c r="K51" s="15">
        <f t="shared" si="7"/>
        <v>151.39366199999998</v>
      </c>
    </row>
    <row r="52" spans="1:11" ht="15.75" thickBot="1" x14ac:dyDescent="0.3">
      <c r="A52" s="8" t="s">
        <v>129</v>
      </c>
      <c r="B52" s="6" t="s">
        <v>49</v>
      </c>
      <c r="C52" s="6">
        <v>2.8721999999999999</v>
      </c>
      <c r="D52" s="6">
        <v>34.5</v>
      </c>
      <c r="E52" s="6">
        <v>22.5</v>
      </c>
      <c r="F52" s="6">
        <v>2.4</v>
      </c>
      <c r="G52" s="6">
        <f t="shared" si="8"/>
        <v>230</v>
      </c>
      <c r="H52" s="6">
        <f t="shared" si="5"/>
        <v>0.83</v>
      </c>
      <c r="I52" s="6">
        <v>0.55000000000000004</v>
      </c>
      <c r="J52" s="6">
        <f t="shared" si="6"/>
        <v>251.988</v>
      </c>
      <c r="K52" s="15">
        <f t="shared" si="7"/>
        <v>82.719359999999995</v>
      </c>
    </row>
    <row r="53" spans="1:11" ht="15.75" thickBot="1" x14ac:dyDescent="0.3">
      <c r="A53" s="8" t="s">
        <v>155</v>
      </c>
      <c r="B53" s="6" t="s">
        <v>49</v>
      </c>
      <c r="C53" s="6">
        <v>2.8721999999999999</v>
      </c>
      <c r="D53" s="6">
        <v>34.5</v>
      </c>
      <c r="E53" s="6">
        <v>24</v>
      </c>
      <c r="F53" s="6">
        <v>0.36</v>
      </c>
      <c r="G53" s="6">
        <f t="shared" si="8"/>
        <v>230</v>
      </c>
      <c r="H53" s="6">
        <f t="shared" si="5"/>
        <v>0.83</v>
      </c>
      <c r="I53" s="6">
        <v>0.55000000000000004</v>
      </c>
      <c r="J53" s="6">
        <f t="shared" si="6"/>
        <v>37.798200000000001</v>
      </c>
      <c r="K53" s="15">
        <f t="shared" si="7"/>
        <v>10.856916</v>
      </c>
    </row>
    <row r="54" spans="1:11" ht="15.75" thickBot="1" x14ac:dyDescent="0.3">
      <c r="A54" s="8" t="s">
        <v>131</v>
      </c>
      <c r="B54" s="6" t="s">
        <v>49</v>
      </c>
      <c r="C54" s="6">
        <v>2.8721999999999999</v>
      </c>
      <c r="D54" s="6">
        <v>34.5</v>
      </c>
      <c r="E54" s="6">
        <v>22.5</v>
      </c>
      <c r="F54" s="6">
        <v>2.8</v>
      </c>
      <c r="G54" s="6">
        <f t="shared" si="8"/>
        <v>230</v>
      </c>
      <c r="H54" s="6">
        <f t="shared" si="5"/>
        <v>0.83</v>
      </c>
      <c r="I54" s="6">
        <v>0.55000000000000004</v>
      </c>
      <c r="J54" s="6">
        <f t="shared" si="6"/>
        <v>293.98599999999999</v>
      </c>
      <c r="K54" s="15">
        <f t="shared" si="7"/>
        <v>96.505919999999989</v>
      </c>
    </row>
    <row r="55" spans="1:11" ht="15.75" thickBot="1" x14ac:dyDescent="0.3">
      <c r="A55" s="8" t="s">
        <v>162</v>
      </c>
      <c r="B55" s="6" t="s">
        <v>49</v>
      </c>
      <c r="C55" s="6">
        <v>2.8721999999999999</v>
      </c>
      <c r="D55" s="6">
        <v>34.5</v>
      </c>
      <c r="E55" s="6">
        <v>24</v>
      </c>
      <c r="F55" s="6">
        <v>0.36</v>
      </c>
      <c r="G55" s="6">
        <f t="shared" si="8"/>
        <v>230</v>
      </c>
      <c r="H55" s="6">
        <f t="shared" si="5"/>
        <v>0.83</v>
      </c>
      <c r="I55" s="6">
        <v>0.55000000000000004</v>
      </c>
      <c r="J55" s="6">
        <f t="shared" si="6"/>
        <v>37.798200000000001</v>
      </c>
      <c r="K55" s="15">
        <f t="shared" si="7"/>
        <v>10.856916</v>
      </c>
    </row>
    <row r="56" spans="1:11" ht="15.75" thickBot="1" x14ac:dyDescent="0.3">
      <c r="A56" s="8" t="s">
        <v>163</v>
      </c>
      <c r="B56" s="6" t="s">
        <v>49</v>
      </c>
      <c r="C56" s="6">
        <v>2.8721999999999999</v>
      </c>
      <c r="D56" s="6">
        <v>34.5</v>
      </c>
      <c r="E56" s="6">
        <v>24</v>
      </c>
      <c r="F56" s="6">
        <v>0.36</v>
      </c>
      <c r="G56" s="6">
        <f t="shared" si="8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7"/>
        <v>10.856916</v>
      </c>
    </row>
    <row r="57" spans="1:11" ht="15.75" thickBot="1" x14ac:dyDescent="0.3">
      <c r="A57" s="8" t="s">
        <v>164</v>
      </c>
      <c r="B57" s="6" t="s">
        <v>49</v>
      </c>
      <c r="C57" s="6">
        <v>2.8721999999999999</v>
      </c>
      <c r="D57" s="6">
        <v>34.5</v>
      </c>
      <c r="E57" s="6">
        <v>24</v>
      </c>
      <c r="F57" s="6">
        <v>0.36</v>
      </c>
      <c r="G57" s="6">
        <f t="shared" si="8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7"/>
        <v>10.856916</v>
      </c>
    </row>
    <row r="58" spans="1:11" ht="15.75" thickBot="1" x14ac:dyDescent="0.3">
      <c r="A58" s="8" t="s">
        <v>165</v>
      </c>
      <c r="B58" s="6" t="s">
        <v>49</v>
      </c>
      <c r="C58" s="6">
        <v>2.8721999999999999</v>
      </c>
      <c r="D58" s="6">
        <v>34.5</v>
      </c>
      <c r="E58" s="6">
        <v>24</v>
      </c>
      <c r="F58" s="6">
        <v>1.6</v>
      </c>
      <c r="G58" s="6">
        <f t="shared" si="8"/>
        <v>230</v>
      </c>
      <c r="H58" s="6">
        <f t="shared" si="5"/>
        <v>0.83</v>
      </c>
      <c r="I58" s="6">
        <v>0.55000000000000004</v>
      </c>
      <c r="J58" s="6">
        <f t="shared" si="6"/>
        <v>167.99200000000002</v>
      </c>
      <c r="K58" s="15">
        <f t="shared" si="7"/>
        <v>48.252959999999995</v>
      </c>
    </row>
    <row r="59" spans="1:11" ht="15.75" thickBot="1" x14ac:dyDescent="0.3">
      <c r="A59" s="8" t="s">
        <v>136</v>
      </c>
      <c r="B59" s="6" t="s">
        <v>49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8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7"/>
        <v>48.252959999999995</v>
      </c>
    </row>
    <row r="60" spans="1:11" ht="15.75" thickBot="1" x14ac:dyDescent="0.3">
      <c r="A60" s="8" t="s">
        <v>137</v>
      </c>
      <c r="B60" s="6" t="s">
        <v>49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8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7"/>
        <v>48.252959999999995</v>
      </c>
    </row>
    <row r="61" spans="1:11" ht="15.75" thickBot="1" x14ac:dyDescent="0.3">
      <c r="A61" s="8" t="s">
        <v>138</v>
      </c>
      <c r="B61" s="6" t="s">
        <v>49</v>
      </c>
      <c r="C61" s="6">
        <v>2.8721999999999999</v>
      </c>
      <c r="D61" s="6">
        <v>34.5</v>
      </c>
      <c r="E61" s="6">
        <v>22.5</v>
      </c>
      <c r="F61" s="6">
        <v>1.6</v>
      </c>
      <c r="G61" s="6">
        <f t="shared" si="8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7"/>
        <v>55.146239999999992</v>
      </c>
    </row>
    <row r="62" spans="1:11" ht="15.75" thickBot="1" x14ac:dyDescent="0.3">
      <c r="A62" s="8" t="s">
        <v>140</v>
      </c>
      <c r="B62" s="6" t="s">
        <v>46</v>
      </c>
      <c r="C62" s="6">
        <v>2.8721999999999999</v>
      </c>
      <c r="D62" s="6">
        <v>34.5</v>
      </c>
      <c r="E62" s="6">
        <v>22.5</v>
      </c>
      <c r="F62" s="6">
        <v>2.1</v>
      </c>
      <c r="G62" s="6">
        <f t="shared" si="8"/>
        <v>685</v>
      </c>
      <c r="H62" s="6">
        <f t="shared" si="5"/>
        <v>0.8</v>
      </c>
      <c r="I62" s="6">
        <v>0.55000000000000004</v>
      </c>
      <c r="J62" s="6">
        <f t="shared" si="6"/>
        <v>632.94000000000005</v>
      </c>
      <c r="K62" s="15">
        <f t="shared" si="7"/>
        <v>72.379440000000002</v>
      </c>
    </row>
    <row r="63" spans="1:11" ht="15.75" thickBot="1" x14ac:dyDescent="0.3">
      <c r="A63" s="8" t="s">
        <v>141</v>
      </c>
      <c r="B63" s="6" t="s">
        <v>46</v>
      </c>
      <c r="C63" s="6">
        <v>2.8721999999999999</v>
      </c>
      <c r="D63" s="6">
        <v>34.5</v>
      </c>
      <c r="E63" s="6">
        <v>22.5</v>
      </c>
      <c r="F63" s="6">
        <v>3.6</v>
      </c>
      <c r="G63" s="6">
        <f t="shared" si="8"/>
        <v>685</v>
      </c>
      <c r="H63" s="6">
        <f t="shared" si="5"/>
        <v>0.8</v>
      </c>
      <c r="I63" s="6">
        <v>0.55000000000000004</v>
      </c>
      <c r="J63" s="6">
        <f t="shared" si="6"/>
        <v>1085.0400000000002</v>
      </c>
      <c r="K63" s="15">
        <f t="shared" si="7"/>
        <v>124.07903999999999</v>
      </c>
    </row>
    <row r="64" spans="1:11" ht="15.75" thickBot="1" x14ac:dyDescent="0.3">
      <c r="A64" s="8" t="s">
        <v>142</v>
      </c>
      <c r="B64" s="6" t="s">
        <v>46</v>
      </c>
      <c r="C64" s="6">
        <v>2.8721999999999999</v>
      </c>
      <c r="D64" s="6">
        <v>34.5</v>
      </c>
      <c r="E64" s="6">
        <v>22.5</v>
      </c>
      <c r="F64" s="6">
        <v>2.72</v>
      </c>
      <c r="G64" s="6">
        <f t="shared" si="8"/>
        <v>685</v>
      </c>
      <c r="H64" s="6">
        <f t="shared" si="5"/>
        <v>0.8</v>
      </c>
      <c r="I64" s="6">
        <v>0.55000000000000004</v>
      </c>
      <c r="J64" s="6">
        <f t="shared" si="6"/>
        <v>819.80800000000011</v>
      </c>
      <c r="K64" s="15">
        <f t="shared" si="7"/>
        <v>93.74860799999999</v>
      </c>
    </row>
    <row r="65" spans="1:11" ht="15.75" thickBot="1" x14ac:dyDescent="0.3">
      <c r="A65" s="8" t="s">
        <v>143</v>
      </c>
      <c r="B65" s="6" t="s">
        <v>49</v>
      </c>
      <c r="C65" s="6">
        <v>2.8721999999999999</v>
      </c>
      <c r="D65" s="6">
        <v>34.5</v>
      </c>
      <c r="E65" s="6">
        <v>24</v>
      </c>
      <c r="F65" s="6">
        <v>1.2</v>
      </c>
      <c r="G65" s="6">
        <f t="shared" si="8"/>
        <v>230</v>
      </c>
      <c r="H65" s="6">
        <f t="shared" si="5"/>
        <v>0.83</v>
      </c>
      <c r="I65" s="6">
        <v>0.55000000000000004</v>
      </c>
      <c r="J65" s="6">
        <f t="shared" si="6"/>
        <v>125.994</v>
      </c>
      <c r="K65" s="15">
        <f t="shared" si="7"/>
        <v>36.189720000000001</v>
      </c>
    </row>
    <row r="66" spans="1:11" ht="15.75" thickBot="1" x14ac:dyDescent="0.3">
      <c r="A66" s="8" t="s">
        <v>66</v>
      </c>
      <c r="B66" s="6" t="s">
        <v>46</v>
      </c>
      <c r="C66" s="6">
        <v>2.8721999999999999</v>
      </c>
      <c r="D66" s="6">
        <v>34.5</v>
      </c>
      <c r="E66" s="6">
        <v>22.5</v>
      </c>
      <c r="F66" s="6">
        <v>1.4</v>
      </c>
      <c r="G66" s="6">
        <f t="shared" si="8"/>
        <v>685</v>
      </c>
      <c r="H66" s="6">
        <f t="shared" si="5"/>
        <v>0.8</v>
      </c>
      <c r="I66" s="6">
        <v>0.55000000000000004</v>
      </c>
      <c r="J66" s="6">
        <f t="shared" si="6"/>
        <v>421.96000000000004</v>
      </c>
      <c r="K66" s="15">
        <f t="shared" si="7"/>
        <v>48.252959999999995</v>
      </c>
    </row>
    <row r="67" spans="1:11" ht="15.75" thickBot="1" x14ac:dyDescent="0.3">
      <c r="A67" s="23" t="s">
        <v>88</v>
      </c>
      <c r="B67" s="21" t="s">
        <v>46</v>
      </c>
      <c r="C67" s="21">
        <v>2.8721999999999999</v>
      </c>
      <c r="D67" s="21">
        <v>34.5</v>
      </c>
      <c r="E67" s="21">
        <v>24</v>
      </c>
      <c r="F67" s="21">
        <v>0.36</v>
      </c>
      <c r="G67" s="21">
        <f t="shared" si="8"/>
        <v>685</v>
      </c>
      <c r="H67" s="21">
        <f t="shared" si="5"/>
        <v>0.8</v>
      </c>
      <c r="I67" s="21">
        <v>0.55000000000000004</v>
      </c>
      <c r="J67" s="21">
        <f t="shared" si="6"/>
        <v>108.504</v>
      </c>
      <c r="K67" s="22">
        <f t="shared" si="7"/>
        <v>10.856916</v>
      </c>
    </row>
    <row r="68" spans="1:11" ht="15.75" thickBot="1" x14ac:dyDescent="0.3">
      <c r="H68" s="164" t="s">
        <v>122</v>
      </c>
      <c r="I68" s="164"/>
      <c r="J68" s="43">
        <f>SUM(J39:J67)</f>
        <v>12911.636650000004</v>
      </c>
      <c r="K68" s="43">
        <f>SUM(K39:K67)</f>
        <v>2185.8239429999999</v>
      </c>
    </row>
    <row r="69" spans="1:11" ht="15.75" thickBot="1" x14ac:dyDescent="0.3">
      <c r="H69" s="164" t="s">
        <v>167</v>
      </c>
      <c r="I69" s="164"/>
      <c r="J69" s="165">
        <f>J68+K68</f>
        <v>15097.460593000003</v>
      </c>
      <c r="K69" s="166"/>
    </row>
    <row r="71" spans="1:11" ht="23.25" x14ac:dyDescent="0.35">
      <c r="A71" s="158" t="s">
        <v>59</v>
      </c>
      <c r="B71" s="158"/>
      <c r="C71" s="158"/>
      <c r="D71" s="158"/>
      <c r="E71" s="158"/>
      <c r="F71" s="158"/>
      <c r="G71" s="158"/>
      <c r="H71" s="158"/>
      <c r="I71" s="158"/>
      <c r="J71" s="158"/>
      <c r="K71" s="158"/>
    </row>
    <row r="72" spans="1:11" ht="15.75" thickBot="1" x14ac:dyDescent="0.3">
      <c r="A72" s="25" t="s">
        <v>0</v>
      </c>
      <c r="B72" s="35" t="s">
        <v>1</v>
      </c>
      <c r="C72" s="35" t="s">
        <v>2</v>
      </c>
      <c r="D72" s="35" t="s">
        <v>12</v>
      </c>
      <c r="E72" s="35" t="s">
        <v>7</v>
      </c>
      <c r="F72" s="35" t="s">
        <v>3</v>
      </c>
      <c r="G72" s="35" t="s">
        <v>13</v>
      </c>
      <c r="H72" s="35" t="s">
        <v>14</v>
      </c>
      <c r="I72" s="35" t="s">
        <v>15</v>
      </c>
      <c r="J72" s="35" t="s">
        <v>17</v>
      </c>
      <c r="K72" s="24" t="s">
        <v>16</v>
      </c>
    </row>
    <row r="73" spans="1:11" ht="15.75" thickBot="1" x14ac:dyDescent="0.3">
      <c r="A73" s="8" t="s">
        <v>60</v>
      </c>
      <c r="B73" s="6" t="s">
        <v>47</v>
      </c>
      <c r="C73" s="6">
        <v>2.8721999999999999</v>
      </c>
      <c r="D73" s="6">
        <v>34.5</v>
      </c>
      <c r="E73" s="6">
        <v>22.5</v>
      </c>
      <c r="F73" s="6">
        <f>References!E41*References!F41</f>
        <v>2.31</v>
      </c>
      <c r="G73" s="36">
        <f>_xlfn.IFS(B73="E",685,B73="N",120,B73="W",685,B73="S",230)</f>
        <v>120</v>
      </c>
      <c r="H73" s="36">
        <f>_xlfn.IFS(B73="E",0.8,B73="N",0.91,B73="W",0.82,B73="S",0.83)</f>
        <v>0.91</v>
      </c>
      <c r="I73" s="36">
        <v>0.55000000000000004</v>
      </c>
      <c r="J73" s="36">
        <f>G73*H73*F73*I73</f>
        <v>138.73860000000002</v>
      </c>
      <c r="K73" s="37">
        <f>(C73*F73)*(D73-E73)</f>
        <v>79.617383999999987</v>
      </c>
    </row>
    <row r="74" spans="1:11" ht="15.75" thickBot="1" x14ac:dyDescent="0.3">
      <c r="A74" s="8" t="s">
        <v>60</v>
      </c>
      <c r="B74" s="6" t="s">
        <v>47</v>
      </c>
      <c r="C74" s="6">
        <v>2.8721999999999999</v>
      </c>
      <c r="D74" s="6">
        <v>34.5</v>
      </c>
      <c r="E74" s="6">
        <v>22.5</v>
      </c>
      <c r="F74" s="6">
        <f>References!E42*References!F42</f>
        <v>2.31</v>
      </c>
      <c r="G74" s="36">
        <f t="shared" ref="G74:G97" si="9">_xlfn.IFS(B74="E",685,B74="N",120,B74="W",685,B74="S",230)</f>
        <v>120</v>
      </c>
      <c r="H74" s="36">
        <f t="shared" ref="H74:H97" si="10">_xlfn.IFS(B74="E",0.8,B74="N",0.91,B74="W",0.82,B74="S",0.83)</f>
        <v>0.91</v>
      </c>
      <c r="I74" s="36">
        <v>0.55000000000000004</v>
      </c>
      <c r="J74" s="36">
        <f t="shared" ref="J74:J98" si="11">G74*H74*F74*I74</f>
        <v>138.73860000000002</v>
      </c>
      <c r="K74" s="37">
        <f t="shared" ref="K74:K98" si="12">(C74*F74)*(D74-E74)</f>
        <v>79.617383999999987</v>
      </c>
    </row>
    <row r="75" spans="1:11" ht="15.75" thickBot="1" x14ac:dyDescent="0.3">
      <c r="A75" s="8" t="s">
        <v>60</v>
      </c>
      <c r="B75" s="6" t="s">
        <v>47</v>
      </c>
      <c r="C75" s="6">
        <v>2.8721999999999999</v>
      </c>
      <c r="D75" s="6">
        <v>34.5</v>
      </c>
      <c r="E75" s="6">
        <v>22.5</v>
      </c>
      <c r="F75" s="6">
        <f>References!E43*References!F43</f>
        <v>2.31</v>
      </c>
      <c r="G75" s="36">
        <f t="shared" si="9"/>
        <v>120</v>
      </c>
      <c r="H75" s="36">
        <f t="shared" si="10"/>
        <v>0.91</v>
      </c>
      <c r="I75" s="36">
        <v>0.55000000000000004</v>
      </c>
      <c r="J75" s="36">
        <f t="shared" si="11"/>
        <v>138.73860000000002</v>
      </c>
      <c r="K75" s="37">
        <f t="shared" si="12"/>
        <v>79.617383999999987</v>
      </c>
    </row>
    <row r="76" spans="1:11" ht="15.75" thickBot="1" x14ac:dyDescent="0.3">
      <c r="A76" s="8" t="s">
        <v>60</v>
      </c>
      <c r="B76" s="6" t="s">
        <v>47</v>
      </c>
      <c r="C76" s="6">
        <v>2.8721999999999999</v>
      </c>
      <c r="D76" s="6">
        <v>34.5</v>
      </c>
      <c r="E76" s="6">
        <v>22.5</v>
      </c>
      <c r="F76" s="6">
        <f>References!E44*References!F44</f>
        <v>2.31</v>
      </c>
      <c r="G76" s="36">
        <f t="shared" si="9"/>
        <v>120</v>
      </c>
      <c r="H76" s="36">
        <f t="shared" si="10"/>
        <v>0.91</v>
      </c>
      <c r="I76" s="36">
        <v>0.55000000000000004</v>
      </c>
      <c r="J76" s="36">
        <f t="shared" si="11"/>
        <v>138.73860000000002</v>
      </c>
      <c r="K76" s="37">
        <f t="shared" si="12"/>
        <v>79.617383999999987</v>
      </c>
    </row>
    <row r="77" spans="1:11" ht="15.75" thickBot="1" x14ac:dyDescent="0.3">
      <c r="A77" s="8" t="s">
        <v>64</v>
      </c>
      <c r="B77" s="6" t="s">
        <v>48</v>
      </c>
      <c r="C77" s="6">
        <v>2.8721999999999999</v>
      </c>
      <c r="D77" s="6">
        <v>34.5</v>
      </c>
      <c r="E77" s="6">
        <v>28</v>
      </c>
      <c r="F77" s="6">
        <f>References!E45*References!F45</f>
        <v>2.7</v>
      </c>
      <c r="G77" s="36">
        <f t="shared" si="9"/>
        <v>685</v>
      </c>
      <c r="H77" s="36">
        <f t="shared" si="10"/>
        <v>0.82</v>
      </c>
      <c r="I77" s="36">
        <v>0.55000000000000004</v>
      </c>
      <c r="J77" s="36">
        <f t="shared" si="11"/>
        <v>834.12450000000001</v>
      </c>
      <c r="K77" s="37">
        <f t="shared" si="12"/>
        <v>50.407110000000003</v>
      </c>
    </row>
    <row r="78" spans="1:11" ht="15.75" thickBot="1" x14ac:dyDescent="0.3">
      <c r="A78" s="8" t="s">
        <v>66</v>
      </c>
      <c r="B78" s="6" t="s">
        <v>48</v>
      </c>
      <c r="C78" s="6">
        <v>2.8721999999999999</v>
      </c>
      <c r="D78" s="6">
        <v>34.5</v>
      </c>
      <c r="E78" s="6">
        <v>22.5</v>
      </c>
      <c r="F78" s="6">
        <f>References!E46*References!F46</f>
        <v>1.4</v>
      </c>
      <c r="G78" s="36">
        <f t="shared" si="9"/>
        <v>685</v>
      </c>
      <c r="H78" s="36">
        <f t="shared" si="10"/>
        <v>0.82</v>
      </c>
      <c r="I78" s="36">
        <v>0.55000000000000004</v>
      </c>
      <c r="J78" s="36">
        <f t="shared" si="11"/>
        <v>432.50899999999996</v>
      </c>
      <c r="K78" s="37">
        <f t="shared" si="12"/>
        <v>48.252959999999995</v>
      </c>
    </row>
    <row r="79" spans="1:11" ht="15.75" thickBot="1" x14ac:dyDescent="0.3">
      <c r="A79" s="8" t="s">
        <v>70</v>
      </c>
      <c r="B79" s="6" t="s">
        <v>48</v>
      </c>
      <c r="C79" s="6">
        <v>2.8721999999999999</v>
      </c>
      <c r="D79" s="6">
        <v>34.5</v>
      </c>
      <c r="E79" s="6">
        <v>22.5</v>
      </c>
      <c r="F79" s="6">
        <f>References!E47*References!F47</f>
        <v>1.4</v>
      </c>
      <c r="G79" s="36">
        <f t="shared" si="9"/>
        <v>685</v>
      </c>
      <c r="H79" s="36">
        <f t="shared" si="10"/>
        <v>0.82</v>
      </c>
      <c r="I79" s="36">
        <v>0.55000000000000004</v>
      </c>
      <c r="J79" s="36">
        <f t="shared" si="11"/>
        <v>432.50899999999996</v>
      </c>
      <c r="K79" s="37">
        <f t="shared" si="12"/>
        <v>48.252959999999995</v>
      </c>
    </row>
    <row r="80" spans="1:11" ht="15.75" thickBot="1" x14ac:dyDescent="0.3">
      <c r="A80" s="8" t="s">
        <v>70</v>
      </c>
      <c r="B80" s="6" t="s">
        <v>48</v>
      </c>
      <c r="C80" s="6">
        <v>2.8721999999999999</v>
      </c>
      <c r="D80" s="6">
        <v>34.5</v>
      </c>
      <c r="E80" s="6">
        <v>22.5</v>
      </c>
      <c r="F80" s="6">
        <f>References!E48*References!F48</f>
        <v>1.4</v>
      </c>
      <c r="G80" s="36">
        <f t="shared" si="9"/>
        <v>685</v>
      </c>
      <c r="H80" s="36">
        <f t="shared" si="10"/>
        <v>0.82</v>
      </c>
      <c r="I80" s="36">
        <v>0.55000000000000004</v>
      </c>
      <c r="J80" s="36">
        <f t="shared" si="11"/>
        <v>432.50899999999996</v>
      </c>
      <c r="K80" s="37">
        <f t="shared" si="12"/>
        <v>48.252959999999995</v>
      </c>
    </row>
    <row r="81" spans="1:11" ht="15.75" thickBot="1" x14ac:dyDescent="0.3">
      <c r="A81" s="8" t="s">
        <v>70</v>
      </c>
      <c r="B81" s="6" t="s">
        <v>48</v>
      </c>
      <c r="C81" s="6">
        <v>2.8721999999999999</v>
      </c>
      <c r="D81" s="6">
        <v>34.5</v>
      </c>
      <c r="E81" s="6">
        <v>22.5</v>
      </c>
      <c r="F81" s="6">
        <f>References!E49*References!F49</f>
        <v>1.4</v>
      </c>
      <c r="G81" s="36">
        <f t="shared" si="9"/>
        <v>685</v>
      </c>
      <c r="H81" s="36">
        <f t="shared" si="10"/>
        <v>0.82</v>
      </c>
      <c r="I81" s="36">
        <v>0.55000000000000004</v>
      </c>
      <c r="J81" s="36">
        <f t="shared" si="11"/>
        <v>432.50899999999996</v>
      </c>
      <c r="K81" s="37">
        <f t="shared" si="12"/>
        <v>48.252959999999995</v>
      </c>
    </row>
    <row r="82" spans="1:11" ht="15.75" thickBot="1" x14ac:dyDescent="0.3">
      <c r="A82" s="8" t="s">
        <v>70</v>
      </c>
      <c r="B82" s="6" t="s">
        <v>48</v>
      </c>
      <c r="C82" s="6">
        <v>2.8721999999999999</v>
      </c>
      <c r="D82" s="6">
        <v>34.5</v>
      </c>
      <c r="E82" s="6">
        <v>22.5</v>
      </c>
      <c r="F82" s="6">
        <f>References!E50*References!F50</f>
        <v>1.4</v>
      </c>
      <c r="G82" s="36">
        <f t="shared" si="9"/>
        <v>685</v>
      </c>
      <c r="H82" s="36">
        <f t="shared" si="10"/>
        <v>0.82</v>
      </c>
      <c r="I82" s="36">
        <v>0.55000000000000004</v>
      </c>
      <c r="J82" s="36">
        <f t="shared" si="11"/>
        <v>432.50899999999996</v>
      </c>
      <c r="K82" s="37">
        <f t="shared" si="12"/>
        <v>48.252959999999995</v>
      </c>
    </row>
    <row r="83" spans="1:11" ht="15.75" thickBot="1" x14ac:dyDescent="0.3">
      <c r="A83" s="8" t="s">
        <v>71</v>
      </c>
      <c r="B83" s="6" t="s">
        <v>48</v>
      </c>
      <c r="C83" s="6">
        <v>2.8210999999999999</v>
      </c>
      <c r="D83" s="6">
        <v>34.5</v>
      </c>
      <c r="E83" s="6">
        <v>22.5</v>
      </c>
      <c r="F83" s="6">
        <f>References!E51*References!F51</f>
        <v>3.35</v>
      </c>
      <c r="G83" s="36">
        <f t="shared" si="9"/>
        <v>685</v>
      </c>
      <c r="H83" s="36">
        <f t="shared" si="10"/>
        <v>0.82</v>
      </c>
      <c r="I83" s="36">
        <v>0.55000000000000004</v>
      </c>
      <c r="J83" s="36">
        <f t="shared" si="11"/>
        <v>1034.9322499999998</v>
      </c>
      <c r="K83" s="37">
        <f t="shared" si="12"/>
        <v>113.40822</v>
      </c>
    </row>
    <row r="84" spans="1:11" ht="15.75" thickBot="1" x14ac:dyDescent="0.3">
      <c r="A84" s="8" t="s">
        <v>72</v>
      </c>
      <c r="B84" s="6" t="s">
        <v>48</v>
      </c>
      <c r="C84" s="6">
        <v>2.8721999999999999</v>
      </c>
      <c r="D84" s="6">
        <v>34.5</v>
      </c>
      <c r="E84" s="6">
        <v>22.5</v>
      </c>
      <c r="F84" s="6">
        <f>References!E52*References!F52</f>
        <v>2.4</v>
      </c>
      <c r="G84" s="36">
        <f t="shared" si="9"/>
        <v>685</v>
      </c>
      <c r="H84" s="36">
        <f t="shared" si="10"/>
        <v>0.82</v>
      </c>
      <c r="I84" s="36">
        <v>0.55000000000000004</v>
      </c>
      <c r="J84" s="36">
        <f t="shared" si="11"/>
        <v>741.44399999999985</v>
      </c>
      <c r="K84" s="37">
        <f t="shared" si="12"/>
        <v>82.719359999999995</v>
      </c>
    </row>
    <row r="85" spans="1:11" ht="15.75" thickBot="1" x14ac:dyDescent="0.3">
      <c r="A85" s="8" t="s">
        <v>75</v>
      </c>
      <c r="B85" s="6" t="s">
        <v>48</v>
      </c>
      <c r="C85" s="6">
        <v>2.8721999999999999</v>
      </c>
      <c r="D85" s="6">
        <v>34.5</v>
      </c>
      <c r="E85" s="6">
        <v>22.5</v>
      </c>
      <c r="F85" s="6">
        <f>References!E53*References!F53</f>
        <v>2.4</v>
      </c>
      <c r="G85" s="36">
        <f t="shared" si="9"/>
        <v>685</v>
      </c>
      <c r="H85" s="36">
        <f t="shared" si="10"/>
        <v>0.82</v>
      </c>
      <c r="I85" s="36">
        <v>0.55000000000000004</v>
      </c>
      <c r="J85" s="36">
        <f t="shared" si="11"/>
        <v>741.44399999999985</v>
      </c>
      <c r="K85" s="37">
        <f t="shared" si="12"/>
        <v>82.719359999999995</v>
      </c>
    </row>
    <row r="86" spans="1:11" ht="15.75" thickBot="1" x14ac:dyDescent="0.3">
      <c r="A86" s="8" t="s">
        <v>76</v>
      </c>
      <c r="B86" s="6" t="s">
        <v>48</v>
      </c>
      <c r="C86" s="6">
        <v>2.8721999999999999</v>
      </c>
      <c r="D86" s="6">
        <v>34.5</v>
      </c>
      <c r="E86" s="6">
        <v>22.5</v>
      </c>
      <c r="F86" s="6">
        <f>References!E54*References!F54</f>
        <v>2.4</v>
      </c>
      <c r="G86" s="36">
        <f t="shared" si="9"/>
        <v>685</v>
      </c>
      <c r="H86" s="36">
        <f t="shared" si="10"/>
        <v>0.82</v>
      </c>
      <c r="I86" s="36">
        <v>0.55000000000000004</v>
      </c>
      <c r="J86" s="36">
        <f t="shared" si="11"/>
        <v>741.44399999999985</v>
      </c>
      <c r="K86" s="37">
        <f t="shared" si="12"/>
        <v>82.719359999999995</v>
      </c>
    </row>
    <row r="87" spans="1:11" ht="15.75" thickBot="1" x14ac:dyDescent="0.3">
      <c r="A87" s="8" t="s">
        <v>77</v>
      </c>
      <c r="B87" s="6" t="s">
        <v>48</v>
      </c>
      <c r="C87" s="6">
        <v>2.8721999999999999</v>
      </c>
      <c r="D87" s="6">
        <v>34.5</v>
      </c>
      <c r="E87" s="6">
        <v>22.5</v>
      </c>
      <c r="F87" s="6">
        <f>References!E55*References!F55</f>
        <v>2.23</v>
      </c>
      <c r="G87" s="36">
        <f t="shared" si="9"/>
        <v>685</v>
      </c>
      <c r="H87" s="36">
        <f t="shared" si="10"/>
        <v>0.82</v>
      </c>
      <c r="I87" s="36">
        <v>0.55000000000000004</v>
      </c>
      <c r="J87" s="36">
        <f t="shared" si="11"/>
        <v>688.92504999999994</v>
      </c>
      <c r="K87" s="37">
        <f t="shared" si="12"/>
        <v>76.860071999999988</v>
      </c>
    </row>
    <row r="88" spans="1:11" ht="15.75" thickBot="1" x14ac:dyDescent="0.3">
      <c r="A88" s="8" t="s">
        <v>89</v>
      </c>
      <c r="B88" s="6" t="s">
        <v>48</v>
      </c>
      <c r="C88" s="6">
        <v>2.8721999999999999</v>
      </c>
      <c r="D88" s="6">
        <v>34.5</v>
      </c>
      <c r="E88" s="6">
        <v>24</v>
      </c>
      <c r="F88" s="6">
        <f>References!E56*References!F56</f>
        <v>0.36</v>
      </c>
      <c r="G88" s="36">
        <f t="shared" si="9"/>
        <v>685</v>
      </c>
      <c r="H88" s="36">
        <f t="shared" si="10"/>
        <v>0.82</v>
      </c>
      <c r="I88" s="36">
        <v>0.55000000000000004</v>
      </c>
      <c r="J88" s="36">
        <f t="shared" si="11"/>
        <v>111.21659999999999</v>
      </c>
      <c r="K88" s="37">
        <f t="shared" si="12"/>
        <v>10.856916</v>
      </c>
    </row>
    <row r="89" spans="1:11" ht="15.75" thickBot="1" x14ac:dyDescent="0.3">
      <c r="A89" s="8" t="s">
        <v>78</v>
      </c>
      <c r="B89" s="6" t="s">
        <v>49</v>
      </c>
      <c r="C89" s="6">
        <v>2.8721999999999999</v>
      </c>
      <c r="D89" s="6">
        <v>34.5</v>
      </c>
      <c r="E89" s="6">
        <v>22.5</v>
      </c>
      <c r="F89" s="6">
        <f>References!E57*References!F57</f>
        <v>2.4</v>
      </c>
      <c r="G89" s="36">
        <f t="shared" si="9"/>
        <v>230</v>
      </c>
      <c r="H89" s="36">
        <f t="shared" si="10"/>
        <v>0.83</v>
      </c>
      <c r="I89" s="36">
        <v>0.55000000000000004</v>
      </c>
      <c r="J89" s="36">
        <f t="shared" si="11"/>
        <v>251.98799999999997</v>
      </c>
      <c r="K89" s="37">
        <f t="shared" si="12"/>
        <v>82.719359999999995</v>
      </c>
    </row>
    <row r="90" spans="1:11" ht="15.75" thickBot="1" x14ac:dyDescent="0.3">
      <c r="A90" s="8" t="s">
        <v>57</v>
      </c>
      <c r="B90" s="6" t="s">
        <v>49</v>
      </c>
      <c r="C90" s="6">
        <v>2.8721999999999999</v>
      </c>
      <c r="D90" s="6">
        <v>34.5</v>
      </c>
      <c r="E90" s="6">
        <v>24</v>
      </c>
      <c r="F90" s="6">
        <f>References!E58*References!F58</f>
        <v>0.72</v>
      </c>
      <c r="G90" s="36">
        <f t="shared" si="9"/>
        <v>230</v>
      </c>
      <c r="H90" s="36">
        <f t="shared" si="10"/>
        <v>0.83</v>
      </c>
      <c r="I90" s="36">
        <v>0.55000000000000004</v>
      </c>
      <c r="J90" s="36">
        <f t="shared" si="11"/>
        <v>75.596399999999988</v>
      </c>
      <c r="K90" s="37">
        <f t="shared" si="12"/>
        <v>21.713832</v>
      </c>
    </row>
    <row r="91" spans="1:11" ht="15.75" thickBot="1" x14ac:dyDescent="0.3">
      <c r="A91" s="8" t="s">
        <v>58</v>
      </c>
      <c r="B91" s="6" t="s">
        <v>49</v>
      </c>
      <c r="C91" s="6">
        <v>2.8721999999999999</v>
      </c>
      <c r="D91" s="6">
        <v>34.5</v>
      </c>
      <c r="E91" s="6">
        <v>24</v>
      </c>
      <c r="F91" s="6">
        <f>References!E59*References!F59</f>
        <v>0.72</v>
      </c>
      <c r="G91" s="36">
        <f t="shared" si="9"/>
        <v>230</v>
      </c>
      <c r="H91" s="36">
        <f t="shared" si="10"/>
        <v>0.83</v>
      </c>
      <c r="I91" s="36">
        <v>0.55000000000000004</v>
      </c>
      <c r="J91" s="36">
        <f t="shared" si="11"/>
        <v>75.596399999999988</v>
      </c>
      <c r="K91" s="37">
        <f t="shared" si="12"/>
        <v>21.713832</v>
      </c>
    </row>
    <row r="92" spans="1:11" ht="15.75" thickBot="1" x14ac:dyDescent="0.3">
      <c r="A92" s="8" t="s">
        <v>71</v>
      </c>
      <c r="B92" s="6" t="s">
        <v>46</v>
      </c>
      <c r="C92" s="6">
        <v>2.8210999999999999</v>
      </c>
      <c r="D92" s="6">
        <v>34.5</v>
      </c>
      <c r="E92" s="6">
        <v>22.5</v>
      </c>
      <c r="F92" s="6">
        <f>References!E61*References!F61</f>
        <v>3.35</v>
      </c>
      <c r="G92" s="36">
        <f t="shared" si="9"/>
        <v>685</v>
      </c>
      <c r="H92" s="36">
        <f t="shared" si="10"/>
        <v>0.8</v>
      </c>
      <c r="I92" s="36">
        <v>0.55000000000000004</v>
      </c>
      <c r="J92" s="36">
        <f t="shared" si="11"/>
        <v>1009.69</v>
      </c>
      <c r="K92" s="37">
        <f t="shared" si="12"/>
        <v>113.40822</v>
      </c>
    </row>
    <row r="93" spans="1:11" ht="15.75" thickBot="1" x14ac:dyDescent="0.3">
      <c r="A93" s="8" t="s">
        <v>70</v>
      </c>
      <c r="B93" s="6" t="s">
        <v>46</v>
      </c>
      <c r="C93" s="6">
        <v>2.8721999999999999</v>
      </c>
      <c r="D93" s="6">
        <v>34.5</v>
      </c>
      <c r="E93" s="6">
        <v>22.5</v>
      </c>
      <c r="F93" s="6">
        <f>References!E62*References!F62</f>
        <v>1.4</v>
      </c>
      <c r="G93" s="36">
        <f t="shared" si="9"/>
        <v>685</v>
      </c>
      <c r="H93" s="36">
        <f t="shared" si="10"/>
        <v>0.8</v>
      </c>
      <c r="I93" s="36">
        <v>0.55000000000000004</v>
      </c>
      <c r="J93" s="36">
        <f t="shared" si="11"/>
        <v>421.96</v>
      </c>
      <c r="K93" s="37">
        <f t="shared" si="12"/>
        <v>48.252959999999995</v>
      </c>
    </row>
    <row r="94" spans="1:11" ht="15.75" thickBot="1" x14ac:dyDescent="0.3">
      <c r="A94" s="8" t="s">
        <v>70</v>
      </c>
      <c r="B94" s="6" t="s">
        <v>46</v>
      </c>
      <c r="C94" s="6">
        <v>2.8721999999999999</v>
      </c>
      <c r="D94" s="6">
        <v>34.5</v>
      </c>
      <c r="E94" s="6">
        <v>22.5</v>
      </c>
      <c r="F94" s="6">
        <f>References!E63*References!F63</f>
        <v>1.4</v>
      </c>
      <c r="G94" s="36">
        <f t="shared" si="9"/>
        <v>685</v>
      </c>
      <c r="H94" s="36">
        <f t="shared" si="10"/>
        <v>0.8</v>
      </c>
      <c r="I94" s="36">
        <v>0.55000000000000004</v>
      </c>
      <c r="J94" s="36">
        <f t="shared" si="11"/>
        <v>421.96</v>
      </c>
      <c r="K94" s="37">
        <f t="shared" si="12"/>
        <v>48.252959999999995</v>
      </c>
    </row>
    <row r="95" spans="1:11" ht="15.75" thickBot="1" x14ac:dyDescent="0.3">
      <c r="A95" s="8" t="s">
        <v>70</v>
      </c>
      <c r="B95" s="6" t="s">
        <v>46</v>
      </c>
      <c r="C95" s="6">
        <v>2.8721999999999999</v>
      </c>
      <c r="D95" s="6">
        <v>34.5</v>
      </c>
      <c r="E95" s="6">
        <v>22.5</v>
      </c>
      <c r="F95" s="6">
        <f>References!E64*References!F64</f>
        <v>1.4</v>
      </c>
      <c r="G95" s="36">
        <f t="shared" si="9"/>
        <v>685</v>
      </c>
      <c r="H95" s="36">
        <f t="shared" si="10"/>
        <v>0.8</v>
      </c>
      <c r="I95" s="36">
        <v>0.55000000000000004</v>
      </c>
      <c r="J95" s="36">
        <f t="shared" si="11"/>
        <v>421.96</v>
      </c>
      <c r="K95" s="37">
        <f t="shared" si="12"/>
        <v>48.252959999999995</v>
      </c>
    </row>
    <row r="96" spans="1:11" ht="15.75" thickBot="1" x14ac:dyDescent="0.3">
      <c r="A96" s="8" t="s">
        <v>70</v>
      </c>
      <c r="B96" s="6" t="s">
        <v>46</v>
      </c>
      <c r="C96" s="6">
        <v>2.8721999999999999</v>
      </c>
      <c r="D96" s="6">
        <v>34.5</v>
      </c>
      <c r="E96" s="6">
        <v>22.5</v>
      </c>
      <c r="F96" s="6">
        <f>References!E65*References!F65</f>
        <v>1.4</v>
      </c>
      <c r="G96" s="36">
        <f t="shared" si="9"/>
        <v>685</v>
      </c>
      <c r="H96" s="36">
        <f t="shared" si="10"/>
        <v>0.8</v>
      </c>
      <c r="I96" s="36">
        <v>0.55000000000000004</v>
      </c>
      <c r="J96" s="36">
        <f t="shared" si="11"/>
        <v>421.96</v>
      </c>
      <c r="K96" s="37">
        <f t="shared" si="12"/>
        <v>48.252959999999995</v>
      </c>
    </row>
    <row r="97" spans="1:11" ht="15.75" thickBot="1" x14ac:dyDescent="0.3">
      <c r="A97" s="8" t="s">
        <v>66</v>
      </c>
      <c r="B97" s="6" t="s">
        <v>46</v>
      </c>
      <c r="C97" s="6">
        <v>2.8721999999999999</v>
      </c>
      <c r="D97" s="6">
        <v>34.5</v>
      </c>
      <c r="E97" s="6">
        <v>22.5</v>
      </c>
      <c r="F97" s="6">
        <f>References!E66*References!F66</f>
        <v>1.4</v>
      </c>
      <c r="G97" s="36">
        <f t="shared" si="9"/>
        <v>685</v>
      </c>
      <c r="H97" s="36">
        <f t="shared" si="10"/>
        <v>0.8</v>
      </c>
      <c r="I97" s="36">
        <v>0.55000000000000004</v>
      </c>
      <c r="J97" s="36">
        <f>G97*H97*F97*I97</f>
        <v>421.96</v>
      </c>
      <c r="K97" s="37">
        <f>(C97*F97)*(D97-E97)</f>
        <v>48.252959999999995</v>
      </c>
    </row>
    <row r="98" spans="1:11" ht="15.75" thickBot="1" x14ac:dyDescent="0.3">
      <c r="A98" s="23" t="s">
        <v>88</v>
      </c>
      <c r="B98" s="21" t="s">
        <v>46</v>
      </c>
      <c r="C98" s="21">
        <v>2.8721999999999999</v>
      </c>
      <c r="D98" s="21">
        <v>34.5</v>
      </c>
      <c r="E98" s="21">
        <v>24</v>
      </c>
      <c r="F98" s="21">
        <f>References!E67*References!F67</f>
        <v>0.36</v>
      </c>
      <c r="G98" s="38">
        <f t="shared" ref="G98" si="13">_xlfn.IFS(B98="E",685,B98="N",120,B98="W",685,B98="S",230)</f>
        <v>685</v>
      </c>
      <c r="H98" s="38">
        <f t="shared" ref="H98" si="14">_xlfn.IFS(B98="E",0.8,B98="N",0.91,B98="W",0.82,B98="S",0.83)</f>
        <v>0.8</v>
      </c>
      <c r="I98" s="38">
        <v>0.55000000000000004</v>
      </c>
      <c r="J98" s="38">
        <f t="shared" si="11"/>
        <v>108.504</v>
      </c>
      <c r="K98" s="39">
        <f t="shared" si="12"/>
        <v>10.856916</v>
      </c>
    </row>
    <row r="99" spans="1:11" ht="15.75" thickBot="1" x14ac:dyDescent="0.3">
      <c r="H99" s="164" t="s">
        <v>122</v>
      </c>
      <c r="I99" s="164"/>
      <c r="J99" s="43">
        <f>SUM(J73:J98)</f>
        <v>11242.204599999995</v>
      </c>
      <c r="K99" s="43">
        <f>SUM(K73:K98)</f>
        <v>1551.101694</v>
      </c>
    </row>
    <row r="100" spans="1:11" ht="15.75" thickBot="1" x14ac:dyDescent="0.3">
      <c r="H100" s="164" t="s">
        <v>167</v>
      </c>
      <c r="I100" s="164"/>
      <c r="J100" s="165">
        <f>J99+K99</f>
        <v>12793.306293999995</v>
      </c>
      <c r="K100" s="166"/>
    </row>
  </sheetData>
  <mergeCells count="22">
    <mergeCell ref="O6:Q6"/>
    <mergeCell ref="O7:Q7"/>
    <mergeCell ref="O8:Q9"/>
    <mergeCell ref="O3:T3"/>
    <mergeCell ref="O4:Q4"/>
    <mergeCell ref="O5:Q5"/>
    <mergeCell ref="T8:T9"/>
    <mergeCell ref="S8:S9"/>
    <mergeCell ref="R8:R9"/>
    <mergeCell ref="A1:K1"/>
    <mergeCell ref="H35:I35"/>
    <mergeCell ref="H69:I69"/>
    <mergeCell ref="A37:K37"/>
    <mergeCell ref="H100:I100"/>
    <mergeCell ref="J100:K100"/>
    <mergeCell ref="A2:K2"/>
    <mergeCell ref="A71:K71"/>
    <mergeCell ref="H34:I34"/>
    <mergeCell ref="H68:I68"/>
    <mergeCell ref="H99:I99"/>
    <mergeCell ref="J69:K69"/>
    <mergeCell ref="J35:K35"/>
  </mergeCells>
  <conditionalFormatting sqref="A72:K98">
    <cfRule type="cellIs" dxfId="339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F92:F98" calculatedColumn="1"/>
  </ignoredError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234"/>
  <sheetViews>
    <sheetView tabSelected="1" zoomScale="85" zoomScaleNormal="85" workbookViewId="0">
      <selection activeCell="L23" sqref="L23"/>
    </sheetView>
  </sheetViews>
  <sheetFormatPr defaultRowHeight="15" x14ac:dyDescent="0.25"/>
  <cols>
    <col min="1" max="1" width="34.85546875" customWidth="1"/>
    <col min="2" max="2" width="9.7109375" customWidth="1"/>
    <col min="3" max="3" width="10.85546875" customWidth="1"/>
    <col min="4" max="5" width="8.85546875" customWidth="1"/>
    <col min="6" max="6" width="10.42578125" customWidth="1"/>
    <col min="7" max="7" width="8.85546875" customWidth="1"/>
    <col min="8" max="8" width="12.85546875" customWidth="1"/>
    <col min="9" max="9" width="16.42578125" customWidth="1"/>
    <col min="10" max="10" width="21.140625" customWidth="1"/>
    <col min="11" max="13" width="9.140625" customWidth="1"/>
    <col min="15" max="15" width="14" customWidth="1"/>
    <col min="16" max="16" width="12" customWidth="1"/>
    <col min="17" max="17" width="11.28515625" customWidth="1"/>
    <col min="18" max="18" width="14" customWidth="1"/>
    <col min="19" max="19" width="11.28515625" customWidth="1"/>
  </cols>
  <sheetData>
    <row r="1" spans="1:19" ht="23.25" x14ac:dyDescent="0.25">
      <c r="A1" s="159" t="s">
        <v>18</v>
      </c>
      <c r="B1" s="159"/>
      <c r="C1" s="159"/>
      <c r="D1" s="159"/>
      <c r="E1" s="159"/>
      <c r="F1" s="159"/>
      <c r="G1" s="159"/>
      <c r="H1" s="159"/>
      <c r="I1" s="159"/>
      <c r="J1" s="129"/>
      <c r="K1" s="129"/>
    </row>
    <row r="2" spans="1:19" ht="24" thickBot="1" x14ac:dyDescent="0.4">
      <c r="A2" s="158" t="s">
        <v>160</v>
      </c>
      <c r="B2" s="158"/>
      <c r="C2" s="158"/>
      <c r="D2" s="158"/>
      <c r="E2" s="158"/>
      <c r="F2" s="158"/>
      <c r="G2" s="158"/>
      <c r="H2" s="158"/>
      <c r="I2" s="158"/>
      <c r="J2" s="108"/>
      <c r="K2" s="108"/>
    </row>
    <row r="3" spans="1:19" ht="15.75" thickBot="1" x14ac:dyDescent="0.3">
      <c r="A3" s="40" t="s">
        <v>19</v>
      </c>
      <c r="B3" s="41" t="s">
        <v>168</v>
      </c>
      <c r="C3" s="41" t="s">
        <v>20</v>
      </c>
      <c r="D3" s="41" t="s">
        <v>12</v>
      </c>
      <c r="E3" s="41" t="s">
        <v>7</v>
      </c>
      <c r="F3" s="41" t="s">
        <v>21</v>
      </c>
      <c r="G3" s="41" t="s">
        <v>22</v>
      </c>
      <c r="H3" s="41" t="s">
        <v>23</v>
      </c>
      <c r="I3" s="42" t="s">
        <v>24</v>
      </c>
      <c r="L3" s="160" t="s">
        <v>539</v>
      </c>
      <c r="M3" s="160"/>
      <c r="N3" s="160"/>
      <c r="O3" s="160"/>
      <c r="P3" s="160"/>
      <c r="Q3" s="160"/>
    </row>
    <row r="4" spans="1:19" ht="15.75" thickBot="1" x14ac:dyDescent="0.3">
      <c r="A4" s="10" t="s">
        <v>237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4" si="0">(1.232*(D4-E4)*C4)</f>
        <v>162.35773030399997</v>
      </c>
      <c r="I4" s="15">
        <f t="shared" ref="I4:I34" si="1">3000*C4*(F4-G4)</f>
        <v>291.35822808945596</v>
      </c>
      <c r="L4" s="161"/>
      <c r="M4" s="161"/>
      <c r="N4" s="161"/>
      <c r="O4" s="135" t="s">
        <v>541</v>
      </c>
      <c r="P4" s="135" t="s">
        <v>542</v>
      </c>
      <c r="Q4" s="135" t="s">
        <v>430</v>
      </c>
    </row>
    <row r="5" spans="1:19" ht="15.75" thickBot="1" x14ac:dyDescent="0.3">
      <c r="A5" s="10" t="s">
        <v>238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  <c r="L5" s="162" t="s">
        <v>160</v>
      </c>
      <c r="M5" s="162"/>
      <c r="N5" s="162"/>
      <c r="O5" s="6">
        <f>H73</f>
        <v>6335.2156108951121</v>
      </c>
      <c r="P5" s="7">
        <f>I73</f>
        <v>13463.221743267075</v>
      </c>
      <c r="Q5" s="7">
        <f>O5+P5</f>
        <v>19798.437354162186</v>
      </c>
    </row>
    <row r="6" spans="1:19" ht="15.75" thickBot="1" x14ac:dyDescent="0.3">
      <c r="A6" s="10" t="s">
        <v>239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  <c r="L6" s="162" t="s">
        <v>41</v>
      </c>
      <c r="M6" s="162"/>
      <c r="N6" s="162"/>
      <c r="O6" s="6">
        <f>H158</f>
        <v>5646.4769823865836</v>
      </c>
      <c r="P6" s="7">
        <f>I158</f>
        <v>11703.581284820526</v>
      </c>
      <c r="Q6" s="7">
        <f>O6+P6</f>
        <v>17350.05826720711</v>
      </c>
    </row>
    <row r="7" spans="1:19" ht="15.75" thickBot="1" x14ac:dyDescent="0.3">
      <c r="A7" s="10" t="s">
        <v>240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L7" s="162" t="s">
        <v>59</v>
      </c>
      <c r="M7" s="162"/>
      <c r="N7" s="162"/>
      <c r="O7" s="6">
        <f>H233</f>
        <v>5262.10371996711</v>
      </c>
      <c r="P7" s="6">
        <f>I233</f>
        <v>11094.22704318328</v>
      </c>
      <c r="Q7" s="7">
        <f>O7+P7</f>
        <v>16356.33076315039</v>
      </c>
    </row>
    <row r="8" spans="1:19" ht="15.75" thickBot="1" x14ac:dyDescent="0.3">
      <c r="A8" s="10" t="s">
        <v>319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L8" s="163" t="s">
        <v>540</v>
      </c>
      <c r="M8" s="163"/>
      <c r="N8" s="163"/>
      <c r="O8" s="167">
        <f>SUM(O5:O7)</f>
        <v>17243.796313248808</v>
      </c>
      <c r="P8" s="167">
        <f>SUM(P5:P7)</f>
        <v>36261.030071270885</v>
      </c>
      <c r="Q8" s="167">
        <f>Q5+Q6+Q7</f>
        <v>53504.826384519685</v>
      </c>
    </row>
    <row r="9" spans="1:19" ht="15.75" thickBot="1" x14ac:dyDescent="0.3">
      <c r="A9" s="10" t="s">
        <v>241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L9" s="163"/>
      <c r="M9" s="163"/>
      <c r="N9" s="163"/>
      <c r="O9" s="168"/>
      <c r="P9" s="168"/>
      <c r="Q9" s="168"/>
      <c r="R9" s="1"/>
      <c r="S9" s="1"/>
    </row>
    <row r="10" spans="1:19" ht="15.75" thickBot="1" x14ac:dyDescent="0.3">
      <c r="A10" s="10" t="s">
        <v>242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P10" s="1"/>
      <c r="Q10" s="1"/>
      <c r="R10" s="1"/>
      <c r="S10" s="1"/>
    </row>
    <row r="11" spans="1:19" ht="15.75" thickBot="1" x14ac:dyDescent="0.3">
      <c r="A11" s="10" t="s">
        <v>243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P11" s="1"/>
      <c r="Q11" s="1"/>
      <c r="R11" s="1"/>
      <c r="S11" s="1"/>
    </row>
    <row r="12" spans="1:19" ht="15.75" thickBot="1" x14ac:dyDescent="0.3">
      <c r="A12" s="10" t="s">
        <v>244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P12" s="1"/>
      <c r="Q12" s="1"/>
      <c r="R12" s="1"/>
      <c r="S12" s="1"/>
    </row>
    <row r="13" spans="1:19" ht="15.75" thickBot="1" x14ac:dyDescent="0.3">
      <c r="A13" s="10" t="s">
        <v>552</v>
      </c>
      <c r="B13" s="6">
        <f>References!Z13*4</f>
        <v>525.20000000000005</v>
      </c>
      <c r="C13" s="6">
        <f>(References!Y13*B13)/3.6</f>
        <v>38.51466666666667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569.40083200000004</v>
      </c>
      <c r="I13" s="15">
        <f t="shared" si="1"/>
        <v>1115.7092712480001</v>
      </c>
      <c r="M13" s="46"/>
      <c r="N13" s="46"/>
    </row>
    <row r="14" spans="1:19" ht="15.75" thickBot="1" x14ac:dyDescent="0.3">
      <c r="A14" s="10" t="s">
        <v>320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19" ht="15.75" thickBot="1" x14ac:dyDescent="0.3">
      <c r="A15" s="10" t="s">
        <v>246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19" ht="15.75" thickBot="1" x14ac:dyDescent="0.3">
      <c r="A16" s="10" t="s">
        <v>247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19" ht="15.75" thickBot="1" x14ac:dyDescent="0.3">
      <c r="A17" s="10" t="s">
        <v>248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19" ht="15.75" thickBot="1" x14ac:dyDescent="0.3">
      <c r="A18" s="10" t="s">
        <v>249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O18" s="1"/>
      <c r="P18" s="1"/>
    </row>
    <row r="19" spans="1:19" ht="15.75" thickBot="1" x14ac:dyDescent="0.3">
      <c r="A19" s="10" t="s">
        <v>250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O19" s="1"/>
      <c r="P19" s="1"/>
    </row>
    <row r="20" spans="1:19" ht="15.75" thickBot="1" x14ac:dyDescent="0.3">
      <c r="A20" s="10" t="s">
        <v>251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19" ht="15.75" thickBot="1" x14ac:dyDescent="0.3">
      <c r="A21" s="10" t="s">
        <v>252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19" ht="15.75" thickBot="1" x14ac:dyDescent="0.3">
      <c r="A22" s="10" t="s">
        <v>253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P22" s="169"/>
      <c r="Q22" s="169"/>
    </row>
    <row r="23" spans="1:19" ht="15.75" thickBot="1" x14ac:dyDescent="0.3">
      <c r="A23" s="10" t="s">
        <v>321</v>
      </c>
      <c r="B23" s="6">
        <f>References!Z24*4</f>
        <v>11.9092</v>
      </c>
      <c r="C23" s="6">
        <f>(References!Y24*B23)/3.6</f>
        <v>0.83860616666666665</v>
      </c>
      <c r="D23" s="6">
        <v>34.5</v>
      </c>
      <c r="E23" s="6">
        <v>24</v>
      </c>
      <c r="F23" s="6">
        <v>1.8136751999999999E-2</v>
      </c>
      <c r="G23" s="6">
        <v>9.2932350000000004E-3</v>
      </c>
      <c r="H23" s="6">
        <f t="shared" si="0"/>
        <v>10.848209371999999</v>
      </c>
      <c r="I23" s="15">
        <f t="shared" si="1"/>
        <v>22.248683673664495</v>
      </c>
      <c r="P23" s="2"/>
      <c r="Q23" s="1"/>
      <c r="R23" s="1"/>
      <c r="S23" s="1"/>
    </row>
    <row r="24" spans="1:19" ht="15.75" thickBot="1" x14ac:dyDescent="0.3">
      <c r="A24" s="13" t="s">
        <v>28</v>
      </c>
      <c r="B24" s="6">
        <f>References!Z25*4</f>
        <v>2624.7159999999999</v>
      </c>
      <c r="C24" s="6">
        <f>(References!Y25*B24)/3.6</f>
        <v>164.40929388888887</v>
      </c>
      <c r="D24" s="6">
        <v>34.5</v>
      </c>
      <c r="E24" s="6">
        <v>28</v>
      </c>
      <c r="F24" s="6">
        <v>1.8136751999999999E-2</v>
      </c>
      <c r="G24" s="6">
        <v>1.18162235E-2</v>
      </c>
      <c r="H24" s="6">
        <f t="shared" si="0"/>
        <v>1316.5896254622219</v>
      </c>
      <c r="I24" s="15">
        <f t="shared" si="1"/>
        <v>3117.460883068793</v>
      </c>
      <c r="P24" s="2"/>
      <c r="Q24" s="1"/>
      <c r="R24" s="1"/>
      <c r="S24" s="1"/>
    </row>
    <row r="25" spans="1:19" ht="15.75" thickBot="1" x14ac:dyDescent="0.3">
      <c r="A25" s="10" t="s">
        <v>255</v>
      </c>
      <c r="B25" s="6">
        <f>References!Z26*4</f>
        <v>131.44</v>
      </c>
      <c r="C25" s="6">
        <f>(References!Y26*B25)/3.6</f>
        <v>9.7667222222222225</v>
      </c>
      <c r="D25" s="6">
        <v>34.5</v>
      </c>
      <c r="E25" s="6">
        <v>22</v>
      </c>
      <c r="F25" s="6">
        <v>1.8136751999999999E-2</v>
      </c>
      <c r="G25" s="6">
        <v>8.2197599999999996E-3</v>
      </c>
      <c r="H25" s="6">
        <f t="shared" si="0"/>
        <v>150.40752222222224</v>
      </c>
      <c r="I25" s="15">
        <f t="shared" si="1"/>
        <v>290.569518432</v>
      </c>
    </row>
    <row r="26" spans="1:19" ht="15.75" thickBot="1" x14ac:dyDescent="0.3">
      <c r="A26" s="10" t="s">
        <v>256</v>
      </c>
      <c r="B26" s="6">
        <f>References!Z27*4</f>
        <v>50.71</v>
      </c>
      <c r="C26" s="6">
        <f>(References!Y27*B26)/3.6</f>
        <v>3.7187333333333337</v>
      </c>
      <c r="D26" s="6">
        <v>34.5</v>
      </c>
      <c r="E26" s="6">
        <v>22.5</v>
      </c>
      <c r="F26" s="6">
        <v>1.8136751999999999E-2</v>
      </c>
      <c r="G26" s="6">
        <v>8.4806099999999995E-3</v>
      </c>
      <c r="H26" s="6">
        <f t="shared" si="0"/>
        <v>54.9777536</v>
      </c>
      <c r="I26" s="15">
        <f t="shared" si="1"/>
        <v>107.7258513804</v>
      </c>
      <c r="O26" s="1"/>
      <c r="P26" s="1"/>
      <c r="Q26" s="1"/>
      <c r="R26" s="1"/>
    </row>
    <row r="27" spans="1:19" ht="15.75" thickBot="1" x14ac:dyDescent="0.3">
      <c r="A27" s="10" t="s">
        <v>322</v>
      </c>
      <c r="B27" s="6">
        <f>References!Z28*4</f>
        <v>12.9452</v>
      </c>
      <c r="C27" s="6">
        <f>(References!Y28*B27)/3.6</f>
        <v>0.91155783333333329</v>
      </c>
      <c r="D27" s="6">
        <v>34.5</v>
      </c>
      <c r="E27" s="6">
        <v>24</v>
      </c>
      <c r="F27" s="6">
        <v>1.8136751999999999E-2</v>
      </c>
      <c r="G27" s="6">
        <v>9.2932350000000004E-3</v>
      </c>
      <c r="H27" s="6">
        <f t="shared" si="0"/>
        <v>11.791912132</v>
      </c>
      <c r="I27" s="15">
        <f t="shared" si="1"/>
        <v>24.184131586699497</v>
      </c>
      <c r="O27" s="1"/>
      <c r="P27" s="1"/>
      <c r="Q27" s="1"/>
      <c r="R27" s="1"/>
    </row>
    <row r="28" spans="1:19" ht="15.75" thickBot="1" x14ac:dyDescent="0.3">
      <c r="A28" s="10" t="s">
        <v>257</v>
      </c>
      <c r="B28" s="6">
        <f>References!Z29*4</f>
        <v>57.5244</v>
      </c>
      <c r="C28" s="6">
        <f>(References!Y29*B28)/3.6</f>
        <v>4.2184559999999998</v>
      </c>
      <c r="D28" s="6">
        <v>34.5</v>
      </c>
      <c r="E28" s="6">
        <v>22.5</v>
      </c>
      <c r="F28" s="6">
        <v>1.8136751999999999E-2</v>
      </c>
      <c r="G28" s="6">
        <v>8.4806099999999995E-3</v>
      </c>
      <c r="H28" s="6">
        <f t="shared" si="0"/>
        <v>62.365653503999994</v>
      </c>
      <c r="I28" s="15">
        <f t="shared" si="1"/>
        <v>122.20203047025598</v>
      </c>
    </row>
    <row r="29" spans="1:19" ht="15.75" thickBot="1" x14ac:dyDescent="0.3">
      <c r="A29" s="8" t="s">
        <v>258</v>
      </c>
      <c r="B29" s="6">
        <f>References!Z30*4</f>
        <v>57.5244</v>
      </c>
      <c r="C29" s="6">
        <f>(References!Y30*B29)/3.6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19" ht="15.75" thickBot="1" x14ac:dyDescent="0.3">
      <c r="A30" s="10" t="s">
        <v>259</v>
      </c>
      <c r="B30" s="6">
        <f>References!Z31*4</f>
        <v>35.860399999999998</v>
      </c>
      <c r="C30" s="6">
        <f>(References!Y31*B30)/3.6</f>
        <v>2.6297626666666667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38.878411264</v>
      </c>
      <c r="I30" s="15">
        <f t="shared" si="1"/>
        <v>76.180085206895995</v>
      </c>
    </row>
    <row r="31" spans="1:19" ht="15.75" thickBot="1" x14ac:dyDescent="0.3">
      <c r="A31" s="10" t="s">
        <v>260</v>
      </c>
      <c r="B31" s="6">
        <f>References!Z32*4</f>
        <v>57.742400000000004</v>
      </c>
      <c r="C31" s="6">
        <f>(References!Y32*B31)/3.6</f>
        <v>4.2344426666666672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62.602000384000007</v>
      </c>
      <c r="I31" s="15">
        <f t="shared" si="1"/>
        <v>122.66513904057601</v>
      </c>
    </row>
    <row r="32" spans="1:19" ht="15.75" thickBot="1" x14ac:dyDescent="0.3">
      <c r="A32" s="10" t="s">
        <v>261</v>
      </c>
      <c r="B32" s="6">
        <f>References!Z33*4</f>
        <v>57.742400000000004</v>
      </c>
      <c r="C32" s="6">
        <f>(References!Y33*B32)/3.6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.75" thickBot="1" x14ac:dyDescent="0.3">
      <c r="A33" s="10" t="s">
        <v>262</v>
      </c>
      <c r="B33" s="6">
        <f>References!Z34*4</f>
        <v>21.95</v>
      </c>
      <c r="C33" s="6">
        <f>(References!Y34*B33)/3.6</f>
        <v>1.6096666666666668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23.797312000000002</v>
      </c>
      <c r="I33" s="15">
        <f t="shared" si="1"/>
        <v>46.629509717999994</v>
      </c>
    </row>
    <row r="34" spans="1:9" ht="15.75" thickBot="1" x14ac:dyDescent="0.3">
      <c r="A34" s="10" t="s">
        <v>263</v>
      </c>
      <c r="B34" s="6">
        <f>References!Z35*4</f>
        <v>22.04</v>
      </c>
      <c r="C34" s="6">
        <f>(References!Y35*B34)/3.6</f>
        <v>1.6162666666666665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23.894886399999997</v>
      </c>
      <c r="I34" s="15">
        <f t="shared" si="1"/>
        <v>46.820701329599991</v>
      </c>
    </row>
    <row r="35" spans="1:9" ht="15.75" thickBot="1" x14ac:dyDescent="0.3">
      <c r="A35" s="10" t="s">
        <v>264</v>
      </c>
      <c r="B35" s="6">
        <f>References!Z36*4</f>
        <v>22.545200000000001</v>
      </c>
      <c r="C35" s="6">
        <f>(References!Y36*B35)/3.6</f>
        <v>1.6533146666666667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ref="H35:H65" si="2">(1.232*(D35-E35)*C35)</f>
        <v>24.442604031999998</v>
      </c>
      <c r="I35" s="15">
        <f t="shared" ref="I35:I65" si="3">3000*C35*(F35-G35)</f>
        <v>47.893923576048003</v>
      </c>
    </row>
    <row r="36" spans="1:9" ht="15.75" thickBot="1" x14ac:dyDescent="0.3">
      <c r="A36" s="10" t="s">
        <v>265</v>
      </c>
      <c r="B36" s="6">
        <f>References!Z37*4</f>
        <v>22.081199999999999</v>
      </c>
      <c r="C36" s="6">
        <f>(References!Y37*B36)/3.6</f>
        <v>1.5548845</v>
      </c>
      <c r="D36" s="6">
        <v>34.5</v>
      </c>
      <c r="E36" s="6">
        <v>24</v>
      </c>
      <c r="F36" s="6">
        <v>1.8136751999999999E-2</v>
      </c>
      <c r="G36" s="6">
        <v>9.2932350000000004E-3</v>
      </c>
      <c r="H36" s="6">
        <f t="shared" si="2"/>
        <v>20.113985891999999</v>
      </c>
      <c r="I36" s="15">
        <f t="shared" si="3"/>
        <v>41.2519425263595</v>
      </c>
    </row>
    <row r="37" spans="1:9" ht="15.75" thickBot="1" x14ac:dyDescent="0.3">
      <c r="A37" s="10" t="s">
        <v>266</v>
      </c>
      <c r="B37" s="6">
        <f>References!Z38*4</f>
        <v>36.596800000000002</v>
      </c>
      <c r="C37" s="6">
        <f>(References!Y38*B37)/3.6</f>
        <v>2.6837653333333336</v>
      </c>
      <c r="D37" s="6">
        <v>34.5</v>
      </c>
      <c r="E37" s="6">
        <v>22.5</v>
      </c>
      <c r="F37" s="6">
        <v>1.8136751999999999E-2</v>
      </c>
      <c r="G37" s="6">
        <v>8.4806099999999995E-3</v>
      </c>
      <c r="H37" s="6">
        <f t="shared" si="2"/>
        <v>39.676786688</v>
      </c>
      <c r="I37" s="15">
        <f t="shared" si="3"/>
        <v>77.744457460031995</v>
      </c>
    </row>
    <row r="38" spans="1:9" ht="15.75" thickBot="1" x14ac:dyDescent="0.3">
      <c r="A38" s="10" t="s">
        <v>267</v>
      </c>
      <c r="B38" s="6">
        <f>References!Z39*4</f>
        <v>19.808800000000002</v>
      </c>
      <c r="C38" s="6">
        <f>(References!Y39*B38)/3.6</f>
        <v>1.4526453333333336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21.475908608000001</v>
      </c>
      <c r="I38" s="15">
        <f t="shared" si="3"/>
        <v>42.080848842912005</v>
      </c>
    </row>
    <row r="39" spans="1:9" ht="15.75" thickBot="1" x14ac:dyDescent="0.3">
      <c r="A39" s="10" t="s">
        <v>268</v>
      </c>
      <c r="B39" s="6">
        <f>References!Z40*4</f>
        <v>101.01519999999999</v>
      </c>
      <c r="C39" s="6">
        <f>(References!Y40*B39)/3.6</f>
        <v>7.4077813333333333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109.51663923199999</v>
      </c>
      <c r="I39" s="15">
        <f t="shared" si="3"/>
        <v>214.59176537884801</v>
      </c>
    </row>
    <row r="40" spans="1:9" ht="15.75" thickBot="1" x14ac:dyDescent="0.3">
      <c r="A40" s="10" t="s">
        <v>269</v>
      </c>
      <c r="B40" s="6">
        <f>References!Z41*4</f>
        <v>57.5244</v>
      </c>
      <c r="C40" s="6">
        <f>(References!Y41*B40)/3.6</f>
        <v>4.2184559999999998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62.365653503999994</v>
      </c>
      <c r="I40" s="15">
        <f t="shared" si="3"/>
        <v>122.20203047025598</v>
      </c>
    </row>
    <row r="41" spans="1:9" ht="15.75" thickBot="1" x14ac:dyDescent="0.3">
      <c r="A41" s="10" t="s">
        <v>270</v>
      </c>
      <c r="B41" s="6">
        <f>References!Z42*4</f>
        <v>57.5244</v>
      </c>
      <c r="C41" s="6">
        <f>(References!Y42*B41)/3.6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.75" thickBot="1" x14ac:dyDescent="0.3">
      <c r="A42" s="10" t="s">
        <v>271</v>
      </c>
      <c r="B42" s="6">
        <f>References!Z43*4</f>
        <v>41.671999999999997</v>
      </c>
      <c r="C42" s="6">
        <f>(References!Y43*B42)/3.6</f>
        <v>3.0559466666666664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45.179115519999989</v>
      </c>
      <c r="I42" s="15">
        <f t="shared" si="3"/>
        <v>88.525964873279975</v>
      </c>
    </row>
    <row r="43" spans="1:9" ht="15.75" thickBot="1" x14ac:dyDescent="0.3">
      <c r="A43" s="10" t="s">
        <v>272</v>
      </c>
      <c r="B43" s="6">
        <f>References!Z44*4</f>
        <v>39.921999999999997</v>
      </c>
      <c r="C43" s="6">
        <f>(References!Y44*B43)/3.6</f>
        <v>2.9276133333333334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43.281835520000001</v>
      </c>
      <c r="I43" s="15">
        <f t="shared" si="3"/>
        <v>84.80835020328</v>
      </c>
    </row>
    <row r="44" spans="1:9" ht="15.75" thickBot="1" x14ac:dyDescent="0.3">
      <c r="A44" s="10" t="s">
        <v>273</v>
      </c>
      <c r="B44" s="6">
        <f>References!Z45*4</f>
        <v>57.742400000000004</v>
      </c>
      <c r="C44" s="6">
        <f>(References!Y45*B44)/3.6</f>
        <v>4.2344426666666672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62.602000384000007</v>
      </c>
      <c r="I44" s="15">
        <f t="shared" si="3"/>
        <v>122.66513904057601</v>
      </c>
    </row>
    <row r="45" spans="1:9" ht="15.75" thickBot="1" x14ac:dyDescent="0.3">
      <c r="A45" s="10" t="s">
        <v>274</v>
      </c>
      <c r="B45" s="6">
        <f>References!Z46*4</f>
        <v>57.742400000000004</v>
      </c>
      <c r="C45" s="6">
        <f>(References!Y46*B45)/3.6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.75" thickBot="1" x14ac:dyDescent="0.3">
      <c r="A46" s="10" t="s">
        <v>275</v>
      </c>
      <c r="B46" s="6">
        <f>References!Z48*4</f>
        <v>33.723999999999997</v>
      </c>
      <c r="C46" s="6">
        <f>(References!Y48*B46)/3.6</f>
        <v>2.4730933333333334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36.562211839999996</v>
      </c>
      <c r="I46" s="15">
        <f t="shared" si="3"/>
        <v>71.64162121775999</v>
      </c>
    </row>
    <row r="47" spans="1:9" ht="15.75" thickBot="1" x14ac:dyDescent="0.3">
      <c r="A47" s="10" t="s">
        <v>276</v>
      </c>
      <c r="B47" s="6">
        <f>References!Z49*4</f>
        <v>33.254800000000003</v>
      </c>
      <c r="C47" s="6">
        <f>(References!Y49*B47)/3.6</f>
        <v>2.3416921666666668</v>
      </c>
      <c r="D47" s="6">
        <v>34.5</v>
      </c>
      <c r="E47" s="6">
        <v>24</v>
      </c>
      <c r="F47" s="6">
        <v>1.8136751999999999E-2</v>
      </c>
      <c r="G47" s="6">
        <v>9.2932350000000004E-3</v>
      </c>
      <c r="H47" s="6">
        <f t="shared" si="2"/>
        <v>30.292129868</v>
      </c>
      <c r="I47" s="15">
        <f t="shared" si="3"/>
        <v>62.12638345405049</v>
      </c>
    </row>
    <row r="48" spans="1:9" ht="15.75" thickBot="1" x14ac:dyDescent="0.3">
      <c r="A48" s="10" t="s">
        <v>277</v>
      </c>
      <c r="B48" s="6">
        <f>References!Z50*4</f>
        <v>33.75</v>
      </c>
      <c r="C48" s="6">
        <f>(References!Y50*B48)/3.6</f>
        <v>2.3765625000000004</v>
      </c>
      <c r="D48" s="6">
        <v>34.5</v>
      </c>
      <c r="E48" s="6">
        <v>24</v>
      </c>
      <c r="F48" s="6">
        <v>1.8136751999999999E-2</v>
      </c>
      <c r="G48" s="6">
        <v>8.4806099999999995E-3</v>
      </c>
      <c r="H48" s="6">
        <f t="shared" si="2"/>
        <v>30.743212500000006</v>
      </c>
      <c r="I48" s="15">
        <f t="shared" si="3"/>
        <v>68.845274915625012</v>
      </c>
    </row>
    <row r="49" spans="1:9" ht="15.75" thickBot="1" x14ac:dyDescent="0.3">
      <c r="A49" s="10" t="s">
        <v>278</v>
      </c>
      <c r="B49" s="6">
        <f>References!Z51*4</f>
        <v>54.427999999999997</v>
      </c>
      <c r="C49" s="6">
        <f>(References!Y51*B49)/3.6</f>
        <v>3.9913866666666666</v>
      </c>
      <c r="D49" s="6">
        <v>34.5</v>
      </c>
      <c r="E49" s="6">
        <v>22.5</v>
      </c>
      <c r="F49" s="6">
        <v>1.8136751999999999E-2</v>
      </c>
      <c r="G49" s="6">
        <v>8.4806099999999995E-3</v>
      </c>
      <c r="H49" s="6">
        <f t="shared" si="2"/>
        <v>59.008660479999996</v>
      </c>
      <c r="I49" s="15">
        <f t="shared" si="3"/>
        <v>115.62418929072</v>
      </c>
    </row>
    <row r="50" spans="1:9" ht="15.75" thickBot="1" x14ac:dyDescent="0.3">
      <c r="A50" s="10" t="s">
        <v>279</v>
      </c>
      <c r="B50" s="6">
        <f>References!Z52*4</f>
        <v>69.039599999999993</v>
      </c>
      <c r="C50" s="6">
        <f>(References!Y52*B50)/3.6</f>
        <v>4.8615385</v>
      </c>
      <c r="D50" s="6">
        <v>34.5</v>
      </c>
      <c r="E50" s="6">
        <v>24</v>
      </c>
      <c r="F50" s="6">
        <v>1.8136751999999999E-2</v>
      </c>
      <c r="G50" s="6">
        <v>9.2932350000000004E-3</v>
      </c>
      <c r="H50" s="6">
        <f t="shared" si="2"/>
        <v>62.888862035999999</v>
      </c>
      <c r="I50" s="15">
        <f t="shared" si="3"/>
        <v>128.97929511271349</v>
      </c>
    </row>
    <row r="51" spans="1:9" ht="15.75" thickBot="1" x14ac:dyDescent="0.3">
      <c r="A51" s="10" t="s">
        <v>280</v>
      </c>
      <c r="B51" s="6">
        <f>References!Z53*4</f>
        <v>68.506799999999998</v>
      </c>
      <c r="C51" s="6">
        <f>(References!Y53*B51)/3.6</f>
        <v>5.0238319999999996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74.272332287999987</v>
      </c>
      <c r="I51" s="15">
        <f t="shared" si="3"/>
        <v>145.53250552843198</v>
      </c>
    </row>
    <row r="52" spans="1:9" ht="15.75" thickBot="1" x14ac:dyDescent="0.3">
      <c r="A52" s="10" t="s">
        <v>281</v>
      </c>
      <c r="B52" s="6">
        <f>References!Z54*4</f>
        <v>34.284399999999998</v>
      </c>
      <c r="C52" s="6">
        <f>(References!Y54*B52)/3.6</f>
        <v>2.5141893333333334</v>
      </c>
      <c r="D52" s="6">
        <v>34.5</v>
      </c>
      <c r="E52" s="6">
        <v>22.5</v>
      </c>
      <c r="F52" s="6">
        <v>1.8136751999999999E-2</v>
      </c>
      <c r="G52" s="6">
        <v>8.4806099999999995E-3</v>
      </c>
      <c r="H52" s="6">
        <f t="shared" si="2"/>
        <v>37.169775103999996</v>
      </c>
      <c r="I52" s="15">
        <f t="shared" si="3"/>
        <v>72.832107652655992</v>
      </c>
    </row>
    <row r="53" spans="1:9" ht="15.75" thickBot="1" x14ac:dyDescent="0.3">
      <c r="A53" s="10" t="s">
        <v>282</v>
      </c>
      <c r="B53" s="6">
        <f>References!Z55*4</f>
        <v>141.27080000000001</v>
      </c>
      <c r="C53" s="6">
        <f>(References!Y55*B53)/3.6</f>
        <v>10.359858666666666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153.16015052799997</v>
      </c>
      <c r="I53" s="15">
        <f t="shared" si="3"/>
        <v>300.10879915579198</v>
      </c>
    </row>
    <row r="54" spans="1:9" ht="15.75" thickBot="1" x14ac:dyDescent="0.3">
      <c r="A54" s="10" t="s">
        <v>283</v>
      </c>
      <c r="B54" s="6">
        <f>References!Z56*4</f>
        <v>54.393599999999999</v>
      </c>
      <c r="C54" s="6">
        <f>(References!Y56*B54)/3.6</f>
        <v>3.988864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58.971365375999994</v>
      </c>
      <c r="I54" s="15">
        <f t="shared" si="3"/>
        <v>115.55111160806401</v>
      </c>
    </row>
    <row r="55" spans="1:9" ht="15.75" thickBot="1" x14ac:dyDescent="0.3">
      <c r="A55" s="10" t="s">
        <v>284</v>
      </c>
      <c r="B55" s="6">
        <f>References!Z57*4</f>
        <v>68.171199999999999</v>
      </c>
      <c r="C55" s="6">
        <f>(References!Y57*B55)/3.6</f>
        <v>4.8003886666666666</v>
      </c>
      <c r="D55" s="6">
        <v>34.5</v>
      </c>
      <c r="E55" s="6">
        <v>24</v>
      </c>
      <c r="F55" s="6">
        <v>1.8136751999999999E-2</v>
      </c>
      <c r="G55" s="6">
        <v>9.2932350000000004E-3</v>
      </c>
      <c r="H55" s="6">
        <f t="shared" si="2"/>
        <v>62.097827791999997</v>
      </c>
      <c r="I55" s="15">
        <f t="shared" si="3"/>
        <v>127.35695634082198</v>
      </c>
    </row>
    <row r="56" spans="1:9" ht="15.75" thickBot="1" x14ac:dyDescent="0.3">
      <c r="A56" s="10" t="s">
        <v>285</v>
      </c>
      <c r="B56" s="6">
        <f>References!Z58*4</f>
        <v>41.766800000000003</v>
      </c>
      <c r="C56" s="6">
        <f>(References!Y58*B56)/3.6</f>
        <v>3.0628986666666669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45.281893887999999</v>
      </c>
      <c r="I56" s="15">
        <f t="shared" si="3"/>
        <v>88.727353370831992</v>
      </c>
    </row>
    <row r="57" spans="1:9" ht="15.75" thickBot="1" x14ac:dyDescent="0.3">
      <c r="A57" s="10" t="s">
        <v>286</v>
      </c>
      <c r="B57" s="6">
        <f>References!Z59*4</f>
        <v>46.367600000000003</v>
      </c>
      <c r="C57" s="6">
        <f>(References!Y59*B57)/3.6</f>
        <v>3.4002906666666672</v>
      </c>
      <c r="D57" s="6">
        <v>34.5</v>
      </c>
      <c r="E57" s="6">
        <v>22.5</v>
      </c>
      <c r="F57" s="6">
        <v>1.8136751999999999E-2</v>
      </c>
      <c r="G57" s="6">
        <v>8.4806099999999995E-3</v>
      </c>
      <c r="H57" s="6">
        <f t="shared" si="2"/>
        <v>50.269897216000004</v>
      </c>
      <c r="I57" s="15">
        <f t="shared" si="3"/>
        <v>98.501068555824006</v>
      </c>
    </row>
    <row r="58" spans="1:9" ht="15.75" thickBot="1" x14ac:dyDescent="0.3">
      <c r="A58" s="10" t="s">
        <v>287</v>
      </c>
      <c r="B58" s="6">
        <f>References!Z60*4</f>
        <v>76.307599999999994</v>
      </c>
      <c r="C58" s="6">
        <f>(References!Y60*B58)/3.6</f>
        <v>5.5958906666666666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82.729647615999994</v>
      </c>
      <c r="I58" s="15">
        <f t="shared" si="3"/>
        <v>162.10414468142397</v>
      </c>
    </row>
    <row r="59" spans="1:9" ht="15.75" thickBot="1" x14ac:dyDescent="0.3">
      <c r="A59" s="10" t="s">
        <v>323</v>
      </c>
      <c r="B59" s="6">
        <f>References!Z61*4</f>
        <v>10.137600000000001</v>
      </c>
      <c r="C59" s="6">
        <f>(References!Y61*B59)/3.6</f>
        <v>0.71385600000000016</v>
      </c>
      <c r="D59" s="6">
        <v>34.5</v>
      </c>
      <c r="E59" s="6">
        <v>24</v>
      </c>
      <c r="F59" s="6">
        <v>1.8136751999999999E-2</v>
      </c>
      <c r="G59" s="6">
        <v>9.2932350000000004E-3</v>
      </c>
      <c r="H59" s="6">
        <f t="shared" si="2"/>
        <v>9.2344412160000022</v>
      </c>
      <c r="I59" s="15">
        <f t="shared" si="3"/>
        <v>18.938993014656003</v>
      </c>
    </row>
    <row r="60" spans="1:9" ht="15.75" thickBot="1" x14ac:dyDescent="0.3">
      <c r="A60" s="10" t="s">
        <v>288</v>
      </c>
      <c r="B60" s="6">
        <f>References!Z62*4</f>
        <v>136.86080000000001</v>
      </c>
      <c r="C60" s="6">
        <f>(References!Y62*B60)/3.6</f>
        <v>9.637281333333334</v>
      </c>
      <c r="D60" s="6">
        <v>34.5</v>
      </c>
      <c r="E60" s="6">
        <v>24</v>
      </c>
      <c r="F60" s="6">
        <v>1.8136751999999999E-2</v>
      </c>
      <c r="G60" s="6">
        <v>9.2932350000000004E-3</v>
      </c>
      <c r="H60" s="6">
        <f t="shared" si="2"/>
        <v>124.667871328</v>
      </c>
      <c r="I60" s="15">
        <f t="shared" si="3"/>
        <v>255.68238391534797</v>
      </c>
    </row>
    <row r="61" spans="1:9" ht="15.75" thickBot="1" x14ac:dyDescent="0.3">
      <c r="A61" s="10" t="s">
        <v>289</v>
      </c>
      <c r="B61" s="6">
        <f>References!Z63*4</f>
        <v>10.3764</v>
      </c>
      <c r="C61" s="6">
        <f>(References!Y63*B61)/3.6</f>
        <v>0.73067150000000003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9.4519665239999995</v>
      </c>
      <c r="I61" s="15">
        <f t="shared" si="3"/>
        <v>19.3851174949965</v>
      </c>
    </row>
    <row r="62" spans="1:9" ht="15.75" thickBot="1" x14ac:dyDescent="0.3">
      <c r="A62" s="10" t="s">
        <v>290</v>
      </c>
      <c r="B62" s="6">
        <f>References!Z64*4</f>
        <v>7.85</v>
      </c>
      <c r="C62" s="6">
        <f>(References!Y64*B62)/3.6</f>
        <v>0.55277083333333332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7.1506435000000002</v>
      </c>
      <c r="I62" s="15">
        <f t="shared" si="3"/>
        <v>14.665314785062497</v>
      </c>
    </row>
    <row r="63" spans="1:9" ht="15.75" thickBot="1" x14ac:dyDescent="0.3">
      <c r="A63" s="10" t="s">
        <v>291</v>
      </c>
      <c r="B63" s="6">
        <f>References!Z65*4</f>
        <v>22.8736</v>
      </c>
      <c r="C63" s="6">
        <f>(References!Y65*B63)/3.6</f>
        <v>1.6773973333333334</v>
      </c>
      <c r="D63" s="6">
        <v>34.5</v>
      </c>
      <c r="E63" s="6">
        <v>22.5</v>
      </c>
      <c r="F63" s="6">
        <v>1.8136751999999999E-2</v>
      </c>
      <c r="G63" s="6">
        <v>8.4806099999999995E-3</v>
      </c>
      <c r="H63" s="6">
        <f t="shared" si="2"/>
        <v>24.798642175999998</v>
      </c>
      <c r="I63" s="15">
        <f t="shared" si="3"/>
        <v>48.591560523264</v>
      </c>
    </row>
    <row r="64" spans="1:9" ht="15.75" thickBot="1" x14ac:dyDescent="0.3">
      <c r="A64" s="10" t="s">
        <v>292</v>
      </c>
      <c r="B64" s="6">
        <f>References!Z66*4</f>
        <v>36.9</v>
      </c>
      <c r="C64" s="6">
        <f>(References!Y66*B64)/3.6</f>
        <v>2.706</v>
      </c>
      <c r="D64" s="6">
        <v>34.5</v>
      </c>
      <c r="E64" s="6">
        <v>22.5</v>
      </c>
      <c r="F64" s="6">
        <v>1.8136751999999999E-2</v>
      </c>
      <c r="G64" s="6">
        <v>8.4806099999999995E-3</v>
      </c>
      <c r="H64" s="6">
        <f t="shared" si="2"/>
        <v>40.005503999999995</v>
      </c>
      <c r="I64" s="15">
        <f t="shared" si="3"/>
        <v>78.38856075599999</v>
      </c>
    </row>
    <row r="65" spans="1:9" ht="15.75" thickBot="1" x14ac:dyDescent="0.3">
      <c r="A65" s="10" t="s">
        <v>324</v>
      </c>
      <c r="B65" s="6">
        <f>References!Z67*4</f>
        <v>7.78</v>
      </c>
      <c r="C65" s="6">
        <f>(References!Y67*B65)/3.6</f>
        <v>0.54784166666666667</v>
      </c>
      <c r="D65" s="6">
        <v>34.5</v>
      </c>
      <c r="E65" s="6">
        <v>24</v>
      </c>
      <c r="F65" s="6">
        <v>1.8136751999999999E-2</v>
      </c>
      <c r="G65" s="6">
        <v>9.2932350000000004E-3</v>
      </c>
      <c r="H65" s="6">
        <f t="shared" si="2"/>
        <v>7.0868798000000002</v>
      </c>
      <c r="I65" s="15">
        <f t="shared" si="3"/>
        <v>14.534541277424999</v>
      </c>
    </row>
    <row r="66" spans="1:9" ht="15.75" thickBot="1" x14ac:dyDescent="0.3">
      <c r="A66" s="10" t="s">
        <v>293</v>
      </c>
      <c r="B66" s="6">
        <f>References!Z68*4</f>
        <v>152.13</v>
      </c>
      <c r="C66" s="6">
        <f>(References!Y68*B66)/3.6</f>
        <v>10.7124875</v>
      </c>
      <c r="D66" s="6">
        <v>34.5</v>
      </c>
      <c r="E66" s="6">
        <v>24</v>
      </c>
      <c r="F66" s="6">
        <v>1.8136751999999999E-2</v>
      </c>
      <c r="G66" s="6">
        <v>8.4806099999999995E-3</v>
      </c>
      <c r="H66" s="6">
        <f t="shared" ref="H66:H70" si="4">(1.232*(D66-E66)*C66)</f>
        <v>138.57673829999999</v>
      </c>
      <c r="I66" s="15">
        <f t="shared" ref="I66:I70" si="5">3000*C66*(F66-G66)</f>
        <v>310.323901419675</v>
      </c>
    </row>
    <row r="67" spans="1:9" ht="15.75" thickBot="1" x14ac:dyDescent="0.3">
      <c r="A67" s="10" t="s">
        <v>294</v>
      </c>
      <c r="B67" s="6">
        <f>References!Z69*4</f>
        <v>203.55240000000001</v>
      </c>
      <c r="C67" s="6">
        <f>(References!Y69*B67)/3.6</f>
        <v>14.333481500000001</v>
      </c>
      <c r="D67" s="6">
        <v>34.5</v>
      </c>
      <c r="E67" s="6">
        <v>24</v>
      </c>
      <c r="F67" s="6">
        <v>1.8136751999999999E-2</v>
      </c>
      <c r="G67" s="6">
        <v>8.4806099999999995E-3</v>
      </c>
      <c r="H67" s="6">
        <f t="shared" si="4"/>
        <v>185.41791668400001</v>
      </c>
      <c r="I67" s="15">
        <f t="shared" si="5"/>
        <v>415.21839815511902</v>
      </c>
    </row>
    <row r="68" spans="1:9" ht="15.75" thickBot="1" x14ac:dyDescent="0.3">
      <c r="A68" s="10" t="s">
        <v>295</v>
      </c>
      <c r="B68" s="6">
        <f>References!Z70*4</f>
        <v>108.0224</v>
      </c>
      <c r="C68" s="6">
        <f>(References!Y70*B68)/3.6</f>
        <v>7.9216426666666671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si="4"/>
        <v>117.113565184</v>
      </c>
      <c r="I68" s="15">
        <f t="shared" si="5"/>
        <v>229.477519387776</v>
      </c>
    </row>
    <row r="69" spans="1:9" ht="15.75" thickBot="1" x14ac:dyDescent="0.3">
      <c r="A69" s="10" t="s">
        <v>325</v>
      </c>
      <c r="B69" s="6">
        <f>References!Z71*4</f>
        <v>10.137600000000001</v>
      </c>
      <c r="C69" s="6">
        <f>(References!Y71*B69)/3.6</f>
        <v>0.71385600000000016</v>
      </c>
      <c r="D69" s="6">
        <v>34.5</v>
      </c>
      <c r="E69" s="6">
        <v>24</v>
      </c>
      <c r="F69" s="6">
        <v>1.8136751999999999E-2</v>
      </c>
      <c r="G69" s="6">
        <v>9.2932350000000004E-3</v>
      </c>
      <c r="H69" s="6">
        <f t="shared" si="4"/>
        <v>9.2344412160000022</v>
      </c>
      <c r="I69" s="15">
        <f t="shared" si="5"/>
        <v>18.938993014656003</v>
      </c>
    </row>
    <row r="70" spans="1:9" ht="15.75" thickBot="1" x14ac:dyDescent="0.3">
      <c r="A70" s="19" t="s">
        <v>296</v>
      </c>
      <c r="B70" s="21">
        <f>References!Z73*4</f>
        <v>726.79679999999996</v>
      </c>
      <c r="C70" s="21">
        <f>(References!Y73*B70)/3.6</f>
        <v>51.178607999999997</v>
      </c>
      <c r="D70" s="21">
        <v>34.5</v>
      </c>
      <c r="E70" s="21">
        <v>24</v>
      </c>
      <c r="F70" s="21">
        <v>1.8136751999999999E-2</v>
      </c>
      <c r="G70" s="21">
        <v>9.2932350000000004E-3</v>
      </c>
      <c r="H70" s="21">
        <f t="shared" si="4"/>
        <v>662.04647308799997</v>
      </c>
      <c r="I70" s="22">
        <f t="shared" si="5"/>
        <v>1357.7966696530077</v>
      </c>
    </row>
    <row r="71" spans="1:9" s="121" customFormat="1" ht="15.75" thickBot="1" x14ac:dyDescent="0.3">
      <c r="A71" s="10" t="s">
        <v>553</v>
      </c>
      <c r="B71" s="6">
        <f>1.9706*4</f>
        <v>7.8823999999999996</v>
      </c>
      <c r="C71" s="6">
        <f>(References!Y72*B71)/3.6</f>
        <v>0.55505233333333326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>(1.232*(D71-E71)*C71)</f>
        <v>7.180156983999999</v>
      </c>
      <c r="I71" s="15">
        <f>3000*C71*(F71-G71)</f>
        <v>14.725844237168996</v>
      </c>
    </row>
    <row r="72" spans="1:9" s="121" customFormat="1" ht="15.75" thickBot="1" x14ac:dyDescent="0.3">
      <c r="A72" s="10" t="s">
        <v>450</v>
      </c>
      <c r="B72" s="6">
        <f>2.4*4</f>
        <v>9.6</v>
      </c>
      <c r="C72" s="6">
        <f>(References!Y72*B72)/3.6</f>
        <v>0.67599999999999993</v>
      </c>
      <c r="D72" s="6">
        <v>34.5</v>
      </c>
      <c r="E72" s="6">
        <v>24</v>
      </c>
      <c r="F72" s="6">
        <v>0.18137</v>
      </c>
      <c r="G72" s="6">
        <v>9.2932350000000004E-3</v>
      </c>
      <c r="H72" s="6">
        <f>(1.232*(D72-E72)*C72)</f>
        <v>8.7447359999999996</v>
      </c>
      <c r="I72" s="15">
        <f>3000*C72*(F72-G72)</f>
        <v>348.97167941999993</v>
      </c>
    </row>
    <row r="73" spans="1:9" ht="15.75" thickBot="1" x14ac:dyDescent="0.3">
      <c r="F73" s="164" t="s">
        <v>333</v>
      </c>
      <c r="G73" s="164"/>
      <c r="H73" s="43">
        <f>SUM(H4:H72)</f>
        <v>6335.2156108951121</v>
      </c>
      <c r="I73" s="149">
        <f>SUM(I4:I72)</f>
        <v>13463.221743267075</v>
      </c>
    </row>
    <row r="74" spans="1:9" ht="15.75" thickBot="1" x14ac:dyDescent="0.3">
      <c r="F74" s="164" t="s">
        <v>161</v>
      </c>
      <c r="G74" s="164"/>
      <c r="H74" s="165">
        <f>H73+I73</f>
        <v>19798.437354162186</v>
      </c>
      <c r="I74" s="166"/>
    </row>
    <row r="76" spans="1:9" ht="23.25" x14ac:dyDescent="0.35">
      <c r="A76" s="170" t="s">
        <v>41</v>
      </c>
      <c r="B76" s="170"/>
      <c r="C76" s="170"/>
      <c r="D76" s="170"/>
      <c r="E76" s="170"/>
      <c r="F76" s="170"/>
      <c r="G76" s="170"/>
      <c r="H76" s="170"/>
      <c r="I76" s="170"/>
    </row>
    <row r="77" spans="1:9" ht="15.75" thickBot="1" x14ac:dyDescent="0.3">
      <c r="A77" s="40" t="s">
        <v>19</v>
      </c>
      <c r="B77" s="41" t="s">
        <v>168</v>
      </c>
      <c r="C77" s="41" t="s">
        <v>20</v>
      </c>
      <c r="D77" s="41" t="s">
        <v>12</v>
      </c>
      <c r="E77" s="41" t="s">
        <v>7</v>
      </c>
      <c r="F77" s="41" t="s">
        <v>21</v>
      </c>
      <c r="G77" s="41" t="s">
        <v>22</v>
      </c>
      <c r="H77" s="41" t="s">
        <v>23</v>
      </c>
      <c r="I77" s="42" t="s">
        <v>24</v>
      </c>
    </row>
    <row r="78" spans="1:9" ht="15.75" thickBot="1" x14ac:dyDescent="0.3">
      <c r="A78" s="6" t="s">
        <v>123</v>
      </c>
      <c r="B78" s="6">
        <f>References!AB4*4</f>
        <v>137.10759999999999</v>
      </c>
      <c r="C78" s="6">
        <f t="shared" ref="C78:C109" si="6">((0.15+0.01*3+0.007*(D78-E78))*B78)/3.6</f>
        <v>10.054557333333333</v>
      </c>
      <c r="D78" s="6">
        <v>34.5</v>
      </c>
      <c r="E78" s="6">
        <v>22.5</v>
      </c>
      <c r="F78" s="6">
        <v>1.813675E-2</v>
      </c>
      <c r="G78" s="6">
        <f t="shared" ref="G78:G109" si="7">_xlfn.IFS(E78=22.5,0.00848061,E78=22,0.00821976,E78=24,0.00929323,E78=28,0.0118162235)</f>
        <v>8.4806099999999995E-3</v>
      </c>
      <c r="H78" s="6">
        <f>1.23*C78*(D78-E78)</f>
        <v>148.40526624</v>
      </c>
      <c r="I78" s="6">
        <f>3000*C78*(F78-G78)</f>
        <v>291.26463974607998</v>
      </c>
    </row>
    <row r="79" spans="1:9" ht="15.75" thickBot="1" x14ac:dyDescent="0.3">
      <c r="A79" s="6" t="s">
        <v>206</v>
      </c>
      <c r="B79" s="6">
        <f>References!AB5*4</f>
        <v>10.47</v>
      </c>
      <c r="C79" s="6">
        <f t="shared" si="6"/>
        <v>0.73726250000000004</v>
      </c>
      <c r="D79" s="6">
        <v>34.5</v>
      </c>
      <c r="E79" s="6">
        <v>24</v>
      </c>
      <c r="F79" s="6">
        <v>1.813675E-2</v>
      </c>
      <c r="G79" s="6">
        <f t="shared" si="7"/>
        <v>9.2932299999999995E-3</v>
      </c>
      <c r="H79" s="6">
        <f t="shared" ref="H79:H143" si="8">1.23*C79*(D79-E79)</f>
        <v>9.5217451875000005</v>
      </c>
      <c r="I79" s="6">
        <f t="shared" ref="I79:I143" si="9">3000*C79*(F79-G79)</f>
        <v>19.559986991999999</v>
      </c>
    </row>
    <row r="80" spans="1:9" ht="15.75" thickBot="1" x14ac:dyDescent="0.3">
      <c r="A80" s="6" t="s">
        <v>169</v>
      </c>
      <c r="B80" s="6">
        <f>References!AB6*4</f>
        <v>137.04</v>
      </c>
      <c r="C80" s="6">
        <f t="shared" si="6"/>
        <v>10.0496</v>
      </c>
      <c r="D80" s="6">
        <v>34.5</v>
      </c>
      <c r="E80" s="6">
        <v>22.5</v>
      </c>
      <c r="F80" s="6">
        <v>1.813675E-2</v>
      </c>
      <c r="G80" s="6">
        <f t="shared" si="7"/>
        <v>8.4806099999999995E-3</v>
      </c>
      <c r="H80" s="6">
        <f t="shared" si="8"/>
        <v>148.33209600000001</v>
      </c>
      <c r="I80" s="6">
        <f t="shared" si="9"/>
        <v>291.12103363200004</v>
      </c>
    </row>
    <row r="81" spans="1:9" ht="15.75" thickBot="1" x14ac:dyDescent="0.3">
      <c r="A81" s="6" t="s">
        <v>205</v>
      </c>
      <c r="B81" s="6">
        <f>References!AB7*4</f>
        <v>10.47</v>
      </c>
      <c r="C81" s="6">
        <f t="shared" si="6"/>
        <v>0.73726250000000004</v>
      </c>
      <c r="D81" s="6">
        <v>34.5</v>
      </c>
      <c r="E81" s="6">
        <v>24</v>
      </c>
      <c r="F81" s="6">
        <v>1.813675E-2</v>
      </c>
      <c r="G81" s="6">
        <f t="shared" si="7"/>
        <v>9.2932299999999995E-3</v>
      </c>
      <c r="H81" s="6">
        <f t="shared" si="8"/>
        <v>9.5217451875000005</v>
      </c>
      <c r="I81" s="6">
        <f t="shared" si="9"/>
        <v>19.559986991999999</v>
      </c>
    </row>
    <row r="82" spans="1:9" ht="15.75" thickBot="1" x14ac:dyDescent="0.3">
      <c r="A82" s="6" t="s">
        <v>230</v>
      </c>
      <c r="B82" s="6">
        <f>References!AB8*4</f>
        <v>881.32960000000003</v>
      </c>
      <c r="C82" s="6">
        <f t="shared" si="6"/>
        <v>55.205506888888884</v>
      </c>
      <c r="D82" s="6">
        <v>34.5</v>
      </c>
      <c r="E82" s="6">
        <v>28</v>
      </c>
      <c r="F82" s="6">
        <v>1.813675E-2</v>
      </c>
      <c r="G82" s="6">
        <f t="shared" si="7"/>
        <v>1.18162235E-2</v>
      </c>
      <c r="H82" s="6">
        <f t="shared" si="8"/>
        <v>441.36802757666663</v>
      </c>
      <c r="I82" s="6">
        <f t="shared" si="9"/>
        <v>1046.7836077114641</v>
      </c>
    </row>
    <row r="83" spans="1:9" ht="15.75" thickBot="1" x14ac:dyDescent="0.3">
      <c r="A83" s="6" t="s">
        <v>231</v>
      </c>
      <c r="B83" s="6">
        <f>References!AB9*4</f>
        <v>573.16452000000004</v>
      </c>
      <c r="C83" s="6">
        <f t="shared" si="6"/>
        <v>35.902388683333328</v>
      </c>
      <c r="D83" s="6">
        <v>34.5</v>
      </c>
      <c r="E83" s="6">
        <v>28</v>
      </c>
      <c r="F83" s="6">
        <v>1.813675E-2</v>
      </c>
      <c r="G83" s="6">
        <f t="shared" si="7"/>
        <v>1.18162235E-2</v>
      </c>
      <c r="H83" s="6">
        <f t="shared" si="8"/>
        <v>287.03959752324994</v>
      </c>
      <c r="I83" s="6">
        <f t="shared" si="9"/>
        <v>680.76599725892515</v>
      </c>
    </row>
    <row r="84" spans="1:9" ht="15.75" thickBot="1" x14ac:dyDescent="0.3">
      <c r="A84" s="6" t="s">
        <v>232</v>
      </c>
      <c r="B84" s="6">
        <f>References!AB10*4</f>
        <v>315.02960000000002</v>
      </c>
      <c r="C84" s="6">
        <f t="shared" si="6"/>
        <v>19.733104111111111</v>
      </c>
      <c r="D84" s="6">
        <v>34.5</v>
      </c>
      <c r="E84" s="6">
        <v>28</v>
      </c>
      <c r="F84" s="6">
        <v>1.813675E-2</v>
      </c>
      <c r="G84" s="6">
        <f t="shared" si="7"/>
        <v>1.18162235E-2</v>
      </c>
      <c r="H84" s="6">
        <f t="shared" si="8"/>
        <v>157.76616736833333</v>
      </c>
      <c r="I84" s="6">
        <f t="shared" si="9"/>
        <v>374.17082238461018</v>
      </c>
    </row>
    <row r="85" spans="1:9" ht="15.75" thickBot="1" x14ac:dyDescent="0.3">
      <c r="A85" s="109" t="s">
        <v>233</v>
      </c>
      <c r="B85" s="6">
        <f>References!AB11*4</f>
        <v>398.61880000000002</v>
      </c>
      <c r="C85" s="6">
        <f t="shared" si="6"/>
        <v>24.969038722222223</v>
      </c>
      <c r="D85" s="6">
        <v>34.5</v>
      </c>
      <c r="E85" s="6">
        <v>28</v>
      </c>
      <c r="F85" s="6">
        <v>1.813675E-2</v>
      </c>
      <c r="G85" s="6">
        <f t="shared" si="7"/>
        <v>1.18162235E-2</v>
      </c>
      <c r="H85" s="6">
        <f t="shared" si="8"/>
        <v>199.62746458416669</v>
      </c>
      <c r="I85" s="6">
        <f t="shared" si="9"/>
        <v>473.45241276999508</v>
      </c>
    </row>
    <row r="86" spans="1:9" ht="15.75" thickBot="1" x14ac:dyDescent="0.3">
      <c r="A86" s="109" t="s">
        <v>234</v>
      </c>
      <c r="B86" s="6">
        <f>References!AB12*4</f>
        <v>571.5204</v>
      </c>
      <c r="C86" s="6">
        <f t="shared" si="6"/>
        <v>35.799402833333325</v>
      </c>
      <c r="D86" s="6">
        <v>34.5</v>
      </c>
      <c r="E86" s="6">
        <v>28</v>
      </c>
      <c r="F86" s="6">
        <v>1.813675E-2</v>
      </c>
      <c r="G86" s="6">
        <f t="shared" si="7"/>
        <v>1.18162235E-2</v>
      </c>
      <c r="H86" s="6">
        <f t="shared" si="8"/>
        <v>286.21622565249993</v>
      </c>
      <c r="I86" s="6">
        <f t="shared" si="9"/>
        <v>678.81322287677506</v>
      </c>
    </row>
    <row r="87" spans="1:9" ht="15.75" thickBot="1" x14ac:dyDescent="0.3">
      <c r="A87" s="6" t="s">
        <v>124</v>
      </c>
      <c r="B87" s="6">
        <f>References!AB13*4</f>
        <v>137.16</v>
      </c>
      <c r="C87" s="6">
        <f t="shared" si="6"/>
        <v>10.058399999999999</v>
      </c>
      <c r="D87" s="6">
        <v>34.5</v>
      </c>
      <c r="E87" s="6">
        <v>22.5</v>
      </c>
      <c r="F87" s="6">
        <v>1.813675E-2</v>
      </c>
      <c r="G87" s="6">
        <f t="shared" si="7"/>
        <v>8.4806099999999995E-3</v>
      </c>
      <c r="H87" s="6">
        <f t="shared" si="8"/>
        <v>148.46198399999997</v>
      </c>
      <c r="I87" s="6">
        <f t="shared" si="9"/>
        <v>291.37595572800001</v>
      </c>
    </row>
    <row r="88" spans="1:9" ht="15.75" thickBot="1" x14ac:dyDescent="0.3">
      <c r="A88" s="6" t="s">
        <v>207</v>
      </c>
      <c r="B88" s="6">
        <f>References!AB14*4</f>
        <v>10.47</v>
      </c>
      <c r="C88" s="6">
        <f t="shared" si="6"/>
        <v>0.73726250000000004</v>
      </c>
      <c r="D88" s="6">
        <v>34.5</v>
      </c>
      <c r="E88" s="6">
        <v>24</v>
      </c>
      <c r="F88" s="6">
        <v>1.813675E-2</v>
      </c>
      <c r="G88" s="6">
        <f t="shared" si="7"/>
        <v>9.2932299999999995E-3</v>
      </c>
      <c r="H88" s="6">
        <f t="shared" si="8"/>
        <v>9.5217451875000005</v>
      </c>
      <c r="I88" s="6">
        <f t="shared" si="9"/>
        <v>19.559986991999999</v>
      </c>
    </row>
    <row r="89" spans="1:9" ht="15.75" thickBot="1" x14ac:dyDescent="0.3">
      <c r="A89" s="6" t="s">
        <v>125</v>
      </c>
      <c r="B89" s="6">
        <f>References!AB15*4</f>
        <v>136.47</v>
      </c>
      <c r="C89" s="6">
        <f t="shared" si="6"/>
        <v>10.007800000000001</v>
      </c>
      <c r="D89" s="6">
        <v>34.5</v>
      </c>
      <c r="E89" s="6">
        <v>22.5</v>
      </c>
      <c r="F89" s="6">
        <v>1.813675E-2</v>
      </c>
      <c r="G89" s="6">
        <f t="shared" si="7"/>
        <v>8.4806099999999995E-3</v>
      </c>
      <c r="H89" s="6">
        <f t="shared" si="8"/>
        <v>147.71512800000002</v>
      </c>
      <c r="I89" s="6">
        <f t="shared" si="9"/>
        <v>289.91015367600005</v>
      </c>
    </row>
    <row r="90" spans="1:9" ht="15.75" thickBot="1" x14ac:dyDescent="0.3">
      <c r="A90" s="6" t="s">
        <v>208</v>
      </c>
      <c r="B90" s="6">
        <f>References!AB16*4</f>
        <v>10.47</v>
      </c>
      <c r="C90" s="6">
        <f t="shared" si="6"/>
        <v>0.73726250000000004</v>
      </c>
      <c r="D90" s="6">
        <v>34.5</v>
      </c>
      <c r="E90" s="6">
        <v>24</v>
      </c>
      <c r="F90" s="6">
        <v>1.813675E-2</v>
      </c>
      <c r="G90" s="6">
        <f t="shared" si="7"/>
        <v>9.2932299999999995E-3</v>
      </c>
      <c r="H90" s="6">
        <f t="shared" si="8"/>
        <v>9.5217451875000005</v>
      </c>
      <c r="I90" s="6">
        <f t="shared" si="9"/>
        <v>19.559986991999999</v>
      </c>
    </row>
    <row r="91" spans="1:9" ht="15.75" thickBot="1" x14ac:dyDescent="0.3">
      <c r="A91" s="6" t="s">
        <v>170</v>
      </c>
      <c r="B91" s="6">
        <f>References!AB17*4</f>
        <v>54.6952</v>
      </c>
      <c r="C91" s="6">
        <f t="shared" si="6"/>
        <v>4.0109813333333335</v>
      </c>
      <c r="D91" s="6">
        <v>34.5</v>
      </c>
      <c r="E91" s="6">
        <v>22.5</v>
      </c>
      <c r="F91" s="6">
        <v>1.813675E-2</v>
      </c>
      <c r="G91" s="6">
        <f t="shared" si="7"/>
        <v>8.4806099999999995E-3</v>
      </c>
      <c r="H91" s="6">
        <f t="shared" si="8"/>
        <v>59.202084480000003</v>
      </c>
      <c r="I91" s="6">
        <f t="shared" si="9"/>
        <v>116.19179187616002</v>
      </c>
    </row>
    <row r="92" spans="1:9" ht="15.75" thickBot="1" x14ac:dyDescent="0.3">
      <c r="A92" s="6" t="s">
        <v>209</v>
      </c>
      <c r="B92" s="6">
        <f>References!AB18*4</f>
        <v>10.4924</v>
      </c>
      <c r="C92" s="6">
        <f t="shared" si="6"/>
        <v>0.73883983333333336</v>
      </c>
      <c r="D92" s="6">
        <v>34.5</v>
      </c>
      <c r="E92" s="6">
        <v>24</v>
      </c>
      <c r="F92" s="6">
        <v>1.813675E-2</v>
      </c>
      <c r="G92" s="6">
        <f t="shared" si="7"/>
        <v>9.2932299999999995E-3</v>
      </c>
      <c r="H92" s="6">
        <f t="shared" si="8"/>
        <v>9.5421164474999998</v>
      </c>
      <c r="I92" s="6">
        <f t="shared" si="9"/>
        <v>19.601834528640001</v>
      </c>
    </row>
    <row r="93" spans="1:9" ht="15.75" thickBot="1" x14ac:dyDescent="0.3">
      <c r="A93" s="6" t="s">
        <v>171</v>
      </c>
      <c r="B93" s="6">
        <f>References!AB19*4</f>
        <v>55.682400000000001</v>
      </c>
      <c r="C93" s="6">
        <f t="shared" si="6"/>
        <v>4.0833760000000003</v>
      </c>
      <c r="D93" s="6">
        <v>34.5</v>
      </c>
      <c r="E93" s="6">
        <v>22.5</v>
      </c>
      <c r="F93" s="6">
        <v>1.813675E-2</v>
      </c>
      <c r="G93" s="6">
        <f t="shared" si="7"/>
        <v>8.4806099999999995E-3</v>
      </c>
      <c r="H93" s="6">
        <f t="shared" si="8"/>
        <v>60.270629760000006</v>
      </c>
      <c r="I93" s="6">
        <f t="shared" si="9"/>
        <v>118.28895098592001</v>
      </c>
    </row>
    <row r="94" spans="1:9" ht="15.75" thickBot="1" x14ac:dyDescent="0.3">
      <c r="A94" s="6" t="s">
        <v>210</v>
      </c>
      <c r="B94" s="6">
        <f>References!AB20*4</f>
        <v>10.462</v>
      </c>
      <c r="C94" s="6">
        <f t="shared" si="6"/>
        <v>0.73669916666666668</v>
      </c>
      <c r="D94" s="6">
        <v>34.5</v>
      </c>
      <c r="E94" s="6">
        <v>24</v>
      </c>
      <c r="F94" s="6">
        <v>1.813675E-2</v>
      </c>
      <c r="G94" s="6">
        <f t="shared" si="7"/>
        <v>9.2932299999999995E-3</v>
      </c>
      <c r="H94" s="6">
        <f t="shared" si="8"/>
        <v>9.5144697375000007</v>
      </c>
      <c r="I94" s="6">
        <f t="shared" si="9"/>
        <v>19.545041443199999</v>
      </c>
    </row>
    <row r="95" spans="1:9" ht="15.75" thickBot="1" x14ac:dyDescent="0.3">
      <c r="A95" s="6" t="s">
        <v>172</v>
      </c>
      <c r="B95" s="6">
        <f>References!AB21*4</f>
        <v>55.501600000000003</v>
      </c>
      <c r="C95" s="6">
        <f t="shared" si="6"/>
        <v>4.0701173333333331</v>
      </c>
      <c r="D95" s="6">
        <v>34.5</v>
      </c>
      <c r="E95" s="6">
        <v>22.5</v>
      </c>
      <c r="F95" s="6">
        <v>1.813675E-2</v>
      </c>
      <c r="G95" s="6">
        <f t="shared" si="7"/>
        <v>8.4806099999999995E-3</v>
      </c>
      <c r="H95" s="6">
        <f t="shared" si="8"/>
        <v>60.074931839999991</v>
      </c>
      <c r="I95" s="6">
        <f t="shared" si="9"/>
        <v>117.90486836127999</v>
      </c>
    </row>
    <row r="96" spans="1:9" ht="15.75" thickBot="1" x14ac:dyDescent="0.3">
      <c r="A96" s="6" t="s">
        <v>211</v>
      </c>
      <c r="B96" s="6">
        <f>References!AB22*4</f>
        <v>10.4788</v>
      </c>
      <c r="C96" s="6">
        <f t="shared" si="6"/>
        <v>0.73788216666666662</v>
      </c>
      <c r="D96" s="6">
        <v>34.5</v>
      </c>
      <c r="E96" s="6">
        <v>24</v>
      </c>
      <c r="F96" s="6">
        <v>1.813675E-2</v>
      </c>
      <c r="G96" s="6">
        <f t="shared" si="7"/>
        <v>9.2932299999999995E-3</v>
      </c>
      <c r="H96" s="6">
        <f t="shared" si="8"/>
        <v>9.5297481825000006</v>
      </c>
      <c r="I96" s="6">
        <f t="shared" si="9"/>
        <v>19.57642709568</v>
      </c>
    </row>
    <row r="97" spans="1:9" ht="15.75" thickBot="1" x14ac:dyDescent="0.3">
      <c r="A97" s="6" t="s">
        <v>173</v>
      </c>
      <c r="B97" s="6">
        <f>References!AB23*4</f>
        <v>122.848</v>
      </c>
      <c r="C97" s="6">
        <f t="shared" si="6"/>
        <v>9.0088533333333327</v>
      </c>
      <c r="D97" s="6">
        <v>34.5</v>
      </c>
      <c r="E97" s="6">
        <v>22.5</v>
      </c>
      <c r="F97" s="6">
        <v>1.813675E-2</v>
      </c>
      <c r="G97" s="6">
        <f t="shared" si="7"/>
        <v>8.4806099999999995E-3</v>
      </c>
      <c r="H97" s="6">
        <f t="shared" si="8"/>
        <v>132.97067519999999</v>
      </c>
      <c r="I97" s="6">
        <f t="shared" si="9"/>
        <v>260.97224707840002</v>
      </c>
    </row>
    <row r="98" spans="1:9" ht="15.75" thickBot="1" x14ac:dyDescent="0.3">
      <c r="A98" s="6" t="s">
        <v>212</v>
      </c>
      <c r="B98" s="6">
        <f>References!AB24*4</f>
        <v>10.5496</v>
      </c>
      <c r="C98" s="6">
        <f t="shared" si="6"/>
        <v>0.7428676666666667</v>
      </c>
      <c r="D98" s="6">
        <v>34.5</v>
      </c>
      <c r="E98" s="6">
        <v>24</v>
      </c>
      <c r="F98" s="6">
        <v>1.813675E-2</v>
      </c>
      <c r="G98" s="6">
        <f t="shared" si="7"/>
        <v>9.2932299999999995E-3</v>
      </c>
      <c r="H98" s="6">
        <f t="shared" si="8"/>
        <v>9.5941359150000007</v>
      </c>
      <c r="I98" s="6">
        <f t="shared" si="9"/>
        <v>19.708695202560001</v>
      </c>
    </row>
    <row r="99" spans="1:9" ht="15.75" thickBot="1" x14ac:dyDescent="0.3">
      <c r="A99" s="6" t="s">
        <v>174</v>
      </c>
      <c r="B99" s="6">
        <f>References!AB25*4</f>
        <v>71.765199999999993</v>
      </c>
      <c r="C99" s="6">
        <f t="shared" si="6"/>
        <v>5.2627813333333329</v>
      </c>
      <c r="D99" s="6">
        <v>34.5</v>
      </c>
      <c r="E99" s="6">
        <v>22.5</v>
      </c>
      <c r="F99" s="6">
        <v>1.813675E-2</v>
      </c>
      <c r="G99" s="6">
        <f t="shared" si="7"/>
        <v>8.4806099999999995E-3</v>
      </c>
      <c r="H99" s="6">
        <f t="shared" si="8"/>
        <v>77.678652479999997</v>
      </c>
      <c r="I99" s="6">
        <f t="shared" si="9"/>
        <v>152.45446003216</v>
      </c>
    </row>
    <row r="100" spans="1:9" ht="15.75" thickBot="1" x14ac:dyDescent="0.3">
      <c r="A100" s="6" t="s">
        <v>64</v>
      </c>
      <c r="B100" s="6">
        <f>References!AB26*4</f>
        <v>91.316000000000003</v>
      </c>
      <c r="C100" s="6">
        <f t="shared" si="6"/>
        <v>5.7199327777777773</v>
      </c>
      <c r="D100" s="6">
        <v>34.5</v>
      </c>
      <c r="E100" s="6">
        <v>28</v>
      </c>
      <c r="F100" s="6">
        <v>1.813675E-2</v>
      </c>
      <c r="G100" s="6">
        <f t="shared" si="7"/>
        <v>1.18162235E-2</v>
      </c>
      <c r="H100" s="6">
        <f>1.23*C100*(D100-E100)</f>
        <v>45.730862558333328</v>
      </c>
      <c r="I100" s="6">
        <f t="shared" si="9"/>
        <v>108.45896010048915</v>
      </c>
    </row>
    <row r="101" spans="1:9" ht="15.75" thickBot="1" x14ac:dyDescent="0.3">
      <c r="A101" s="6" t="s">
        <v>204</v>
      </c>
      <c r="B101" s="6">
        <f>References!AB27*4</f>
        <v>9.6484000000000005</v>
      </c>
      <c r="C101" s="6">
        <f t="shared" si="6"/>
        <v>0.6794081666666667</v>
      </c>
      <c r="D101" s="6">
        <v>34.5</v>
      </c>
      <c r="E101" s="6">
        <v>24</v>
      </c>
      <c r="F101" s="6">
        <v>1.813675E-2</v>
      </c>
      <c r="G101" s="6">
        <f t="shared" si="7"/>
        <v>9.2932299999999995E-3</v>
      </c>
      <c r="H101" s="6">
        <f t="shared" si="8"/>
        <v>8.7745564725000005</v>
      </c>
      <c r="I101" s="6">
        <f t="shared" si="9"/>
        <v>18.025079130240002</v>
      </c>
    </row>
    <row r="102" spans="1:9" ht="15.75" thickBot="1" x14ac:dyDescent="0.3">
      <c r="A102" s="6" t="s">
        <v>176</v>
      </c>
      <c r="B102" s="6">
        <f>References!AB28*4</f>
        <v>19.147600000000001</v>
      </c>
      <c r="C102" s="6">
        <f t="shared" si="6"/>
        <v>1.3483101666666666</v>
      </c>
      <c r="D102" s="6">
        <v>34.5</v>
      </c>
      <c r="E102" s="6">
        <v>24</v>
      </c>
      <c r="F102" s="6">
        <v>1.813675E-2</v>
      </c>
      <c r="G102" s="6">
        <f t="shared" si="7"/>
        <v>9.2932299999999995E-3</v>
      </c>
      <c r="H102" s="6">
        <f t="shared" si="8"/>
        <v>17.413425802500001</v>
      </c>
      <c r="I102" s="6">
        <f t="shared" si="9"/>
        <v>35.771423775359999</v>
      </c>
    </row>
    <row r="103" spans="1:9" ht="15.75" thickBot="1" x14ac:dyDescent="0.3">
      <c r="A103" s="6" t="s">
        <v>177</v>
      </c>
      <c r="B103" s="6">
        <f>References!AB29*4</f>
        <v>9.8323999999999998</v>
      </c>
      <c r="C103" s="6">
        <f t="shared" si="6"/>
        <v>0.69236483333333332</v>
      </c>
      <c r="D103" s="6">
        <v>34.5</v>
      </c>
      <c r="E103" s="6">
        <v>24</v>
      </c>
      <c r="F103" s="6">
        <v>1.813675E-2</v>
      </c>
      <c r="G103" s="6">
        <f t="shared" si="7"/>
        <v>9.2932299999999995E-3</v>
      </c>
      <c r="H103" s="6">
        <f t="shared" si="8"/>
        <v>8.9418918224999988</v>
      </c>
      <c r="I103" s="6">
        <f t="shared" si="9"/>
        <v>18.368826752640004</v>
      </c>
    </row>
    <row r="104" spans="1:9" ht="15.75" thickBot="1" x14ac:dyDescent="0.3">
      <c r="A104" s="6" t="s">
        <v>178</v>
      </c>
      <c r="B104" s="6">
        <f>References!AB30*4</f>
        <v>55.494</v>
      </c>
      <c r="C104" s="6">
        <f t="shared" si="6"/>
        <v>4.0695600000000001</v>
      </c>
      <c r="D104" s="6">
        <v>34.5</v>
      </c>
      <c r="E104" s="6">
        <v>22.5</v>
      </c>
      <c r="F104" s="6">
        <v>1.813675E-2</v>
      </c>
      <c r="G104" s="6">
        <f t="shared" si="7"/>
        <v>8.4806099999999995E-3</v>
      </c>
      <c r="H104" s="6">
        <f t="shared" si="8"/>
        <v>60.066705600000006</v>
      </c>
      <c r="I104" s="6">
        <f t="shared" si="9"/>
        <v>117.88872329520001</v>
      </c>
    </row>
    <row r="105" spans="1:9" ht="15.75" thickBot="1" x14ac:dyDescent="0.3">
      <c r="A105" s="6" t="s">
        <v>213</v>
      </c>
      <c r="B105" s="6">
        <f>References!AB31*4</f>
        <v>10.47</v>
      </c>
      <c r="C105" s="6">
        <f t="shared" si="6"/>
        <v>0.73726250000000004</v>
      </c>
      <c r="D105" s="6">
        <v>34.5</v>
      </c>
      <c r="E105" s="6">
        <v>24</v>
      </c>
      <c r="F105" s="6">
        <v>1.813675E-2</v>
      </c>
      <c r="G105" s="6">
        <f t="shared" si="7"/>
        <v>9.2932299999999995E-3</v>
      </c>
      <c r="H105" s="6">
        <f t="shared" si="8"/>
        <v>9.5217451875000005</v>
      </c>
      <c r="I105" s="6">
        <f t="shared" si="9"/>
        <v>19.559986991999999</v>
      </c>
    </row>
    <row r="106" spans="1:9" ht="15.75" thickBot="1" x14ac:dyDescent="0.3">
      <c r="A106" s="6" t="s">
        <v>179</v>
      </c>
      <c r="B106" s="6">
        <f>References!AB32*4</f>
        <v>55.571199999999997</v>
      </c>
      <c r="C106" s="6">
        <f t="shared" si="6"/>
        <v>4.0752213333333334</v>
      </c>
      <c r="D106" s="6">
        <v>34.5</v>
      </c>
      <c r="E106" s="6">
        <v>22.5</v>
      </c>
      <c r="F106" s="6">
        <v>1.813675E-2</v>
      </c>
      <c r="G106" s="6">
        <f t="shared" si="7"/>
        <v>8.4806099999999995E-3</v>
      </c>
      <c r="H106" s="6">
        <f t="shared" si="8"/>
        <v>60.150266880000004</v>
      </c>
      <c r="I106" s="6">
        <f t="shared" si="9"/>
        <v>118.05272317696001</v>
      </c>
    </row>
    <row r="107" spans="1:9" ht="15.75" thickBot="1" x14ac:dyDescent="0.3">
      <c r="A107" s="6" t="s">
        <v>214</v>
      </c>
      <c r="B107" s="6">
        <f>References!AB33*4</f>
        <v>10.47</v>
      </c>
      <c r="C107" s="6">
        <f t="shared" si="6"/>
        <v>0.73726250000000004</v>
      </c>
      <c r="D107" s="6">
        <v>34.5</v>
      </c>
      <c r="E107" s="6">
        <v>24</v>
      </c>
      <c r="F107" s="6">
        <v>1.813675E-2</v>
      </c>
      <c r="G107" s="6">
        <f t="shared" si="7"/>
        <v>9.2932299999999995E-3</v>
      </c>
      <c r="H107" s="6">
        <f t="shared" si="8"/>
        <v>9.5217451875000005</v>
      </c>
      <c r="I107" s="6">
        <f t="shared" si="9"/>
        <v>19.559986991999999</v>
      </c>
    </row>
    <row r="108" spans="1:9" ht="15.75" thickBot="1" x14ac:dyDescent="0.3">
      <c r="A108" s="6" t="s">
        <v>180</v>
      </c>
      <c r="B108" s="6">
        <f>References!AB34*4</f>
        <v>54.8264</v>
      </c>
      <c r="C108" s="6">
        <f t="shared" si="6"/>
        <v>4.0206026666666661</v>
      </c>
      <c r="D108" s="6">
        <v>34.5</v>
      </c>
      <c r="E108" s="6">
        <v>22.5</v>
      </c>
      <c r="F108" s="6">
        <v>1.813675E-2</v>
      </c>
      <c r="G108" s="6">
        <f t="shared" si="7"/>
        <v>8.4806099999999995E-3</v>
      </c>
      <c r="H108" s="6">
        <f t="shared" si="8"/>
        <v>59.34409535999999</v>
      </c>
      <c r="I108" s="6">
        <f t="shared" si="9"/>
        <v>116.47050670112</v>
      </c>
    </row>
    <row r="109" spans="1:9" ht="15.75" thickBot="1" x14ac:dyDescent="0.3">
      <c r="A109" s="6" t="s">
        <v>215</v>
      </c>
      <c r="B109" s="6">
        <f>References!AB35*4</f>
        <v>10.485200000000001</v>
      </c>
      <c r="C109" s="6">
        <f t="shared" si="6"/>
        <v>0.73833283333333333</v>
      </c>
      <c r="D109" s="6">
        <v>34.5</v>
      </c>
      <c r="E109" s="6">
        <v>24</v>
      </c>
      <c r="F109" s="6">
        <v>1.813675E-2</v>
      </c>
      <c r="G109" s="6">
        <f t="shared" si="7"/>
        <v>9.2932299999999995E-3</v>
      </c>
      <c r="H109" s="6">
        <f t="shared" si="8"/>
        <v>9.5355685425000001</v>
      </c>
      <c r="I109" s="6">
        <f t="shared" si="9"/>
        <v>19.588383534720002</v>
      </c>
    </row>
    <row r="110" spans="1:9" ht="15.75" thickBot="1" x14ac:dyDescent="0.3">
      <c r="A110" s="6" t="s">
        <v>181</v>
      </c>
      <c r="B110" s="6">
        <f>References!AB36*4</f>
        <v>44.208799999999997</v>
      </c>
      <c r="C110" s="6">
        <f t="shared" ref="C110:C141" si="10">((0.15+0.01*3+0.007*(D110-E110))*B110)/3.6</f>
        <v>3.2419786666666668</v>
      </c>
      <c r="D110" s="6">
        <v>34.5</v>
      </c>
      <c r="E110" s="6">
        <v>22.5</v>
      </c>
      <c r="F110" s="6">
        <v>1.813675E-2</v>
      </c>
      <c r="G110" s="6">
        <f t="shared" ref="G110:G141" si="11">_xlfn.IFS(E110=22.5,0.00848061,E110=22,0.00821976,E110=24,0.00929323,E110=28,0.0118162235)</f>
        <v>8.4806099999999995E-3</v>
      </c>
      <c r="H110" s="6">
        <f t="shared" si="8"/>
        <v>47.851605120000002</v>
      </c>
      <c r="I110" s="6">
        <f t="shared" si="9"/>
        <v>93.914999647040005</v>
      </c>
    </row>
    <row r="111" spans="1:9" ht="15.75" thickBot="1" x14ac:dyDescent="0.3">
      <c r="A111" s="6" t="s">
        <v>182</v>
      </c>
      <c r="B111" s="6">
        <f>References!AB37*4</f>
        <v>54.725200000000001</v>
      </c>
      <c r="C111" s="6">
        <f t="shared" si="10"/>
        <v>4.0131813333333337</v>
      </c>
      <c r="D111" s="6">
        <v>34.5</v>
      </c>
      <c r="E111" s="6">
        <v>22.5</v>
      </c>
      <c r="F111" s="6">
        <v>1.813675E-2</v>
      </c>
      <c r="G111" s="6">
        <f t="shared" si="11"/>
        <v>8.4806099999999995E-3</v>
      </c>
      <c r="H111" s="6">
        <f t="shared" si="8"/>
        <v>59.234556480000002</v>
      </c>
      <c r="I111" s="6">
        <f t="shared" si="9"/>
        <v>116.25552240016002</v>
      </c>
    </row>
    <row r="112" spans="1:9" ht="15.75" thickBot="1" x14ac:dyDescent="0.3">
      <c r="A112" s="6" t="s">
        <v>216</v>
      </c>
      <c r="B112" s="6">
        <f>References!AB38*4</f>
        <v>10.56</v>
      </c>
      <c r="C112" s="6">
        <f t="shared" si="10"/>
        <v>0.74360000000000004</v>
      </c>
      <c r="D112" s="6">
        <v>34.5</v>
      </c>
      <c r="E112" s="6">
        <v>24</v>
      </c>
      <c r="F112" s="6">
        <v>1.813675E-2</v>
      </c>
      <c r="G112" s="6">
        <f t="shared" si="11"/>
        <v>9.2932299999999995E-3</v>
      </c>
      <c r="H112" s="6">
        <f t="shared" si="8"/>
        <v>9.6035939999999993</v>
      </c>
      <c r="I112" s="6">
        <f t="shared" si="9"/>
        <v>19.728124416000004</v>
      </c>
    </row>
    <row r="113" spans="1:9" ht="15.75" thickBot="1" x14ac:dyDescent="0.3">
      <c r="A113" s="6" t="s">
        <v>142</v>
      </c>
      <c r="B113" s="6">
        <f>References!AB39*4</f>
        <v>74.927599999999998</v>
      </c>
      <c r="C113" s="6">
        <f t="shared" si="10"/>
        <v>5.4946906666666662</v>
      </c>
      <c r="D113" s="6">
        <v>34.5</v>
      </c>
      <c r="E113" s="6">
        <v>22.5</v>
      </c>
      <c r="F113" s="6">
        <v>1.813675E-2</v>
      </c>
      <c r="G113" s="6">
        <f t="shared" si="11"/>
        <v>8.4806099999999995E-3</v>
      </c>
      <c r="H113" s="6">
        <f t="shared" si="8"/>
        <v>81.101634239999996</v>
      </c>
      <c r="I113" s="6">
        <f t="shared" si="9"/>
        <v>159.17250700208001</v>
      </c>
    </row>
    <row r="114" spans="1:9" ht="15.75" thickBot="1" x14ac:dyDescent="0.3">
      <c r="A114" s="6" t="s">
        <v>217</v>
      </c>
      <c r="B114" s="6">
        <f>References!AB40*4</f>
        <v>27.718399999999999</v>
      </c>
      <c r="C114" s="6">
        <f t="shared" si="10"/>
        <v>1.9518373333333332</v>
      </c>
      <c r="D114" s="6">
        <v>34.5</v>
      </c>
      <c r="E114" s="6">
        <v>24</v>
      </c>
      <c r="F114" s="6">
        <v>1.813675E-2</v>
      </c>
      <c r="G114" s="6">
        <f t="shared" si="11"/>
        <v>9.2932299999999995E-3</v>
      </c>
      <c r="H114" s="6">
        <f t="shared" si="8"/>
        <v>25.207979159999997</v>
      </c>
      <c r="I114" s="6">
        <f t="shared" si="9"/>
        <v>51.78333748224</v>
      </c>
    </row>
    <row r="115" spans="1:9" ht="15.75" thickBot="1" x14ac:dyDescent="0.3">
      <c r="A115" s="6" t="s">
        <v>183</v>
      </c>
      <c r="B115" s="6">
        <f>References!AB41*4</f>
        <v>101.488</v>
      </c>
      <c r="C115" s="6">
        <f t="shared" si="10"/>
        <v>7.4424533333333329</v>
      </c>
      <c r="D115" s="6">
        <v>34.5</v>
      </c>
      <c r="E115" s="6">
        <v>22.5</v>
      </c>
      <c r="F115" s="6">
        <v>1.813675E-2</v>
      </c>
      <c r="G115" s="6">
        <f t="shared" si="11"/>
        <v>8.4806099999999995E-3</v>
      </c>
      <c r="H115" s="6">
        <f t="shared" si="8"/>
        <v>109.85061119999999</v>
      </c>
      <c r="I115" s="6">
        <f t="shared" si="9"/>
        <v>215.59611399040003</v>
      </c>
    </row>
    <row r="116" spans="1:9" ht="15.75" thickBot="1" x14ac:dyDescent="0.3">
      <c r="A116" s="6" t="s">
        <v>218</v>
      </c>
      <c r="B116" s="6">
        <f>References!AB42*4</f>
        <v>10.434799999999999</v>
      </c>
      <c r="C116" s="6">
        <f t="shared" si="10"/>
        <v>0.7347838333333333</v>
      </c>
      <c r="D116" s="6">
        <v>34.5</v>
      </c>
      <c r="E116" s="6">
        <v>24</v>
      </c>
      <c r="F116" s="6">
        <v>1.813675E-2</v>
      </c>
      <c r="G116" s="6">
        <f t="shared" si="11"/>
        <v>9.2932299999999995E-3</v>
      </c>
      <c r="H116" s="6">
        <f t="shared" si="8"/>
        <v>9.4897332075000005</v>
      </c>
      <c r="I116" s="6">
        <f t="shared" si="9"/>
        <v>19.494226577279999</v>
      </c>
    </row>
    <row r="117" spans="1:9" ht="15.75" thickBot="1" x14ac:dyDescent="0.3">
      <c r="A117" s="6" t="s">
        <v>184</v>
      </c>
      <c r="B117" s="6">
        <f>References!AB43*4</f>
        <v>26.4604</v>
      </c>
      <c r="C117" s="6">
        <f t="shared" si="10"/>
        <v>1.9404293333333333</v>
      </c>
      <c r="D117" s="6">
        <v>34.5</v>
      </c>
      <c r="E117" s="6">
        <v>22.5</v>
      </c>
      <c r="F117" s="6">
        <v>1.813675E-2</v>
      </c>
      <c r="G117" s="6">
        <f t="shared" si="11"/>
        <v>8.4806099999999995E-3</v>
      </c>
      <c r="H117" s="6">
        <f t="shared" si="8"/>
        <v>28.640736960000002</v>
      </c>
      <c r="I117" s="6">
        <f t="shared" si="9"/>
        <v>56.211171908320004</v>
      </c>
    </row>
    <row r="118" spans="1:9" ht="15.75" thickBot="1" x14ac:dyDescent="0.3">
      <c r="A118" s="6" t="s">
        <v>185</v>
      </c>
      <c r="B118" s="6">
        <f>References!AB44*4</f>
        <v>101.92</v>
      </c>
      <c r="C118" s="6">
        <f t="shared" si="10"/>
        <v>7.4741333333333335</v>
      </c>
      <c r="D118" s="6">
        <v>34.5</v>
      </c>
      <c r="E118" s="6">
        <v>22.5</v>
      </c>
      <c r="F118" s="6">
        <v>1.813675E-2</v>
      </c>
      <c r="G118" s="6">
        <f t="shared" si="11"/>
        <v>8.4806099999999995E-3</v>
      </c>
      <c r="H118" s="6">
        <f t="shared" si="8"/>
        <v>110.318208</v>
      </c>
      <c r="I118" s="6">
        <f t="shared" si="9"/>
        <v>216.51383353600002</v>
      </c>
    </row>
    <row r="119" spans="1:9" ht="15.75" thickBot="1" x14ac:dyDescent="0.3">
      <c r="A119" s="6" t="s">
        <v>219</v>
      </c>
      <c r="B119" s="6">
        <f>References!AB45*4</f>
        <v>10.434799999999999</v>
      </c>
      <c r="C119" s="6">
        <f t="shared" si="10"/>
        <v>0.7347838333333333</v>
      </c>
      <c r="D119" s="6">
        <v>34.5</v>
      </c>
      <c r="E119" s="6">
        <v>24</v>
      </c>
      <c r="F119" s="6">
        <v>1.813675E-2</v>
      </c>
      <c r="G119" s="6">
        <f t="shared" si="11"/>
        <v>9.2932299999999995E-3</v>
      </c>
      <c r="H119" s="6">
        <f>1.23*C119*(D119-E119)</f>
        <v>9.4897332075000005</v>
      </c>
      <c r="I119" s="6">
        <f t="shared" si="9"/>
        <v>19.494226577279999</v>
      </c>
    </row>
    <row r="120" spans="1:9" ht="15.75" thickBot="1" x14ac:dyDescent="0.3">
      <c r="A120" s="6" t="s">
        <v>186</v>
      </c>
      <c r="B120" s="6">
        <f>References!AB46*4</f>
        <v>55.004800000000003</v>
      </c>
      <c r="C120" s="6">
        <f t="shared" si="10"/>
        <v>4.0336853333333336</v>
      </c>
      <c r="D120" s="6">
        <v>34.5</v>
      </c>
      <c r="E120" s="6">
        <v>22.5</v>
      </c>
      <c r="F120" s="6">
        <v>1.813675E-2</v>
      </c>
      <c r="G120" s="6">
        <f t="shared" si="11"/>
        <v>8.4806099999999995E-3</v>
      </c>
      <c r="H120" s="6">
        <f t="shared" si="8"/>
        <v>59.537195519999997</v>
      </c>
      <c r="I120" s="6">
        <f t="shared" si="9"/>
        <v>116.84949088384001</v>
      </c>
    </row>
    <row r="121" spans="1:9" ht="15.75" thickBot="1" x14ac:dyDescent="0.3">
      <c r="A121" s="6" t="s">
        <v>220</v>
      </c>
      <c r="B121" s="6">
        <f>References!AB47*4</f>
        <v>10.56</v>
      </c>
      <c r="C121" s="6">
        <f t="shared" si="10"/>
        <v>0.74360000000000004</v>
      </c>
      <c r="D121" s="6">
        <v>34.5</v>
      </c>
      <c r="E121" s="6">
        <v>24</v>
      </c>
      <c r="F121" s="6">
        <v>1.813675E-2</v>
      </c>
      <c r="G121" s="6">
        <f t="shared" si="11"/>
        <v>9.2932299999999995E-3</v>
      </c>
      <c r="H121" s="6">
        <f t="shared" si="8"/>
        <v>9.6035939999999993</v>
      </c>
      <c r="I121" s="6">
        <f t="shared" si="9"/>
        <v>19.728124416000004</v>
      </c>
    </row>
    <row r="122" spans="1:9" ht="15.75" thickBot="1" x14ac:dyDescent="0.3">
      <c r="A122" s="6" t="s">
        <v>141</v>
      </c>
      <c r="B122" s="6">
        <f>References!AB48*4</f>
        <v>153.81479999999999</v>
      </c>
      <c r="C122" s="6">
        <f t="shared" si="10"/>
        <v>11.279752</v>
      </c>
      <c r="D122" s="6">
        <v>34.5</v>
      </c>
      <c r="E122" s="6">
        <v>22.5</v>
      </c>
      <c r="F122" s="6">
        <v>1.813675E-2</v>
      </c>
      <c r="G122" s="6">
        <f t="shared" si="11"/>
        <v>8.4806099999999995E-3</v>
      </c>
      <c r="H122" s="6">
        <f t="shared" si="8"/>
        <v>166.48913952000001</v>
      </c>
      <c r="I122" s="6">
        <f t="shared" si="9"/>
        <v>326.75659343184003</v>
      </c>
    </row>
    <row r="123" spans="1:9" ht="15.75" thickBot="1" x14ac:dyDescent="0.3">
      <c r="A123" s="6" t="s">
        <v>187</v>
      </c>
      <c r="B123" s="6">
        <f>References!AB49*4</f>
        <v>101.488</v>
      </c>
      <c r="C123" s="6">
        <f t="shared" si="10"/>
        <v>7.4424533333333329</v>
      </c>
      <c r="D123" s="6">
        <v>34.5</v>
      </c>
      <c r="E123" s="6">
        <v>22.5</v>
      </c>
      <c r="F123" s="6">
        <v>1.813675E-2</v>
      </c>
      <c r="G123" s="6">
        <f t="shared" si="11"/>
        <v>8.4806099999999995E-3</v>
      </c>
      <c r="H123" s="6">
        <f t="shared" si="8"/>
        <v>109.85061119999999</v>
      </c>
      <c r="I123" s="6">
        <f t="shared" si="9"/>
        <v>215.59611399040003</v>
      </c>
    </row>
    <row r="124" spans="1:9" ht="15.75" thickBot="1" x14ac:dyDescent="0.3">
      <c r="A124" s="6" t="s">
        <v>221</v>
      </c>
      <c r="B124" s="6">
        <f>References!AB50*4</f>
        <v>10.434799999999999</v>
      </c>
      <c r="C124" s="6">
        <f t="shared" si="10"/>
        <v>0.7347838333333333</v>
      </c>
      <c r="D124" s="6">
        <v>34.5</v>
      </c>
      <c r="E124" s="6">
        <v>24</v>
      </c>
      <c r="F124" s="6">
        <v>1.813675E-2</v>
      </c>
      <c r="G124" s="6">
        <f t="shared" si="11"/>
        <v>9.2932299999999995E-3</v>
      </c>
      <c r="H124" s="6">
        <f t="shared" si="8"/>
        <v>9.4897332075000005</v>
      </c>
      <c r="I124" s="6">
        <f t="shared" si="9"/>
        <v>19.494226577279999</v>
      </c>
    </row>
    <row r="125" spans="1:9" ht="15.75" thickBot="1" x14ac:dyDescent="0.3">
      <c r="A125" s="6" t="s">
        <v>188</v>
      </c>
      <c r="B125" s="6">
        <f>References!AB51*4</f>
        <v>101.92</v>
      </c>
      <c r="C125" s="6">
        <f t="shared" si="10"/>
        <v>7.4741333333333335</v>
      </c>
      <c r="D125" s="6">
        <v>34.5</v>
      </c>
      <c r="E125" s="6">
        <v>22.5</v>
      </c>
      <c r="F125" s="6">
        <v>1.813675E-2</v>
      </c>
      <c r="G125" s="6">
        <f t="shared" si="11"/>
        <v>8.4806099999999995E-3</v>
      </c>
      <c r="H125" s="6">
        <f t="shared" si="8"/>
        <v>110.318208</v>
      </c>
      <c r="I125" s="6">
        <f t="shared" si="9"/>
        <v>216.51383353600002</v>
      </c>
    </row>
    <row r="126" spans="1:9" ht="15.75" thickBot="1" x14ac:dyDescent="0.3">
      <c r="A126" s="6" t="s">
        <v>222</v>
      </c>
      <c r="B126" s="6">
        <f>References!AB52*4</f>
        <v>10.434799999999999</v>
      </c>
      <c r="C126" s="6">
        <f t="shared" si="10"/>
        <v>0.7347838333333333</v>
      </c>
      <c r="D126" s="6">
        <v>34.5</v>
      </c>
      <c r="E126" s="6">
        <v>24</v>
      </c>
      <c r="F126" s="6">
        <v>1.813675E-2</v>
      </c>
      <c r="G126" s="6">
        <f t="shared" si="11"/>
        <v>9.2932299999999995E-3</v>
      </c>
      <c r="H126" s="6">
        <f t="shared" si="8"/>
        <v>9.4897332075000005</v>
      </c>
      <c r="I126" s="6">
        <f t="shared" si="9"/>
        <v>19.494226577279999</v>
      </c>
    </row>
    <row r="127" spans="1:9" ht="15.75" thickBot="1" x14ac:dyDescent="0.3">
      <c r="A127" s="6" t="s">
        <v>189</v>
      </c>
      <c r="B127" s="6">
        <f>References!AB53*4</f>
        <v>55.004800000000003</v>
      </c>
      <c r="C127" s="6">
        <f t="shared" si="10"/>
        <v>4.0336853333333336</v>
      </c>
      <c r="D127" s="6">
        <v>34.5</v>
      </c>
      <c r="E127" s="6">
        <v>22.5</v>
      </c>
      <c r="F127" s="6">
        <v>1.813675E-2</v>
      </c>
      <c r="G127" s="6">
        <f t="shared" si="11"/>
        <v>8.4806099999999995E-3</v>
      </c>
      <c r="H127" s="6">
        <f t="shared" si="8"/>
        <v>59.537195519999997</v>
      </c>
      <c r="I127" s="6">
        <f t="shared" si="9"/>
        <v>116.84949088384001</v>
      </c>
    </row>
    <row r="128" spans="1:9" ht="15.75" thickBot="1" x14ac:dyDescent="0.3">
      <c r="A128" s="6" t="s">
        <v>223</v>
      </c>
      <c r="B128" s="6">
        <f>References!AB54*4</f>
        <v>10.56</v>
      </c>
      <c r="C128" s="6">
        <f t="shared" si="10"/>
        <v>0.74360000000000004</v>
      </c>
      <c r="D128" s="6">
        <v>34.5</v>
      </c>
      <c r="E128" s="6">
        <v>24</v>
      </c>
      <c r="F128" s="6">
        <v>1.813675E-2</v>
      </c>
      <c r="G128" s="6">
        <f t="shared" si="11"/>
        <v>9.2932299999999995E-3</v>
      </c>
      <c r="H128" s="6">
        <f t="shared" si="8"/>
        <v>9.6035939999999993</v>
      </c>
      <c r="I128" s="6">
        <f t="shared" si="9"/>
        <v>19.728124416000004</v>
      </c>
    </row>
    <row r="129" spans="1:9" ht="15.75" thickBot="1" x14ac:dyDescent="0.3">
      <c r="A129" s="6" t="s">
        <v>190</v>
      </c>
      <c r="B129" s="6">
        <f>References!AB55*4</f>
        <v>55.004800000000003</v>
      </c>
      <c r="C129" s="6">
        <f t="shared" si="10"/>
        <v>4.0336853333333336</v>
      </c>
      <c r="D129" s="6">
        <v>34.5</v>
      </c>
      <c r="E129" s="6">
        <v>22.5</v>
      </c>
      <c r="F129" s="6">
        <v>1.813675E-2</v>
      </c>
      <c r="G129" s="6">
        <f t="shared" si="11"/>
        <v>8.4806099999999995E-3</v>
      </c>
      <c r="H129" s="6">
        <f t="shared" si="8"/>
        <v>59.537195519999997</v>
      </c>
      <c r="I129" s="6">
        <f t="shared" si="9"/>
        <v>116.84949088384001</v>
      </c>
    </row>
    <row r="130" spans="1:9" ht="15.75" thickBot="1" x14ac:dyDescent="0.3">
      <c r="A130" s="6" t="s">
        <v>224</v>
      </c>
      <c r="B130" s="6">
        <f>References!AB56*4</f>
        <v>10.56</v>
      </c>
      <c r="C130" s="6">
        <f t="shared" si="10"/>
        <v>0.74360000000000004</v>
      </c>
      <c r="D130" s="6">
        <v>34.5</v>
      </c>
      <c r="E130" s="6">
        <v>24</v>
      </c>
      <c r="F130" s="6">
        <v>1.813675E-2</v>
      </c>
      <c r="G130" s="6">
        <f t="shared" si="11"/>
        <v>9.2932299999999995E-3</v>
      </c>
      <c r="H130" s="6">
        <f t="shared" si="8"/>
        <v>9.6035939999999993</v>
      </c>
      <c r="I130" s="6">
        <f t="shared" si="9"/>
        <v>19.728124416000004</v>
      </c>
    </row>
    <row r="131" spans="1:9" ht="15.75" thickBot="1" x14ac:dyDescent="0.3">
      <c r="A131" s="6" t="s">
        <v>140</v>
      </c>
      <c r="B131" s="6">
        <f>References!AB57*4</f>
        <v>85.446399999999997</v>
      </c>
      <c r="C131" s="6">
        <f t="shared" si="10"/>
        <v>6.2660693333333333</v>
      </c>
      <c r="D131" s="6">
        <v>34.5</v>
      </c>
      <c r="E131" s="6">
        <v>22.5</v>
      </c>
      <c r="F131" s="6">
        <v>1.813675E-2</v>
      </c>
      <c r="G131" s="6">
        <f t="shared" si="11"/>
        <v>8.4806099999999995E-3</v>
      </c>
      <c r="H131" s="6">
        <f t="shared" si="8"/>
        <v>92.487183359999989</v>
      </c>
      <c r="I131" s="6">
        <f t="shared" si="9"/>
        <v>181.51812819712001</v>
      </c>
    </row>
    <row r="132" spans="1:9" ht="15.75" thickBot="1" x14ac:dyDescent="0.3">
      <c r="A132" s="6" t="s">
        <v>225</v>
      </c>
      <c r="B132" s="6">
        <f>References!AB58*4</f>
        <v>6.6584000000000003</v>
      </c>
      <c r="C132" s="6">
        <f t="shared" si="10"/>
        <v>0.46886233333333333</v>
      </c>
      <c r="D132" s="6">
        <v>34.5</v>
      </c>
      <c r="E132" s="6">
        <v>24</v>
      </c>
      <c r="F132" s="6">
        <v>1.813675E-2</v>
      </c>
      <c r="G132" s="6">
        <f t="shared" si="11"/>
        <v>9.2932299999999995E-3</v>
      </c>
      <c r="H132" s="6">
        <f t="shared" si="8"/>
        <v>6.0553570350000001</v>
      </c>
      <c r="I132" s="6">
        <f t="shared" si="9"/>
        <v>12.439180266240001</v>
      </c>
    </row>
    <row r="133" spans="1:9" ht="15.75" thickBot="1" x14ac:dyDescent="0.3">
      <c r="A133" s="6" t="s">
        <v>127</v>
      </c>
      <c r="B133" s="6">
        <f>References!AB59*4</f>
        <v>125.7552</v>
      </c>
      <c r="C133" s="6">
        <f t="shared" si="10"/>
        <v>9.2220479999999991</v>
      </c>
      <c r="D133" s="6">
        <v>34.5</v>
      </c>
      <c r="E133" s="6">
        <v>22.5</v>
      </c>
      <c r="F133" s="6">
        <v>1.813675E-2</v>
      </c>
      <c r="G133" s="6">
        <f t="shared" si="11"/>
        <v>8.4806099999999995E-3</v>
      </c>
      <c r="H133" s="6">
        <f t="shared" si="8"/>
        <v>136.11742848</v>
      </c>
      <c r="I133" s="6">
        <f t="shared" si="9"/>
        <v>267.14815972416</v>
      </c>
    </row>
    <row r="134" spans="1:9" ht="15.75" thickBot="1" x14ac:dyDescent="0.3">
      <c r="A134" s="6" t="s">
        <v>139</v>
      </c>
      <c r="B134" s="6">
        <f>References!AB60*4</f>
        <v>139.94479999999999</v>
      </c>
      <c r="C134" s="6">
        <f t="shared" si="10"/>
        <v>10.398676111111111</v>
      </c>
      <c r="D134" s="6">
        <v>34.5</v>
      </c>
      <c r="E134" s="6">
        <v>22</v>
      </c>
      <c r="F134" s="6">
        <v>1.813675E-2</v>
      </c>
      <c r="G134" s="6">
        <f t="shared" si="11"/>
        <v>8.2197599999999996E-3</v>
      </c>
      <c r="H134" s="6">
        <f t="shared" si="8"/>
        <v>159.87964520833333</v>
      </c>
      <c r="I134" s="6">
        <f t="shared" si="9"/>
        <v>309.37070102138335</v>
      </c>
    </row>
    <row r="135" spans="1:9" ht="15.75" thickBot="1" x14ac:dyDescent="0.3">
      <c r="A135" s="6" t="s">
        <v>191</v>
      </c>
      <c r="B135" s="6">
        <f>References!AB61*4</f>
        <v>21.644400000000001</v>
      </c>
      <c r="C135" s="6">
        <f t="shared" si="10"/>
        <v>1.5241265000000002</v>
      </c>
      <c r="D135" s="6">
        <v>34.5</v>
      </c>
      <c r="E135" s="6">
        <v>24</v>
      </c>
      <c r="F135" s="6">
        <v>1.813675E-2</v>
      </c>
      <c r="G135" s="6">
        <f t="shared" si="11"/>
        <v>9.2932299999999995E-3</v>
      </c>
      <c r="H135" s="6">
        <f t="shared" si="8"/>
        <v>19.684093747500004</v>
      </c>
      <c r="I135" s="6">
        <f t="shared" si="9"/>
        <v>40.435929555840012</v>
      </c>
    </row>
    <row r="136" spans="1:9" ht="15.75" thickBot="1" x14ac:dyDescent="0.3">
      <c r="A136" s="6" t="s">
        <v>192</v>
      </c>
      <c r="B136" s="6">
        <f>References!AB62*4</f>
        <v>102.9944</v>
      </c>
      <c r="C136" s="6">
        <f t="shared" si="10"/>
        <v>7.5529226666666665</v>
      </c>
      <c r="D136" s="6">
        <v>34.5</v>
      </c>
      <c r="E136" s="6">
        <v>22.5</v>
      </c>
      <c r="F136" s="6">
        <v>1.813675E-2</v>
      </c>
      <c r="G136" s="6">
        <f t="shared" si="11"/>
        <v>8.4806099999999995E-3</v>
      </c>
      <c r="H136" s="6">
        <f t="shared" si="8"/>
        <v>111.48113856000001</v>
      </c>
      <c r="I136" s="6">
        <f t="shared" si="9"/>
        <v>218.79623603552002</v>
      </c>
    </row>
    <row r="137" spans="1:9" ht="15.75" thickBot="1" x14ac:dyDescent="0.3">
      <c r="A137" s="6" t="s">
        <v>226</v>
      </c>
      <c r="B137" s="6">
        <f>References!AB63*4</f>
        <v>15.452</v>
      </c>
      <c r="C137" s="6">
        <f t="shared" si="10"/>
        <v>1.0880783333333333</v>
      </c>
      <c r="D137" s="6">
        <v>34.5</v>
      </c>
      <c r="E137" s="6">
        <v>24</v>
      </c>
      <c r="F137" s="6">
        <v>1.813675E-2</v>
      </c>
      <c r="G137" s="6">
        <f t="shared" si="11"/>
        <v>9.2932299999999995E-3</v>
      </c>
      <c r="H137" s="6">
        <f t="shared" si="8"/>
        <v>14.052531674999999</v>
      </c>
      <c r="I137" s="6">
        <f t="shared" si="9"/>
        <v>28.867327507199999</v>
      </c>
    </row>
    <row r="138" spans="1:9" ht="15.75" thickBot="1" x14ac:dyDescent="0.3">
      <c r="A138" s="6" t="s">
        <v>193</v>
      </c>
      <c r="B138" s="6">
        <f>References!AB64*4</f>
        <v>67.197599999999994</v>
      </c>
      <c r="C138" s="6">
        <f t="shared" si="10"/>
        <v>4.9278240000000002</v>
      </c>
      <c r="D138" s="6">
        <v>34.5</v>
      </c>
      <c r="E138" s="6">
        <v>22.5</v>
      </c>
      <c r="F138" s="6">
        <v>1.813675E-2</v>
      </c>
      <c r="G138" s="6">
        <f t="shared" si="11"/>
        <v>8.4806099999999995E-3</v>
      </c>
      <c r="H138" s="6">
        <f t="shared" si="8"/>
        <v>72.734682240000012</v>
      </c>
      <c r="I138" s="6">
        <f t="shared" si="9"/>
        <v>142.75127531808002</v>
      </c>
    </row>
    <row r="139" spans="1:9" ht="15.75" thickBot="1" x14ac:dyDescent="0.3">
      <c r="A139" s="6" t="s">
        <v>194</v>
      </c>
      <c r="B139" s="6">
        <f>References!AB65*4</f>
        <v>67.199600000000004</v>
      </c>
      <c r="C139" s="6">
        <f t="shared" si="10"/>
        <v>4.9279706666666669</v>
      </c>
      <c r="D139" s="6">
        <v>34.5</v>
      </c>
      <c r="E139" s="6">
        <v>22.5</v>
      </c>
      <c r="F139" s="6">
        <v>1.813675E-2</v>
      </c>
      <c r="G139" s="6">
        <f t="shared" si="11"/>
        <v>8.4806099999999995E-3</v>
      </c>
      <c r="H139" s="6">
        <f>1.23*C139*(D139-E139)</f>
        <v>72.736847040000001</v>
      </c>
      <c r="I139" s="6">
        <f>3000*C139*(F139-G139)</f>
        <v>142.75552401968002</v>
      </c>
    </row>
    <row r="140" spans="1:9" ht="15.75" thickBot="1" x14ac:dyDescent="0.3">
      <c r="A140" s="6" t="s">
        <v>195</v>
      </c>
      <c r="B140" s="6">
        <f>References!AB66*4</f>
        <v>40.903199999999998</v>
      </c>
      <c r="C140" s="6">
        <f t="shared" si="10"/>
        <v>2.999568</v>
      </c>
      <c r="D140" s="6">
        <v>34.5</v>
      </c>
      <c r="E140" s="6">
        <v>22.5</v>
      </c>
      <c r="F140" s="6">
        <v>1.813675E-2</v>
      </c>
      <c r="G140" s="6">
        <f t="shared" si="11"/>
        <v>8.4806099999999995E-3</v>
      </c>
      <c r="H140" s="6">
        <f t="shared" si="8"/>
        <v>44.27362368</v>
      </c>
      <c r="I140" s="6">
        <f t="shared" si="9"/>
        <v>86.892745642560001</v>
      </c>
    </row>
    <row r="141" spans="1:9" ht="15.75" thickBot="1" x14ac:dyDescent="0.3">
      <c r="A141" s="6" t="s">
        <v>196</v>
      </c>
      <c r="B141" s="6">
        <f>References!AB67*4</f>
        <v>76.002799999999993</v>
      </c>
      <c r="C141" s="6">
        <f t="shared" si="10"/>
        <v>5.6474302777777776</v>
      </c>
      <c r="D141" s="6">
        <v>34.5</v>
      </c>
      <c r="E141" s="6">
        <v>22</v>
      </c>
      <c r="F141" s="6">
        <v>1.813675E-2</v>
      </c>
      <c r="G141" s="6">
        <f t="shared" si="11"/>
        <v>8.2197599999999996E-3</v>
      </c>
      <c r="H141" s="6">
        <f t="shared" si="8"/>
        <v>86.829240520833324</v>
      </c>
      <c r="I141" s="6">
        <f t="shared" si="9"/>
        <v>168.01652877125832</v>
      </c>
    </row>
    <row r="142" spans="1:9" ht="15.75" thickBot="1" x14ac:dyDescent="0.3">
      <c r="A142" s="6" t="s">
        <v>197</v>
      </c>
      <c r="B142" s="6">
        <f>References!AB68*4</f>
        <v>59.95</v>
      </c>
      <c r="C142" s="6">
        <f t="shared" ref="C142:C157" si="12">((0.15+0.01*3+0.007*(D142-E142))*B142)/3.6</f>
        <v>4.3963333333333336</v>
      </c>
      <c r="D142" s="6">
        <v>34.5</v>
      </c>
      <c r="E142" s="6">
        <v>22.5</v>
      </c>
      <c r="F142" s="6">
        <v>1.813675E-2</v>
      </c>
      <c r="G142" s="6">
        <f t="shared" ref="G142:G157" si="13">_xlfn.IFS(E142=22.5,0.00848061,E142=22,0.00821976,E142=24,0.00929323,E142=28,0.0118162235)</f>
        <v>8.4806099999999995E-3</v>
      </c>
      <c r="H142" s="6">
        <f t="shared" si="8"/>
        <v>64.889880000000005</v>
      </c>
      <c r="I142" s="6">
        <f t="shared" si="9"/>
        <v>127.35483046000003</v>
      </c>
    </row>
    <row r="143" spans="1:9" ht="15.75" thickBot="1" x14ac:dyDescent="0.3">
      <c r="A143" s="6" t="s">
        <v>227</v>
      </c>
      <c r="B143" s="6">
        <f>References!AB69*4</f>
        <v>6.72</v>
      </c>
      <c r="C143" s="6">
        <f t="shared" si="12"/>
        <v>0.47319999999999995</v>
      </c>
      <c r="D143" s="6">
        <v>34.5</v>
      </c>
      <c r="E143" s="6">
        <v>24</v>
      </c>
      <c r="F143" s="6">
        <v>1.813675E-2</v>
      </c>
      <c r="G143" s="6">
        <f t="shared" si="13"/>
        <v>9.2932299999999995E-3</v>
      </c>
      <c r="H143" s="6">
        <f t="shared" si="8"/>
        <v>6.1113779999999984</v>
      </c>
      <c r="I143" s="6">
        <f t="shared" si="9"/>
        <v>12.554260992</v>
      </c>
    </row>
    <row r="144" spans="1:9" ht="15.75" thickBot="1" x14ac:dyDescent="0.3">
      <c r="A144" s="6" t="s">
        <v>198</v>
      </c>
      <c r="B144" s="6">
        <f>References!AB70*4</f>
        <v>86.4024</v>
      </c>
      <c r="C144" s="6">
        <f t="shared" si="12"/>
        <v>6.0841690000000002</v>
      </c>
      <c r="D144" s="6">
        <v>34.5</v>
      </c>
      <c r="E144" s="6">
        <v>24</v>
      </c>
      <c r="F144" s="6">
        <v>1.813675E-2</v>
      </c>
      <c r="G144" s="6">
        <f t="shared" si="13"/>
        <v>9.2932299999999995E-3</v>
      </c>
      <c r="H144" s="6">
        <f t="shared" ref="H144:H157" si="14">1.23*C144*(D144-E144)</f>
        <v>78.577042635000012</v>
      </c>
      <c r="I144" s="6">
        <f t="shared" ref="I144:I153" si="15">3000*C144*(F144-G144)</f>
        <v>161.41641070464001</v>
      </c>
    </row>
    <row r="145" spans="1:9" ht="15.75" thickBot="1" x14ac:dyDescent="0.3">
      <c r="A145" s="6" t="s">
        <v>199</v>
      </c>
      <c r="B145" s="6">
        <f>References!AB71*4</f>
        <v>94.401200000000003</v>
      </c>
      <c r="C145" s="6">
        <f t="shared" si="12"/>
        <v>6.9227546666666671</v>
      </c>
      <c r="D145" s="6">
        <v>34.5</v>
      </c>
      <c r="E145" s="6">
        <v>22.5</v>
      </c>
      <c r="F145" s="6">
        <v>1.813675E-2</v>
      </c>
      <c r="G145" s="6">
        <f t="shared" si="13"/>
        <v>8.4806099999999995E-3</v>
      </c>
      <c r="H145" s="6">
        <f t="shared" si="14"/>
        <v>102.17985888000001</v>
      </c>
      <c r="I145" s="6">
        <f t="shared" si="15"/>
        <v>200.54126474096003</v>
      </c>
    </row>
    <row r="146" spans="1:9" ht="15.75" thickBot="1" x14ac:dyDescent="0.3">
      <c r="A146" s="6" t="s">
        <v>200</v>
      </c>
      <c r="B146" s="6">
        <f>References!AB72*4</f>
        <v>140.16999999999999</v>
      </c>
      <c r="C146" s="6">
        <f t="shared" si="12"/>
        <v>10.415409722222222</v>
      </c>
      <c r="D146" s="6">
        <v>34.5</v>
      </c>
      <c r="E146" s="6">
        <v>22</v>
      </c>
      <c r="F146" s="6">
        <v>1.813675E-2</v>
      </c>
      <c r="G146" s="6">
        <f t="shared" si="13"/>
        <v>8.2197599999999996E-3</v>
      </c>
      <c r="H146" s="6">
        <f t="shared" si="14"/>
        <v>160.13692447916665</v>
      </c>
      <c r="I146" s="6">
        <f t="shared" si="15"/>
        <v>309.86854218354165</v>
      </c>
    </row>
    <row r="147" spans="1:9" ht="15.75" thickBot="1" x14ac:dyDescent="0.3">
      <c r="A147" s="6" t="s">
        <v>201</v>
      </c>
      <c r="B147" s="6">
        <f>References!AB73*4</f>
        <v>22.764800000000001</v>
      </c>
      <c r="C147" s="6">
        <f t="shared" si="12"/>
        <v>1.6030213333333332</v>
      </c>
      <c r="D147" s="6">
        <v>34.5</v>
      </c>
      <c r="E147" s="6">
        <v>24</v>
      </c>
      <c r="F147" s="6">
        <v>1.813675E-2</v>
      </c>
      <c r="G147" s="6">
        <f t="shared" si="13"/>
        <v>9.2932299999999995E-3</v>
      </c>
      <c r="H147" s="6">
        <f t="shared" si="14"/>
        <v>20.703020519999999</v>
      </c>
      <c r="I147" s="6">
        <f t="shared" si="15"/>
        <v>42.529053665279996</v>
      </c>
    </row>
    <row r="148" spans="1:9" ht="15.75" thickBot="1" x14ac:dyDescent="0.3">
      <c r="A148" s="6" t="s">
        <v>202</v>
      </c>
      <c r="B148" s="6">
        <f>References!AB74*4</f>
        <v>16.5352</v>
      </c>
      <c r="C148" s="6">
        <f t="shared" si="12"/>
        <v>1.1643536666666667</v>
      </c>
      <c r="D148" s="6">
        <v>34.5</v>
      </c>
      <c r="E148" s="6">
        <v>24</v>
      </c>
      <c r="F148" s="6">
        <v>1.813675E-2</v>
      </c>
      <c r="G148" s="6">
        <f t="shared" si="13"/>
        <v>9.2932299999999995E-3</v>
      </c>
      <c r="H148" s="6">
        <f t="shared" si="14"/>
        <v>15.037627605000001</v>
      </c>
      <c r="I148" s="6">
        <f t="shared" si="15"/>
        <v>30.890954814720004</v>
      </c>
    </row>
    <row r="149" spans="1:9" ht="15.75" thickBot="1" x14ac:dyDescent="0.3">
      <c r="A149" s="6" t="s">
        <v>203</v>
      </c>
      <c r="B149" s="6">
        <f>References!AB75*4</f>
        <v>51.64</v>
      </c>
      <c r="C149" s="6">
        <f t="shared" si="12"/>
        <v>3.6363166666666666</v>
      </c>
      <c r="D149" s="6">
        <v>34.5</v>
      </c>
      <c r="E149" s="6">
        <v>24</v>
      </c>
      <c r="F149" s="6">
        <v>1.813675E-2</v>
      </c>
      <c r="G149" s="6">
        <f t="shared" si="13"/>
        <v>9.2932299999999995E-3</v>
      </c>
      <c r="H149" s="6">
        <f t="shared" si="14"/>
        <v>46.963029750000004</v>
      </c>
      <c r="I149" s="6">
        <f t="shared" si="15"/>
        <v>96.473517504000014</v>
      </c>
    </row>
    <row r="150" spans="1:9" ht="15.75" thickBot="1" x14ac:dyDescent="0.3">
      <c r="A150" s="6" t="s">
        <v>228</v>
      </c>
      <c r="B150" s="6">
        <f>References!AB76*4</f>
        <v>29.913599999999999</v>
      </c>
      <c r="C150" s="6">
        <f t="shared" si="12"/>
        <v>2.1064159999999998</v>
      </c>
      <c r="D150" s="6">
        <v>34.5</v>
      </c>
      <c r="E150" s="6">
        <v>24</v>
      </c>
      <c r="F150" s="6">
        <v>1.813675E-2</v>
      </c>
      <c r="G150" s="6">
        <f t="shared" si="13"/>
        <v>9.2932299999999995E-3</v>
      </c>
      <c r="H150" s="6">
        <f t="shared" si="14"/>
        <v>27.204362639999999</v>
      </c>
      <c r="I150" s="6">
        <f t="shared" si="15"/>
        <v>55.884396072960001</v>
      </c>
    </row>
    <row r="151" spans="1:9" ht="15.75" thickBot="1" x14ac:dyDescent="0.3">
      <c r="A151" s="6" t="s">
        <v>229</v>
      </c>
      <c r="B151" s="6">
        <f>References!AB77*4</f>
        <v>70.082800000000006</v>
      </c>
      <c r="C151" s="6">
        <f t="shared" si="12"/>
        <v>4.9349971666666672</v>
      </c>
      <c r="D151" s="6">
        <v>34.5</v>
      </c>
      <c r="E151" s="6">
        <v>24</v>
      </c>
      <c r="F151" s="6">
        <v>1.813675E-2</v>
      </c>
      <c r="G151" s="6">
        <f t="shared" si="13"/>
        <v>9.2932299999999995E-3</v>
      </c>
      <c r="H151" s="6">
        <f t="shared" si="14"/>
        <v>63.735488407500007</v>
      </c>
      <c r="I151" s="6">
        <f t="shared" si="15"/>
        <v>130.92823843008003</v>
      </c>
    </row>
    <row r="152" spans="1:9" ht="15.75" thickBot="1" x14ac:dyDescent="0.3">
      <c r="A152" s="6" t="s">
        <v>132</v>
      </c>
      <c r="B152" s="6">
        <f>References!AB78*4</f>
        <v>11.2</v>
      </c>
      <c r="C152" s="6">
        <f t="shared" si="12"/>
        <v>0.78866666666666663</v>
      </c>
      <c r="D152" s="6">
        <v>34.5</v>
      </c>
      <c r="E152" s="6">
        <v>24</v>
      </c>
      <c r="F152" s="6">
        <v>1.813675E-2</v>
      </c>
      <c r="G152" s="6">
        <f t="shared" si="13"/>
        <v>9.2932299999999995E-3</v>
      </c>
      <c r="H152" s="6">
        <f t="shared" si="14"/>
        <v>10.18563</v>
      </c>
      <c r="I152" s="6">
        <f t="shared" si="15"/>
        <v>20.923768320000001</v>
      </c>
    </row>
    <row r="153" spans="1:9" ht="15.75" thickBot="1" x14ac:dyDescent="0.3">
      <c r="A153" s="6" t="s">
        <v>133</v>
      </c>
      <c r="B153" s="6">
        <f>References!AB79*4</f>
        <v>11.2</v>
      </c>
      <c r="C153" s="6">
        <f t="shared" si="12"/>
        <v>0.78866666666666663</v>
      </c>
      <c r="D153" s="6">
        <v>34.5</v>
      </c>
      <c r="E153" s="6">
        <v>24</v>
      </c>
      <c r="F153" s="6">
        <v>1.813675E-2</v>
      </c>
      <c r="G153" s="6">
        <f t="shared" si="13"/>
        <v>9.2932299999999995E-3</v>
      </c>
      <c r="H153" s="6">
        <f t="shared" si="14"/>
        <v>10.18563</v>
      </c>
      <c r="I153" s="6">
        <f t="shared" si="15"/>
        <v>20.923768320000001</v>
      </c>
    </row>
    <row r="154" spans="1:9" ht="15.75" thickBot="1" x14ac:dyDescent="0.3">
      <c r="A154" s="6" t="s">
        <v>134</v>
      </c>
      <c r="B154" s="6">
        <f>References!AB80*4</f>
        <v>11.2</v>
      </c>
      <c r="C154" s="6">
        <f t="shared" si="12"/>
        <v>0.78866666666666663</v>
      </c>
      <c r="D154" s="6">
        <v>34.5</v>
      </c>
      <c r="E154" s="6">
        <v>24</v>
      </c>
      <c r="F154" s="6">
        <v>1.813675E-2</v>
      </c>
      <c r="G154" s="6">
        <f t="shared" si="13"/>
        <v>9.2932299999999995E-3</v>
      </c>
      <c r="H154" s="6">
        <f t="shared" si="14"/>
        <v>10.18563</v>
      </c>
      <c r="I154" s="6">
        <f>3000*C154*(F154-G154)</f>
        <v>20.923768320000001</v>
      </c>
    </row>
    <row r="155" spans="1:9" ht="15.75" thickBot="1" x14ac:dyDescent="0.3">
      <c r="A155" s="6" t="s">
        <v>131</v>
      </c>
      <c r="B155" s="6">
        <f>References!AB81*4</f>
        <v>165.20840000000001</v>
      </c>
      <c r="C155" s="6">
        <f t="shared" si="12"/>
        <v>12.115282666666667</v>
      </c>
      <c r="D155" s="6">
        <v>34.5</v>
      </c>
      <c r="E155" s="6">
        <v>22.5</v>
      </c>
      <c r="F155" s="6">
        <v>1.813675E-2</v>
      </c>
      <c r="G155" s="6">
        <f t="shared" si="13"/>
        <v>8.4806099999999995E-3</v>
      </c>
      <c r="H155" s="6">
        <f t="shared" si="14"/>
        <v>178.82157216000002</v>
      </c>
      <c r="I155" s="6">
        <f t="shared" ref="I155:I157" si="16">3000*C155*(F155-G155)</f>
        <v>350.96059670672008</v>
      </c>
    </row>
    <row r="156" spans="1:9" ht="15.75" thickBot="1" x14ac:dyDescent="0.3">
      <c r="A156" s="6" t="s">
        <v>129</v>
      </c>
      <c r="B156" s="6">
        <f>References!AB82*4</f>
        <v>187.89680000000001</v>
      </c>
      <c r="C156" s="6">
        <f t="shared" si="12"/>
        <v>13.779098666666668</v>
      </c>
      <c r="D156" s="6">
        <v>34.5</v>
      </c>
      <c r="E156" s="6">
        <v>22.5</v>
      </c>
      <c r="F156" s="6">
        <v>1.813675E-2</v>
      </c>
      <c r="G156" s="6">
        <f t="shared" si="13"/>
        <v>8.4806099999999995E-3</v>
      </c>
      <c r="H156" s="6">
        <f t="shared" si="14"/>
        <v>203.37949632000004</v>
      </c>
      <c r="I156" s="6">
        <f t="shared" si="16"/>
        <v>399.15871739744006</v>
      </c>
    </row>
    <row r="157" spans="1:9" ht="15.75" thickBot="1" x14ac:dyDescent="0.3">
      <c r="A157" s="6" t="s">
        <v>155</v>
      </c>
      <c r="B157" s="6">
        <f>References!AB83*4</f>
        <v>8.3604000000000003</v>
      </c>
      <c r="C157" s="6">
        <f t="shared" si="12"/>
        <v>0.58871150000000005</v>
      </c>
      <c r="D157" s="6">
        <v>34.5</v>
      </c>
      <c r="E157" s="6">
        <v>24</v>
      </c>
      <c r="F157" s="6">
        <v>1.813675E-2</v>
      </c>
      <c r="G157" s="6">
        <f t="shared" si="13"/>
        <v>9.2932299999999995E-3</v>
      </c>
      <c r="H157" s="6">
        <f t="shared" si="14"/>
        <v>7.6032090225000006</v>
      </c>
      <c r="I157" s="6">
        <f t="shared" si="16"/>
        <v>15.618845773440002</v>
      </c>
    </row>
    <row r="158" spans="1:9" ht="15.75" thickBot="1" x14ac:dyDescent="0.3">
      <c r="F158" s="171" t="s">
        <v>122</v>
      </c>
      <c r="G158" s="171"/>
      <c r="H158" s="150">
        <f>SUM(H78:H157)</f>
        <v>5646.4769823865836</v>
      </c>
      <c r="I158" s="150">
        <f>SUM(I78:I157)</f>
        <v>11703.581284820526</v>
      </c>
    </row>
    <row r="159" spans="1:9" ht="15.75" thickBot="1" x14ac:dyDescent="0.3">
      <c r="F159" s="164" t="s">
        <v>167</v>
      </c>
      <c r="G159" s="164"/>
      <c r="H159" s="165">
        <f>I158+H158</f>
        <v>17350.05826720711</v>
      </c>
      <c r="I159" s="166"/>
    </row>
    <row r="161" spans="1:11" ht="23.25" x14ac:dyDescent="0.35">
      <c r="A161" s="158" t="s">
        <v>59</v>
      </c>
      <c r="B161" s="158"/>
      <c r="C161" s="158"/>
      <c r="D161" s="158"/>
      <c r="E161" s="158"/>
      <c r="F161" s="158"/>
      <c r="G161" s="158"/>
      <c r="H161" s="158"/>
      <c r="I161" s="158"/>
      <c r="J161" s="108"/>
      <c r="K161" s="108"/>
    </row>
    <row r="162" spans="1:11" ht="15.75" thickBot="1" x14ac:dyDescent="0.3">
      <c r="A162" s="16" t="s">
        <v>0</v>
      </c>
      <c r="B162" s="17" t="s">
        <v>168</v>
      </c>
      <c r="C162" s="17" t="s">
        <v>20</v>
      </c>
      <c r="D162" s="17" t="s">
        <v>12</v>
      </c>
      <c r="E162" s="17" t="s">
        <v>7</v>
      </c>
      <c r="F162" s="17" t="s">
        <v>21</v>
      </c>
      <c r="G162" s="17" t="s">
        <v>22</v>
      </c>
      <c r="H162" s="17" t="s">
        <v>299</v>
      </c>
      <c r="I162" s="17" t="s">
        <v>300</v>
      </c>
    </row>
    <row r="163" spans="1:11" ht="15.75" thickBot="1" x14ac:dyDescent="0.3">
      <c r="A163" s="8" t="s">
        <v>123</v>
      </c>
      <c r="B163" s="6">
        <f>References!AE4*4</f>
        <v>137.10759999999999</v>
      </c>
      <c r="C163" s="6">
        <f>(References!AD4*B163)/3.6</f>
        <v>10.054557333333333</v>
      </c>
      <c r="D163" s="6">
        <v>34.5</v>
      </c>
      <c r="E163" s="6">
        <v>22.5</v>
      </c>
      <c r="F163" s="6">
        <v>1.8136751999999999E-2</v>
      </c>
      <c r="G163" s="6">
        <f t="shared" ref="G163:G194" si="17">_xlfn.IFS(E163=22.5,0.00848031,E163=24,0.009293235,E163=22,0.00821976,E163=28,0.0118162235)</f>
        <v>8.4803099999999996E-3</v>
      </c>
      <c r="H163" s="6">
        <f>1.232*(D163-E163)*C163</f>
        <v>148.64657561599998</v>
      </c>
      <c r="I163" s="6">
        <f>3000*C163*(F163-G163)</f>
        <v>291.27374917502397</v>
      </c>
    </row>
    <row r="164" spans="1:11" ht="15.75" thickBot="1" x14ac:dyDescent="0.3">
      <c r="A164" s="8" t="s">
        <v>206</v>
      </c>
      <c r="B164" s="6">
        <f>References!AE5*4</f>
        <v>10.47</v>
      </c>
      <c r="C164" s="6">
        <f>(References!AD5*B164)/3.6</f>
        <v>0.73726250000000004</v>
      </c>
      <c r="D164" s="6">
        <v>34.5</v>
      </c>
      <c r="E164" s="6">
        <v>24</v>
      </c>
      <c r="F164" s="6">
        <v>1.8136751999999999E-2</v>
      </c>
      <c r="G164" s="6">
        <f t="shared" si="17"/>
        <v>9.2932350000000004E-3</v>
      </c>
      <c r="H164" s="6">
        <f t="shared" ref="H164:H228" si="18">1.232*(D164-E164)*C164</f>
        <v>9.5372277000000008</v>
      </c>
      <c r="I164" s="6">
        <f t="shared" ref="I164:I228" si="19">3000*C164*(F164-G164)</f>
        <v>19.559980356637496</v>
      </c>
    </row>
    <row r="165" spans="1:11" ht="15.75" thickBot="1" x14ac:dyDescent="0.3">
      <c r="A165" s="8" t="s">
        <v>169</v>
      </c>
      <c r="B165" s="6">
        <f>References!AE6*4</f>
        <v>137.04</v>
      </c>
      <c r="C165" s="6">
        <f>(References!AD6*B165)/3.6</f>
        <v>10.0496</v>
      </c>
      <c r="D165" s="6">
        <v>34.5</v>
      </c>
      <c r="E165" s="6">
        <v>22.5</v>
      </c>
      <c r="F165" s="6">
        <v>1.8136751999999999E-2</v>
      </c>
      <c r="G165" s="6">
        <f t="shared" si="17"/>
        <v>8.4803099999999996E-3</v>
      </c>
      <c r="H165" s="6">
        <f t="shared" si="18"/>
        <v>148.5732864</v>
      </c>
      <c r="I165" s="6">
        <f t="shared" si="19"/>
        <v>291.13013856959998</v>
      </c>
    </row>
    <row r="166" spans="1:11" ht="15.75" thickBot="1" x14ac:dyDescent="0.3">
      <c r="A166" s="8" t="s">
        <v>205</v>
      </c>
      <c r="B166" s="6">
        <f>References!AE7*4</f>
        <v>10.47</v>
      </c>
      <c r="C166" s="6">
        <f>(References!AD7*B166)/3.6</f>
        <v>0.76780000000000004</v>
      </c>
      <c r="D166" s="6">
        <v>34.5</v>
      </c>
      <c r="E166" s="6">
        <v>22.5</v>
      </c>
      <c r="F166" s="6">
        <v>1.8136751999999999E-2</v>
      </c>
      <c r="G166" s="6">
        <f t="shared" si="17"/>
        <v>8.4803099999999996E-3</v>
      </c>
      <c r="H166" s="6">
        <f t="shared" si="18"/>
        <v>11.351155199999999</v>
      </c>
      <c r="I166" s="6">
        <f t="shared" si="19"/>
        <v>22.242648502799998</v>
      </c>
    </row>
    <row r="167" spans="1:11" ht="15.75" thickBot="1" x14ac:dyDescent="0.3">
      <c r="A167" s="8" t="s">
        <v>302</v>
      </c>
      <c r="B167" s="6">
        <f>References!AE8*4</f>
        <v>149.63480000000001</v>
      </c>
      <c r="C167" s="6">
        <f>(References!AD8*B167)/3.6</f>
        <v>9.3729576111111115</v>
      </c>
      <c r="D167" s="6">
        <v>34.5</v>
      </c>
      <c r="E167" s="6">
        <v>28</v>
      </c>
      <c r="F167" s="6">
        <v>1.8136751999999999E-2</v>
      </c>
      <c r="G167" s="6">
        <f t="shared" si="17"/>
        <v>1.18162235E-2</v>
      </c>
      <c r="H167" s="6">
        <f t="shared" si="18"/>
        <v>75.058644549777767</v>
      </c>
      <c r="I167" s="6">
        <f t="shared" si="19"/>
        <v>177.72613713095905</v>
      </c>
    </row>
    <row r="168" spans="1:11" ht="15.75" thickBot="1" x14ac:dyDescent="0.3">
      <c r="A168" s="8" t="s">
        <v>303</v>
      </c>
      <c r="B168" s="6">
        <f>References!AE9*4</f>
        <v>149.63480000000001</v>
      </c>
      <c r="C168" s="6">
        <f>(References!AD9*B168)/3.6</f>
        <v>9.3729576111111115</v>
      </c>
      <c r="D168" s="6">
        <v>34.5</v>
      </c>
      <c r="E168" s="6">
        <v>28</v>
      </c>
      <c r="F168" s="6">
        <v>1.8136751999999999E-2</v>
      </c>
      <c r="G168" s="6">
        <f t="shared" si="17"/>
        <v>1.18162235E-2</v>
      </c>
      <c r="H168" s="6">
        <f t="shared" si="18"/>
        <v>75.058644549777767</v>
      </c>
      <c r="I168" s="6">
        <f t="shared" si="19"/>
        <v>177.72613713095905</v>
      </c>
    </row>
    <row r="169" spans="1:11" ht="15.75" thickBot="1" x14ac:dyDescent="0.3">
      <c r="A169" s="8" t="s">
        <v>124</v>
      </c>
      <c r="B169" s="6">
        <f>References!AE10*4</f>
        <v>137.04</v>
      </c>
      <c r="C169" s="6">
        <f>(References!AD10*B169)/3.6</f>
        <v>10.0496</v>
      </c>
      <c r="D169" s="6">
        <v>34.5</v>
      </c>
      <c r="E169" s="6">
        <v>22.5</v>
      </c>
      <c r="F169" s="6">
        <v>1.8136751999999999E-2</v>
      </c>
      <c r="G169" s="6">
        <f t="shared" si="17"/>
        <v>8.4803099999999996E-3</v>
      </c>
      <c r="H169" s="6">
        <f t="shared" si="18"/>
        <v>148.5732864</v>
      </c>
      <c r="I169" s="6">
        <f t="shared" si="19"/>
        <v>291.13013856959998</v>
      </c>
    </row>
    <row r="170" spans="1:11" ht="15.75" thickBot="1" x14ac:dyDescent="0.3">
      <c r="A170" s="8" t="s">
        <v>207</v>
      </c>
      <c r="B170" s="6">
        <f>References!AE11*4</f>
        <v>10.47</v>
      </c>
      <c r="C170" s="6">
        <f>(References!AD11*B170)/3.6</f>
        <v>0.73726250000000004</v>
      </c>
      <c r="D170" s="6">
        <v>34.5</v>
      </c>
      <c r="E170" s="6">
        <v>24</v>
      </c>
      <c r="F170" s="6">
        <v>1.8136751999999999E-2</v>
      </c>
      <c r="G170" s="6">
        <f t="shared" si="17"/>
        <v>9.2932350000000004E-3</v>
      </c>
      <c r="H170" s="6">
        <f t="shared" si="18"/>
        <v>9.5372277000000008</v>
      </c>
      <c r="I170" s="6">
        <f t="shared" si="19"/>
        <v>19.559980356637496</v>
      </c>
    </row>
    <row r="171" spans="1:11" ht="15.75" thickBot="1" x14ac:dyDescent="0.3">
      <c r="A171" s="8" t="s">
        <v>125</v>
      </c>
      <c r="B171" s="6">
        <f>References!AE12*4</f>
        <v>137.04</v>
      </c>
      <c r="C171" s="6">
        <f>(References!AD12*B171)/3.6</f>
        <v>10.0496</v>
      </c>
      <c r="D171" s="6">
        <v>34.5</v>
      </c>
      <c r="E171" s="6">
        <v>22.5</v>
      </c>
      <c r="F171" s="6">
        <v>1.8136751999999999E-2</v>
      </c>
      <c r="G171" s="6">
        <f t="shared" si="17"/>
        <v>8.4803099999999996E-3</v>
      </c>
      <c r="H171" s="6">
        <f t="shared" si="18"/>
        <v>148.5732864</v>
      </c>
      <c r="I171" s="6">
        <f t="shared" si="19"/>
        <v>291.13013856959998</v>
      </c>
    </row>
    <row r="172" spans="1:11" ht="15.75" thickBot="1" x14ac:dyDescent="0.3">
      <c r="A172" s="8" t="s">
        <v>208</v>
      </c>
      <c r="B172" s="6">
        <f>References!AE13*4</f>
        <v>10.47</v>
      </c>
      <c r="C172" s="6">
        <f>(References!AD13*B172)/3.6</f>
        <v>0.73726250000000004</v>
      </c>
      <c r="D172" s="6">
        <v>34.5</v>
      </c>
      <c r="E172" s="6">
        <v>24</v>
      </c>
      <c r="F172" s="6">
        <v>1.8136751999999999E-2</v>
      </c>
      <c r="G172" s="6">
        <f t="shared" si="17"/>
        <v>9.2932350000000004E-3</v>
      </c>
      <c r="H172" s="6">
        <f t="shared" si="18"/>
        <v>9.5372277000000008</v>
      </c>
      <c r="I172" s="6">
        <f t="shared" si="19"/>
        <v>19.559980356637496</v>
      </c>
    </row>
    <row r="173" spans="1:11" ht="15.75" thickBot="1" x14ac:dyDescent="0.3">
      <c r="A173" s="8" t="s">
        <v>170</v>
      </c>
      <c r="B173" s="6">
        <f>References!AE14*4</f>
        <v>40.557200000000002</v>
      </c>
      <c r="C173" s="6">
        <f>(References!AD14*B173)/3.6</f>
        <v>2.974194666666667</v>
      </c>
      <c r="D173" s="6">
        <v>34.5</v>
      </c>
      <c r="E173" s="6">
        <v>22.5</v>
      </c>
      <c r="F173" s="6">
        <v>1.8136751999999999E-2</v>
      </c>
      <c r="G173" s="6">
        <f t="shared" si="17"/>
        <v>8.4803099999999996E-3</v>
      </c>
      <c r="H173" s="6">
        <f t="shared" si="18"/>
        <v>43.970493951999998</v>
      </c>
      <c r="I173" s="6">
        <f t="shared" si="19"/>
        <v>86.160414886127995</v>
      </c>
    </row>
    <row r="174" spans="1:11" ht="15.75" thickBot="1" x14ac:dyDescent="0.3">
      <c r="A174" s="8" t="s">
        <v>209</v>
      </c>
      <c r="B174" s="6">
        <f>References!AE15*4</f>
        <v>10.488799999999999</v>
      </c>
      <c r="C174" s="6">
        <f>(References!AD15*B174)/3.6</f>
        <v>0.73858633333333323</v>
      </c>
      <c r="D174" s="6">
        <v>34.5</v>
      </c>
      <c r="E174" s="6">
        <v>24</v>
      </c>
      <c r="F174" s="6">
        <v>1.8136751999999999E-2</v>
      </c>
      <c r="G174" s="6">
        <f t="shared" si="17"/>
        <v>9.2932350000000004E-3</v>
      </c>
      <c r="H174" s="6">
        <f t="shared" si="18"/>
        <v>9.5543528079999991</v>
      </c>
      <c r="I174" s="6">
        <f t="shared" si="19"/>
        <v>19.595102384402992</v>
      </c>
    </row>
    <row r="175" spans="1:11" ht="15.75" thickBot="1" x14ac:dyDescent="0.3">
      <c r="A175" s="8" t="s">
        <v>171</v>
      </c>
      <c r="B175" s="6">
        <f>References!AE16*4</f>
        <v>55.688800000000001</v>
      </c>
      <c r="C175" s="6">
        <f>(References!AD16*B175)/3.6</f>
        <v>4.0838453333333335</v>
      </c>
      <c r="D175" s="6">
        <v>34.5</v>
      </c>
      <c r="E175" s="6">
        <v>22.5</v>
      </c>
      <c r="F175" s="6">
        <v>1.8136751999999999E-2</v>
      </c>
      <c r="G175" s="6">
        <f t="shared" si="17"/>
        <v>8.4803099999999996E-3</v>
      </c>
      <c r="H175" s="6">
        <f t="shared" si="18"/>
        <v>60.375569407999997</v>
      </c>
      <c r="I175" s="6">
        <f t="shared" si="19"/>
        <v>118.306246794912</v>
      </c>
    </row>
    <row r="176" spans="1:11" ht="15.75" thickBot="1" x14ac:dyDescent="0.3">
      <c r="A176" s="8" t="s">
        <v>210</v>
      </c>
      <c r="B176" s="6">
        <f>References!AE17*4</f>
        <v>10.462</v>
      </c>
      <c r="C176" s="6">
        <f>(References!AD17*B176)/3.6</f>
        <v>0.73669916666666668</v>
      </c>
      <c r="D176" s="6">
        <v>34.5</v>
      </c>
      <c r="E176" s="6">
        <v>24</v>
      </c>
      <c r="F176" s="6">
        <v>1.8136751999999999E-2</v>
      </c>
      <c r="G176" s="6">
        <f t="shared" si="17"/>
        <v>9.2932350000000004E-3</v>
      </c>
      <c r="H176" s="6">
        <f t="shared" si="18"/>
        <v>9.5299404200000009</v>
      </c>
      <c r="I176" s="6">
        <f t="shared" si="19"/>
        <v>19.545034812907495</v>
      </c>
    </row>
    <row r="177" spans="1:9" ht="15.75" thickBot="1" x14ac:dyDescent="0.3">
      <c r="A177" s="8" t="s">
        <v>172</v>
      </c>
      <c r="B177" s="6">
        <f>References!AE18*4</f>
        <v>55.495199999999997</v>
      </c>
      <c r="C177" s="6">
        <f>(References!AD18*B177)/3.6</f>
        <v>4.0696479999999999</v>
      </c>
      <c r="D177" s="6">
        <v>34.5</v>
      </c>
      <c r="E177" s="6">
        <v>22.5</v>
      </c>
      <c r="F177" s="6">
        <v>1.8136751999999999E-2</v>
      </c>
      <c r="G177" s="6">
        <f t="shared" si="17"/>
        <v>8.4803099999999996E-3</v>
      </c>
      <c r="H177" s="6">
        <f t="shared" si="18"/>
        <v>60.165676031999993</v>
      </c>
      <c r="I177" s="6">
        <f t="shared" si="19"/>
        <v>117.89495961724799</v>
      </c>
    </row>
    <row r="178" spans="1:9" ht="15.75" thickBot="1" x14ac:dyDescent="0.3">
      <c r="A178" s="8" t="s">
        <v>211</v>
      </c>
      <c r="B178" s="6">
        <f>References!AE19*4</f>
        <v>10.474399999999999</v>
      </c>
      <c r="C178" s="6">
        <f>(References!AD19*B178)/3.6</f>
        <v>0.73757233333333327</v>
      </c>
      <c r="D178" s="6">
        <v>34.5</v>
      </c>
      <c r="E178" s="6">
        <v>24</v>
      </c>
      <c r="F178" s="6">
        <v>1.8136751999999999E-2</v>
      </c>
      <c r="G178" s="6">
        <f t="shared" si="17"/>
        <v>9.2932350000000004E-3</v>
      </c>
      <c r="H178" s="6">
        <f t="shared" si="18"/>
        <v>9.541235704</v>
      </c>
      <c r="I178" s="6">
        <f t="shared" si="19"/>
        <v>19.568200405688994</v>
      </c>
    </row>
    <row r="179" spans="1:9" ht="15.75" thickBot="1" x14ac:dyDescent="0.3">
      <c r="A179" s="8" t="s">
        <v>173</v>
      </c>
      <c r="B179" s="6">
        <f>References!AE20*4</f>
        <v>122.848</v>
      </c>
      <c r="C179" s="6">
        <f>(References!AD20*B179)/3.6</f>
        <v>9.0088533333333327</v>
      </c>
      <c r="D179" s="6">
        <v>34.5</v>
      </c>
      <c r="E179" s="6">
        <v>22.5</v>
      </c>
      <c r="F179" s="6">
        <v>1.8136751999999999E-2</v>
      </c>
      <c r="G179" s="6">
        <f t="shared" si="17"/>
        <v>8.4803099999999996E-3</v>
      </c>
      <c r="H179" s="6">
        <f t="shared" si="18"/>
        <v>133.18688767999998</v>
      </c>
      <c r="I179" s="6">
        <f t="shared" si="19"/>
        <v>260.98040909951999</v>
      </c>
    </row>
    <row r="180" spans="1:9" ht="15.75" thickBot="1" x14ac:dyDescent="0.3">
      <c r="A180" s="8" t="s">
        <v>212</v>
      </c>
      <c r="B180" s="6">
        <f>References!AE21*4</f>
        <v>10.5496</v>
      </c>
      <c r="C180" s="6">
        <f>(References!AD21*B180)/3.6</f>
        <v>0.7428676666666667</v>
      </c>
      <c r="D180" s="6">
        <v>34.5</v>
      </c>
      <c r="E180" s="6">
        <v>24</v>
      </c>
      <c r="F180" s="6">
        <v>1.8136751999999999E-2</v>
      </c>
      <c r="G180" s="6">
        <f t="shared" si="17"/>
        <v>9.2932350000000004E-3</v>
      </c>
      <c r="H180" s="6">
        <f t="shared" si="18"/>
        <v>9.6097361360000004</v>
      </c>
      <c r="I180" s="6">
        <f t="shared" si="19"/>
        <v>19.708688516750996</v>
      </c>
    </row>
    <row r="181" spans="1:9" ht="15.75" thickBot="1" x14ac:dyDescent="0.3">
      <c r="A181" s="8" t="s">
        <v>174</v>
      </c>
      <c r="B181" s="6">
        <f>References!AE22*4</f>
        <v>71.765199999999993</v>
      </c>
      <c r="C181" s="6">
        <f>(References!AD22*B181)/3.6</f>
        <v>5.2627813333333329</v>
      </c>
      <c r="D181" s="6">
        <v>34.5</v>
      </c>
      <c r="E181" s="6">
        <v>22.5</v>
      </c>
      <c r="F181" s="6">
        <v>1.8136751999999999E-2</v>
      </c>
      <c r="G181" s="6">
        <f t="shared" si="17"/>
        <v>8.4803099999999996E-3</v>
      </c>
      <c r="H181" s="6">
        <f t="shared" si="18"/>
        <v>77.804959231999987</v>
      </c>
      <c r="I181" s="6">
        <f t="shared" si="19"/>
        <v>152.45922811204798</v>
      </c>
    </row>
    <row r="182" spans="1:9" ht="15.75" thickBot="1" x14ac:dyDescent="0.3">
      <c r="A182" s="8" t="s">
        <v>64</v>
      </c>
      <c r="B182" s="6">
        <f>References!AE23*4</f>
        <v>91.316000000000003</v>
      </c>
      <c r="C182" s="6">
        <f>(References!AD23*B182)/3.6</f>
        <v>5.7199327777777773</v>
      </c>
      <c r="D182" s="6">
        <v>34.5</v>
      </c>
      <c r="E182" s="6">
        <v>28</v>
      </c>
      <c r="F182" s="6">
        <v>1.8136751999999999E-2</v>
      </c>
      <c r="G182" s="6">
        <f t="shared" si="17"/>
        <v>1.18162235E-2</v>
      </c>
      <c r="H182" s="6">
        <f t="shared" si="18"/>
        <v>45.805221684444433</v>
      </c>
      <c r="I182" s="6">
        <f t="shared" si="19"/>
        <v>108.4589944200858</v>
      </c>
    </row>
    <row r="183" spans="1:9" ht="15.75" thickBot="1" x14ac:dyDescent="0.3">
      <c r="A183" s="8" t="s">
        <v>204</v>
      </c>
      <c r="B183" s="6">
        <f>References!AE24*4</f>
        <v>9.66</v>
      </c>
      <c r="C183" s="6">
        <f>(References!AD24*B183)/3.6</f>
        <v>0.68022499999999997</v>
      </c>
      <c r="D183" s="6">
        <v>34.5</v>
      </c>
      <c r="E183" s="6">
        <v>24</v>
      </c>
      <c r="F183" s="6">
        <v>1.8136751999999999E-2</v>
      </c>
      <c r="G183" s="6">
        <f t="shared" si="17"/>
        <v>9.2932350000000004E-3</v>
      </c>
      <c r="H183" s="6">
        <f t="shared" si="18"/>
        <v>8.7993905999999988</v>
      </c>
      <c r="I183" s="6">
        <f t="shared" si="19"/>
        <v>18.046744053974997</v>
      </c>
    </row>
    <row r="184" spans="1:9" ht="15.75" thickBot="1" x14ac:dyDescent="0.3">
      <c r="A184" s="8" t="s">
        <v>176</v>
      </c>
      <c r="B184" s="6">
        <f>References!AE25*4</f>
        <v>19.147600000000001</v>
      </c>
      <c r="C184" s="6">
        <f>(References!AD25*B184)/3.6</f>
        <v>1.3483101666666666</v>
      </c>
      <c r="D184" s="6">
        <v>34.5</v>
      </c>
      <c r="E184" s="6">
        <v>24</v>
      </c>
      <c r="F184" s="6">
        <v>1.8136751999999999E-2</v>
      </c>
      <c r="G184" s="6">
        <f t="shared" si="17"/>
        <v>9.2932350000000004E-3</v>
      </c>
      <c r="H184" s="6">
        <f t="shared" si="18"/>
        <v>17.441740316000001</v>
      </c>
      <c r="I184" s="6">
        <f t="shared" si="19"/>
        <v>35.771411640568495</v>
      </c>
    </row>
    <row r="185" spans="1:9" ht="15.75" thickBot="1" x14ac:dyDescent="0.3">
      <c r="A185" s="8" t="s">
        <v>177</v>
      </c>
      <c r="B185" s="6">
        <f>References!AE26*4</f>
        <v>9.8323999999999998</v>
      </c>
      <c r="C185" s="6">
        <f>(References!AD26*B185)/3.6</f>
        <v>0.69236483333333332</v>
      </c>
      <c r="D185" s="6">
        <v>34.5</v>
      </c>
      <c r="E185" s="6">
        <v>24</v>
      </c>
      <c r="F185" s="6">
        <v>1.8136751999999999E-2</v>
      </c>
      <c r="G185" s="6">
        <f t="shared" si="17"/>
        <v>9.2932350000000004E-3</v>
      </c>
      <c r="H185" s="6">
        <f t="shared" si="18"/>
        <v>8.9564314839999994</v>
      </c>
      <c r="I185" s="6">
        <f t="shared" si="19"/>
        <v>18.368820521356497</v>
      </c>
    </row>
    <row r="186" spans="1:9" ht="15.75" thickBot="1" x14ac:dyDescent="0.3">
      <c r="A186" s="8" t="s">
        <v>178</v>
      </c>
      <c r="B186" s="6">
        <f>References!AE27*4</f>
        <v>55.494</v>
      </c>
      <c r="C186" s="6">
        <f>(References!AD27*B186)/3.6</f>
        <v>4.0695600000000001</v>
      </c>
      <c r="D186" s="6">
        <v>34.5</v>
      </c>
      <c r="E186" s="6">
        <v>22.5</v>
      </c>
      <c r="F186" s="6">
        <v>1.8136751999999999E-2</v>
      </c>
      <c r="G186" s="6">
        <f t="shared" si="17"/>
        <v>8.4803099999999996E-3</v>
      </c>
      <c r="H186" s="6">
        <f t="shared" si="18"/>
        <v>60.164375039999996</v>
      </c>
      <c r="I186" s="6">
        <f t="shared" si="19"/>
        <v>117.89241031656</v>
      </c>
    </row>
    <row r="187" spans="1:9" ht="15.75" thickBot="1" x14ac:dyDescent="0.3">
      <c r="A187" s="8" t="s">
        <v>213</v>
      </c>
      <c r="B187" s="6">
        <f>References!AE28*4</f>
        <v>10.47</v>
      </c>
      <c r="C187" s="6">
        <f>(References!AD28*B187)/3.6</f>
        <v>0.73726250000000004</v>
      </c>
      <c r="D187" s="6">
        <v>34.5</v>
      </c>
      <c r="E187" s="6">
        <v>24</v>
      </c>
      <c r="F187" s="6">
        <v>1.8136751999999999E-2</v>
      </c>
      <c r="G187" s="6">
        <f t="shared" si="17"/>
        <v>9.2932350000000004E-3</v>
      </c>
      <c r="H187" s="6">
        <f t="shared" si="18"/>
        <v>9.5372277000000008</v>
      </c>
      <c r="I187" s="6">
        <f t="shared" si="19"/>
        <v>19.559980356637496</v>
      </c>
    </row>
    <row r="188" spans="1:9" ht="15.75" thickBot="1" x14ac:dyDescent="0.3">
      <c r="A188" s="8" t="s">
        <v>179</v>
      </c>
      <c r="B188" s="6">
        <f>References!AE29*4</f>
        <v>55.571199999999997</v>
      </c>
      <c r="C188" s="6">
        <f>(References!AD29*B188)/3.6</f>
        <v>4.0752213333333334</v>
      </c>
      <c r="D188" s="6">
        <v>34.5</v>
      </c>
      <c r="E188" s="6">
        <v>22.5</v>
      </c>
      <c r="F188" s="6">
        <v>1.8136751999999999E-2</v>
      </c>
      <c r="G188" s="6">
        <f t="shared" si="17"/>
        <v>8.4803099999999996E-3</v>
      </c>
      <c r="H188" s="6">
        <f t="shared" si="18"/>
        <v>60.248072191999995</v>
      </c>
      <c r="I188" s="6">
        <f t="shared" si="19"/>
        <v>118.056415327488</v>
      </c>
    </row>
    <row r="189" spans="1:9" ht="15.75" thickBot="1" x14ac:dyDescent="0.3">
      <c r="A189" s="8" t="s">
        <v>214</v>
      </c>
      <c r="B189" s="6">
        <f>References!AE30*4</f>
        <v>10.47</v>
      </c>
      <c r="C189" s="6">
        <f>(References!AD30*B189)/3.6</f>
        <v>0.73726250000000004</v>
      </c>
      <c r="D189" s="6">
        <v>34.5</v>
      </c>
      <c r="E189" s="6">
        <v>24</v>
      </c>
      <c r="F189" s="6">
        <v>1.8136751999999999E-2</v>
      </c>
      <c r="G189" s="6">
        <f t="shared" si="17"/>
        <v>9.2932350000000004E-3</v>
      </c>
      <c r="H189" s="6">
        <f t="shared" si="18"/>
        <v>9.5372277000000008</v>
      </c>
      <c r="I189" s="6">
        <f t="shared" si="19"/>
        <v>19.559980356637496</v>
      </c>
    </row>
    <row r="190" spans="1:9" ht="15.75" thickBot="1" x14ac:dyDescent="0.3">
      <c r="A190" s="8" t="s">
        <v>180</v>
      </c>
      <c r="B190" s="6">
        <f>References!AE31*4</f>
        <v>40.686399999999999</v>
      </c>
      <c r="C190" s="6">
        <f>(References!AD31*B190)/3.6</f>
        <v>2.9836693333333333</v>
      </c>
      <c r="D190" s="6">
        <v>34.5</v>
      </c>
      <c r="E190" s="6">
        <v>22.5</v>
      </c>
      <c r="F190" s="6">
        <v>1.8136751999999999E-2</v>
      </c>
      <c r="G190" s="6">
        <f t="shared" si="17"/>
        <v>8.4803099999999996E-3</v>
      </c>
      <c r="H190" s="6">
        <f t="shared" si="18"/>
        <v>44.110567423999996</v>
      </c>
      <c r="I190" s="6">
        <f t="shared" si="19"/>
        <v>86.434889593535999</v>
      </c>
    </row>
    <row r="191" spans="1:9" ht="15.75" thickBot="1" x14ac:dyDescent="0.3">
      <c r="A191" s="8" t="s">
        <v>215</v>
      </c>
      <c r="B191" s="6">
        <f>References!AE32*4</f>
        <v>10.485200000000001</v>
      </c>
      <c r="C191" s="6">
        <f>(References!AD32*B191)/3.6</f>
        <v>0.73833283333333333</v>
      </c>
      <c r="D191" s="6">
        <v>34.5</v>
      </c>
      <c r="E191" s="6">
        <v>24</v>
      </c>
      <c r="F191" s="6">
        <v>1.8136751999999999E-2</v>
      </c>
      <c r="G191" s="6">
        <f t="shared" si="17"/>
        <v>9.2932350000000004E-3</v>
      </c>
      <c r="H191" s="6">
        <f t="shared" si="18"/>
        <v>9.5510735320000002</v>
      </c>
      <c r="I191" s="6">
        <f>3000*C191*(F191-G191)</f>
        <v>19.588376889724497</v>
      </c>
    </row>
    <row r="192" spans="1:9" ht="15.75" thickBot="1" x14ac:dyDescent="0.3">
      <c r="A192" s="8" t="s">
        <v>182</v>
      </c>
      <c r="B192" s="6">
        <f>References!AE33*4</f>
        <v>63.447600000000001</v>
      </c>
      <c r="C192" s="6">
        <f>(References!AD33*B192)/3.6</f>
        <v>4.6528239999999998</v>
      </c>
      <c r="D192" s="6">
        <v>34.5</v>
      </c>
      <c r="E192" s="6">
        <v>22.5</v>
      </c>
      <c r="F192" s="6">
        <v>1.8136751999999999E-2</v>
      </c>
      <c r="G192" s="6">
        <f t="shared" si="17"/>
        <v>8.4803099999999996E-3</v>
      </c>
      <c r="H192" s="6">
        <f t="shared" si="18"/>
        <v>68.787350015999991</v>
      </c>
      <c r="I192" s="6">
        <f t="shared" si="19"/>
        <v>134.78917527662398</v>
      </c>
    </row>
    <row r="193" spans="1:9" ht="15.75" thickBot="1" x14ac:dyDescent="0.3">
      <c r="A193" s="8" t="s">
        <v>216</v>
      </c>
      <c r="B193" s="6">
        <f>References!AE34*4</f>
        <v>10.56</v>
      </c>
      <c r="C193" s="6">
        <f>(References!AD34*B193)/3.6</f>
        <v>0.74360000000000004</v>
      </c>
      <c r="D193" s="6">
        <v>34.5</v>
      </c>
      <c r="E193" s="6">
        <v>24</v>
      </c>
      <c r="F193" s="6">
        <v>1.8136751999999999E-2</v>
      </c>
      <c r="G193" s="6">
        <f t="shared" si="17"/>
        <v>9.2932350000000004E-3</v>
      </c>
      <c r="H193" s="6">
        <f t="shared" si="18"/>
        <v>9.6192095999999996</v>
      </c>
      <c r="I193" s="6">
        <f t="shared" si="19"/>
        <v>19.728117723599997</v>
      </c>
    </row>
    <row r="194" spans="1:9" ht="15.75" thickBot="1" x14ac:dyDescent="0.3">
      <c r="A194" s="8" t="s">
        <v>186</v>
      </c>
      <c r="B194" s="6">
        <f>References!AE35*4</f>
        <v>63.447600000000001</v>
      </c>
      <c r="C194" s="6">
        <f>(References!AD35*B194)/3.6</f>
        <v>4.6528239999999998</v>
      </c>
      <c r="D194" s="6">
        <v>34.5</v>
      </c>
      <c r="E194" s="6">
        <v>22.5</v>
      </c>
      <c r="F194" s="6">
        <v>1.8136751999999999E-2</v>
      </c>
      <c r="G194" s="6">
        <f t="shared" si="17"/>
        <v>8.4803099999999996E-3</v>
      </c>
      <c r="H194" s="6">
        <f t="shared" si="18"/>
        <v>68.787350015999991</v>
      </c>
      <c r="I194" s="6">
        <f t="shared" si="19"/>
        <v>134.78917527662398</v>
      </c>
    </row>
    <row r="195" spans="1:9" ht="15.75" thickBot="1" x14ac:dyDescent="0.3">
      <c r="A195" s="8" t="s">
        <v>220</v>
      </c>
      <c r="B195" s="6">
        <f>References!AE36*4</f>
        <v>10.56</v>
      </c>
      <c r="C195" s="6">
        <f>(References!AD36*B195)/3.6</f>
        <v>0.74360000000000004</v>
      </c>
      <c r="D195" s="6">
        <v>34.5</v>
      </c>
      <c r="E195" s="6">
        <v>24</v>
      </c>
      <c r="F195" s="6">
        <v>1.8136751999999999E-2</v>
      </c>
      <c r="G195" s="6">
        <f t="shared" ref="G195:G226" si="20">_xlfn.IFS(E195=22.5,0.00848031,E195=24,0.009293235,E195=22,0.00821976,E195=28,0.0118162235)</f>
        <v>9.2932350000000004E-3</v>
      </c>
      <c r="H195" s="6">
        <f t="shared" si="18"/>
        <v>9.6192095999999996</v>
      </c>
      <c r="I195" s="6">
        <f t="shared" si="19"/>
        <v>19.728117723599997</v>
      </c>
    </row>
    <row r="196" spans="1:9" ht="15.75" thickBot="1" x14ac:dyDescent="0.3">
      <c r="A196" s="8" t="s">
        <v>183</v>
      </c>
      <c r="B196" s="6">
        <f>References!AE37*4</f>
        <v>99.132000000000005</v>
      </c>
      <c r="C196" s="6">
        <f>(References!AD37*B196)/3.6</f>
        <v>7.269680000000001</v>
      </c>
      <c r="D196" s="6">
        <v>34.5</v>
      </c>
      <c r="E196" s="6">
        <v>22.5</v>
      </c>
      <c r="F196" s="6">
        <v>1.8136751999999999E-2</v>
      </c>
      <c r="G196" s="6">
        <f t="shared" si="20"/>
        <v>8.4803099999999996E-3</v>
      </c>
      <c r="H196" s="6">
        <f t="shared" si="18"/>
        <v>107.47494912000001</v>
      </c>
      <c r="I196" s="6">
        <f t="shared" si="19"/>
        <v>210.59772983568004</v>
      </c>
    </row>
    <row r="197" spans="1:9" ht="15.75" thickBot="1" x14ac:dyDescent="0.3">
      <c r="A197" s="8" t="s">
        <v>218</v>
      </c>
      <c r="B197" s="6">
        <f>References!AE38*4</f>
        <v>10.56</v>
      </c>
      <c r="C197" s="6">
        <f>(References!AD38*B197)/3.6</f>
        <v>0.74360000000000004</v>
      </c>
      <c r="D197" s="6">
        <v>34.5</v>
      </c>
      <c r="E197" s="6">
        <v>24</v>
      </c>
      <c r="F197" s="6">
        <v>1.8136751999999999E-2</v>
      </c>
      <c r="G197" s="6">
        <f t="shared" si="20"/>
        <v>9.2932350000000004E-3</v>
      </c>
      <c r="H197" s="6">
        <f t="shared" si="18"/>
        <v>9.6192095999999996</v>
      </c>
      <c r="I197" s="6">
        <f t="shared" si="19"/>
        <v>19.728117723599997</v>
      </c>
    </row>
    <row r="198" spans="1:9" ht="15.75" thickBot="1" x14ac:dyDescent="0.3">
      <c r="A198" s="8" t="s">
        <v>185</v>
      </c>
      <c r="B198" s="6">
        <f>References!AE39*4</f>
        <v>99.563599999999994</v>
      </c>
      <c r="C198" s="6">
        <f>(References!AD39*B198)/3.6</f>
        <v>7.301330666666666</v>
      </c>
      <c r="D198" s="6">
        <v>34.5</v>
      </c>
      <c r="E198" s="6">
        <v>22.5</v>
      </c>
      <c r="F198" s="6">
        <v>1.8136751999999999E-2</v>
      </c>
      <c r="G198" s="6">
        <f t="shared" si="20"/>
        <v>8.4803099999999996E-3</v>
      </c>
      <c r="H198" s="6">
        <f t="shared" si="18"/>
        <v>107.94287257599998</v>
      </c>
      <c r="I198" s="6">
        <f t="shared" si="19"/>
        <v>211.51462831646398</v>
      </c>
    </row>
    <row r="199" spans="1:9" ht="15.75" thickBot="1" x14ac:dyDescent="0.3">
      <c r="A199" s="8" t="s">
        <v>219</v>
      </c>
      <c r="B199" s="6">
        <f>References!AE40*4</f>
        <v>10.56</v>
      </c>
      <c r="C199" s="6">
        <f>(References!AD40*B199)/3.6</f>
        <v>0.74360000000000004</v>
      </c>
      <c r="D199" s="6">
        <v>34.5</v>
      </c>
      <c r="E199" s="6">
        <v>24</v>
      </c>
      <c r="F199" s="6">
        <v>1.8136751999999999E-2</v>
      </c>
      <c r="G199" s="6">
        <f t="shared" si="20"/>
        <v>9.2932350000000004E-3</v>
      </c>
      <c r="H199" s="6">
        <f t="shared" si="18"/>
        <v>9.6192095999999996</v>
      </c>
      <c r="I199" s="6">
        <f t="shared" si="19"/>
        <v>19.728117723599997</v>
      </c>
    </row>
    <row r="200" spans="1:9" ht="15.75" thickBot="1" x14ac:dyDescent="0.3">
      <c r="A200" s="8" t="s">
        <v>189</v>
      </c>
      <c r="B200" s="6">
        <f>References!AE41*4</f>
        <v>54.725200000000001</v>
      </c>
      <c r="C200" s="6">
        <f>(References!AD41*B200)/3.6</f>
        <v>4.0131813333333337</v>
      </c>
      <c r="D200" s="6">
        <v>34.5</v>
      </c>
      <c r="E200" s="6">
        <v>22.5</v>
      </c>
      <c r="F200" s="6">
        <v>1.8136751999999999E-2</v>
      </c>
      <c r="G200" s="6">
        <f t="shared" si="20"/>
        <v>8.4803099999999996E-3</v>
      </c>
      <c r="H200" s="6">
        <f t="shared" si="18"/>
        <v>59.330872832000004</v>
      </c>
      <c r="I200" s="6">
        <f t="shared" si="19"/>
        <v>116.259158342448</v>
      </c>
    </row>
    <row r="201" spans="1:9" ht="15.75" thickBot="1" x14ac:dyDescent="0.3">
      <c r="A201" s="8" t="s">
        <v>223</v>
      </c>
      <c r="B201" s="6">
        <f>References!AE42*4</f>
        <v>10.56</v>
      </c>
      <c r="C201" s="6">
        <f>(References!AD42*B201)/3.6</f>
        <v>0.74360000000000004</v>
      </c>
      <c r="D201" s="6">
        <v>34.5</v>
      </c>
      <c r="E201" s="6">
        <v>24</v>
      </c>
      <c r="F201" s="6">
        <v>1.8136751999999999E-2</v>
      </c>
      <c r="G201" s="6">
        <f t="shared" si="20"/>
        <v>9.2932350000000004E-3</v>
      </c>
      <c r="H201" s="6">
        <f t="shared" si="18"/>
        <v>9.6192095999999996</v>
      </c>
      <c r="I201" s="6">
        <f t="shared" si="19"/>
        <v>19.728117723599997</v>
      </c>
    </row>
    <row r="202" spans="1:9" ht="15.75" thickBot="1" x14ac:dyDescent="0.3">
      <c r="A202" s="8" t="s">
        <v>190</v>
      </c>
      <c r="B202" s="6">
        <f>References!AE43*4</f>
        <v>55.004800000000003</v>
      </c>
      <c r="C202" s="6">
        <f>(References!AD43*B202)/3.6</f>
        <v>4.0336853333333336</v>
      </c>
      <c r="D202" s="6">
        <v>34.5</v>
      </c>
      <c r="E202" s="6">
        <v>22.5</v>
      </c>
      <c r="F202" s="6">
        <v>1.8136751999999999E-2</v>
      </c>
      <c r="G202" s="6">
        <f t="shared" si="20"/>
        <v>8.4803099999999996E-3</v>
      </c>
      <c r="H202" s="6">
        <f t="shared" si="18"/>
        <v>59.634003968000002</v>
      </c>
      <c r="I202" s="6">
        <f t="shared" si="19"/>
        <v>116.85314540275199</v>
      </c>
    </row>
    <row r="203" spans="1:9" ht="15.75" thickBot="1" x14ac:dyDescent="0.3">
      <c r="A203" s="8" t="s">
        <v>224</v>
      </c>
      <c r="B203" s="6">
        <f>References!AE44*4</f>
        <v>10.56</v>
      </c>
      <c r="C203" s="6">
        <f>(References!AD44*B203)/3.6</f>
        <v>0.74360000000000004</v>
      </c>
      <c r="D203" s="6">
        <v>34.5</v>
      </c>
      <c r="E203" s="6">
        <v>24</v>
      </c>
      <c r="F203" s="6">
        <v>1.8136751999999999E-2</v>
      </c>
      <c r="G203" s="6">
        <f t="shared" si="20"/>
        <v>9.2932350000000004E-3</v>
      </c>
      <c r="H203" s="6">
        <f t="shared" si="18"/>
        <v>9.6192095999999996</v>
      </c>
      <c r="I203" s="6">
        <f t="shared" si="19"/>
        <v>19.728117723599997</v>
      </c>
    </row>
    <row r="204" spans="1:9" ht="15.75" thickBot="1" x14ac:dyDescent="0.3">
      <c r="A204" s="8" t="s">
        <v>304</v>
      </c>
      <c r="B204" s="6">
        <f>References!AE45*4</f>
        <v>64.044799999999995</v>
      </c>
      <c r="C204" s="6">
        <f>(References!AD45*B204)/3.6</f>
        <v>4.6966186666666667</v>
      </c>
      <c r="D204" s="6">
        <v>34.5</v>
      </c>
      <c r="E204" s="6">
        <v>22.5</v>
      </c>
      <c r="F204" s="6">
        <v>1.8136751999999999E-2</v>
      </c>
      <c r="G204" s="6">
        <f t="shared" si="20"/>
        <v>8.4803099999999996E-3</v>
      </c>
      <c r="H204" s="6">
        <f t="shared" si="18"/>
        <v>69.434810368000001</v>
      </c>
      <c r="I204" s="6">
        <f t="shared" si="19"/>
        <v>136.057877252352</v>
      </c>
    </row>
    <row r="205" spans="1:9" ht="15.75" thickBot="1" x14ac:dyDescent="0.3">
      <c r="A205" s="8" t="s">
        <v>326</v>
      </c>
      <c r="B205" s="6">
        <f>References!AE46*4</f>
        <v>10.56</v>
      </c>
      <c r="C205" s="6">
        <f>(References!AD46*B205)/3.6</f>
        <v>0.74360000000000004</v>
      </c>
      <c r="D205" s="6">
        <v>34.5</v>
      </c>
      <c r="E205" s="6">
        <v>24</v>
      </c>
      <c r="F205" s="6">
        <v>1.8136751999999999E-2</v>
      </c>
      <c r="G205" s="6">
        <f t="shared" si="20"/>
        <v>9.2932350000000004E-3</v>
      </c>
      <c r="H205" s="6">
        <f t="shared" si="18"/>
        <v>9.6192095999999996</v>
      </c>
      <c r="I205" s="6">
        <f t="shared" si="19"/>
        <v>19.728117723599997</v>
      </c>
    </row>
    <row r="206" spans="1:9" ht="15.75" thickBot="1" x14ac:dyDescent="0.3">
      <c r="A206" s="8" t="s">
        <v>305</v>
      </c>
      <c r="B206" s="6">
        <f>References!AE47*4</f>
        <v>64.044799999999995</v>
      </c>
      <c r="C206" s="6">
        <f>(References!AD47*B206)/3.6</f>
        <v>4.6966186666666667</v>
      </c>
      <c r="D206" s="6">
        <v>34.5</v>
      </c>
      <c r="E206" s="6">
        <v>22.5</v>
      </c>
      <c r="F206" s="6">
        <v>1.8136751999999999E-2</v>
      </c>
      <c r="G206" s="6">
        <f t="shared" si="20"/>
        <v>8.4803099999999996E-3</v>
      </c>
      <c r="H206" s="6">
        <f t="shared" si="18"/>
        <v>69.434810368000001</v>
      </c>
      <c r="I206" s="6">
        <f t="shared" si="19"/>
        <v>136.057877252352</v>
      </c>
    </row>
    <row r="207" spans="1:9" ht="15.75" thickBot="1" x14ac:dyDescent="0.3">
      <c r="A207" s="8" t="s">
        <v>327</v>
      </c>
      <c r="B207" s="6">
        <f>References!AE48*4</f>
        <v>10.56</v>
      </c>
      <c r="C207" s="6">
        <f>(References!AD48*B207)/3.6</f>
        <v>0.74360000000000004</v>
      </c>
      <c r="D207" s="6">
        <v>34.5</v>
      </c>
      <c r="E207" s="6">
        <v>24</v>
      </c>
      <c r="F207" s="6">
        <v>1.8136751999999999E-2</v>
      </c>
      <c r="G207" s="6">
        <f t="shared" si="20"/>
        <v>9.2932350000000004E-3</v>
      </c>
      <c r="H207" s="6">
        <f t="shared" si="18"/>
        <v>9.6192095999999996</v>
      </c>
      <c r="I207" s="6">
        <f t="shared" si="19"/>
        <v>19.728117723599997</v>
      </c>
    </row>
    <row r="208" spans="1:9" ht="15.75" thickBot="1" x14ac:dyDescent="0.3">
      <c r="A208" s="8" t="s">
        <v>184</v>
      </c>
      <c r="B208" s="6">
        <f>References!AE49*4</f>
        <v>35.860399999999998</v>
      </c>
      <c r="C208" s="6">
        <f>(References!AD49*B208)/3.6</f>
        <v>2.6297626666666667</v>
      </c>
      <c r="D208" s="6">
        <v>34.5</v>
      </c>
      <c r="E208" s="6">
        <v>22.5</v>
      </c>
      <c r="F208" s="6">
        <v>1.8136751999999999E-2</v>
      </c>
      <c r="G208" s="6">
        <f t="shared" si="20"/>
        <v>8.4803099999999996E-3</v>
      </c>
      <c r="H208" s="6">
        <f t="shared" si="18"/>
        <v>38.878411264</v>
      </c>
      <c r="I208" s="6">
        <f>3000*C208*(F208-G208)</f>
        <v>76.182451993295999</v>
      </c>
    </row>
    <row r="209" spans="1:9" ht="15.75" thickBot="1" x14ac:dyDescent="0.3">
      <c r="A209" s="8" t="s">
        <v>306</v>
      </c>
      <c r="B209" s="6">
        <f>References!AE50*4</f>
        <v>55.004800000000003</v>
      </c>
      <c r="C209" s="6">
        <f>(References!AD50*B209)/3.6</f>
        <v>4.0336853333333336</v>
      </c>
      <c r="D209" s="6">
        <v>34.5</v>
      </c>
      <c r="E209" s="6">
        <v>22.5</v>
      </c>
      <c r="F209" s="6">
        <v>1.8136751999999999E-2</v>
      </c>
      <c r="G209" s="6">
        <f t="shared" si="20"/>
        <v>8.4803099999999996E-3</v>
      </c>
      <c r="H209" s="6">
        <f t="shared" si="18"/>
        <v>59.634003968000002</v>
      </c>
      <c r="I209" s="6">
        <f t="shared" si="19"/>
        <v>116.85314540275199</v>
      </c>
    </row>
    <row r="210" spans="1:9" ht="15.75" thickBot="1" x14ac:dyDescent="0.3">
      <c r="A210" s="8" t="s">
        <v>328</v>
      </c>
      <c r="B210" s="6">
        <f>References!AE51*4</f>
        <v>10.56</v>
      </c>
      <c r="C210" s="6">
        <f>(References!AD51*B210)/3.6</f>
        <v>0.74360000000000004</v>
      </c>
      <c r="D210" s="6">
        <v>34.5</v>
      </c>
      <c r="E210" s="6">
        <v>24</v>
      </c>
      <c r="F210" s="6">
        <v>1.8136751999999999E-2</v>
      </c>
      <c r="G210" s="6">
        <f t="shared" si="20"/>
        <v>9.2932350000000004E-3</v>
      </c>
      <c r="H210" s="6">
        <f>1.232*(D210-E210)*C210</f>
        <v>9.6192095999999996</v>
      </c>
      <c r="I210" s="6">
        <f t="shared" si="19"/>
        <v>19.728117723599997</v>
      </c>
    </row>
    <row r="211" spans="1:9" ht="15.75" thickBot="1" x14ac:dyDescent="0.3">
      <c r="A211" s="8" t="s">
        <v>307</v>
      </c>
      <c r="B211" s="6">
        <f>References!AE52*4</f>
        <v>55.004800000000003</v>
      </c>
      <c r="C211" s="6">
        <f>(References!AD52*B211)/3.6</f>
        <v>4.0336853333333336</v>
      </c>
      <c r="D211" s="6">
        <v>34.5</v>
      </c>
      <c r="E211" s="6">
        <v>22.5</v>
      </c>
      <c r="F211" s="6">
        <v>1.8136751999999999E-2</v>
      </c>
      <c r="G211" s="6">
        <f t="shared" si="20"/>
        <v>8.4803099999999996E-3</v>
      </c>
      <c r="H211" s="6">
        <f t="shared" si="18"/>
        <v>59.634003968000002</v>
      </c>
      <c r="I211" s="6">
        <f t="shared" si="19"/>
        <v>116.85314540275199</v>
      </c>
    </row>
    <row r="212" spans="1:9" ht="15.75" thickBot="1" x14ac:dyDescent="0.3">
      <c r="A212" s="8" t="s">
        <v>329</v>
      </c>
      <c r="B212" s="6">
        <f>References!AE53*4</f>
        <v>10.56</v>
      </c>
      <c r="C212" s="6">
        <f>(References!AD53*B212)/3.6</f>
        <v>0.74360000000000004</v>
      </c>
      <c r="D212" s="6">
        <v>34.5</v>
      </c>
      <c r="E212" s="6">
        <v>24</v>
      </c>
      <c r="F212" s="6">
        <v>1.8136751999999999E-2</v>
      </c>
      <c r="G212" s="6">
        <f t="shared" si="20"/>
        <v>9.2932350000000004E-3</v>
      </c>
      <c r="H212" s="6">
        <f t="shared" si="18"/>
        <v>9.6192095999999996</v>
      </c>
      <c r="I212" s="6">
        <f t="shared" si="19"/>
        <v>19.728117723599997</v>
      </c>
    </row>
    <row r="213" spans="1:9" ht="15.75" thickBot="1" x14ac:dyDescent="0.3">
      <c r="A213" s="8" t="s">
        <v>308</v>
      </c>
      <c r="B213" s="6">
        <f>References!AE54*4</f>
        <v>93.931600000000003</v>
      </c>
      <c r="C213" s="6">
        <f>(References!AD54*B213)/3.6</f>
        <v>5.8837710555555551</v>
      </c>
      <c r="D213" s="6">
        <v>34.5</v>
      </c>
      <c r="E213" s="6">
        <v>28</v>
      </c>
      <c r="F213" s="6">
        <v>1.8136751999999999E-2</v>
      </c>
      <c r="G213" s="6">
        <f t="shared" si="20"/>
        <v>1.18162235E-2</v>
      </c>
      <c r="H213" s="6">
        <f t="shared" si="18"/>
        <v>47.117238612888883</v>
      </c>
      <c r="I213" s="6">
        <f t="shared" si="19"/>
        <v>111.5656279323419</v>
      </c>
    </row>
    <row r="214" spans="1:9" ht="15.75" thickBot="1" x14ac:dyDescent="0.3">
      <c r="A214" s="8" t="s">
        <v>309</v>
      </c>
      <c r="B214" s="6">
        <f>References!AE55*4</f>
        <v>43.028799999999997</v>
      </c>
      <c r="C214" s="6">
        <f>(References!AD55*B214)/3.6</f>
        <v>3.1554453333333332</v>
      </c>
      <c r="D214" s="6">
        <v>34.5</v>
      </c>
      <c r="E214" s="6">
        <v>22.5</v>
      </c>
      <c r="F214" s="6">
        <v>1.8136751999999999E-2</v>
      </c>
      <c r="G214" s="6">
        <f t="shared" si="20"/>
        <v>8.4803099999999996E-3</v>
      </c>
      <c r="H214" s="6">
        <f t="shared" si="18"/>
        <v>46.650103807999997</v>
      </c>
      <c r="I214" s="6">
        <f t="shared" si="19"/>
        <v>91.411124536511991</v>
      </c>
    </row>
    <row r="215" spans="1:9" ht="15.75" thickBot="1" x14ac:dyDescent="0.3">
      <c r="A215" s="8" t="s">
        <v>330</v>
      </c>
      <c r="B215" s="6">
        <f>References!AE56*4</f>
        <v>10.56</v>
      </c>
      <c r="C215" s="6">
        <f>(References!AD56*B215)/3.6</f>
        <v>0.74360000000000004</v>
      </c>
      <c r="D215" s="6">
        <v>34.5</v>
      </c>
      <c r="E215" s="6">
        <v>24</v>
      </c>
      <c r="F215" s="6">
        <v>1.8136751999999999E-2</v>
      </c>
      <c r="G215" s="6">
        <f t="shared" si="20"/>
        <v>9.2932350000000004E-3</v>
      </c>
      <c r="H215" s="6">
        <f t="shared" si="18"/>
        <v>9.6192095999999996</v>
      </c>
      <c r="I215" s="6">
        <f t="shared" si="19"/>
        <v>19.728117723599997</v>
      </c>
    </row>
    <row r="216" spans="1:9" ht="15.75" thickBot="1" x14ac:dyDescent="0.3">
      <c r="A216" s="8" t="s">
        <v>310</v>
      </c>
      <c r="B216" s="6">
        <f>References!AE57*4</f>
        <v>45.26</v>
      </c>
      <c r="C216" s="6">
        <f>(References!AD57*B216)/3.6</f>
        <v>3.3190666666666662</v>
      </c>
      <c r="D216" s="6">
        <v>34.5</v>
      </c>
      <c r="E216" s="6">
        <v>22.5</v>
      </c>
      <c r="F216" s="6">
        <v>1.8136751999999999E-2</v>
      </c>
      <c r="G216" s="6">
        <f t="shared" si="20"/>
        <v>8.4803099999999996E-3</v>
      </c>
      <c r="H216" s="6">
        <f t="shared" si="18"/>
        <v>49.06908159999999</v>
      </c>
      <c r="I216" s="6">
        <f t="shared" si="19"/>
        <v>96.151124282399991</v>
      </c>
    </row>
    <row r="217" spans="1:9" ht="15.75" thickBot="1" x14ac:dyDescent="0.3">
      <c r="A217" s="8" t="s">
        <v>331</v>
      </c>
      <c r="B217" s="6">
        <f>References!AE58*4</f>
        <v>10.56</v>
      </c>
      <c r="C217" s="6">
        <f>(References!AD58*B217)/3.6</f>
        <v>0.74360000000000004</v>
      </c>
      <c r="D217" s="6">
        <v>34.5</v>
      </c>
      <c r="E217" s="6">
        <v>24</v>
      </c>
      <c r="F217" s="6">
        <v>1.8136751999999999E-2</v>
      </c>
      <c r="G217" s="6">
        <f t="shared" si="20"/>
        <v>9.2932350000000004E-3</v>
      </c>
      <c r="H217" s="6">
        <f t="shared" si="18"/>
        <v>9.6192095999999996</v>
      </c>
      <c r="I217" s="6">
        <f t="shared" si="19"/>
        <v>19.728117723599997</v>
      </c>
    </row>
    <row r="218" spans="1:9" ht="15.75" thickBot="1" x14ac:dyDescent="0.3">
      <c r="A218" s="8" t="s">
        <v>311</v>
      </c>
      <c r="B218" s="6">
        <f>References!AE59*4</f>
        <v>53.233199999999997</v>
      </c>
      <c r="C218" s="6">
        <f>(References!AD59*B218)/3.6</f>
        <v>3.9037679999999999</v>
      </c>
      <c r="D218" s="6">
        <v>34.5</v>
      </c>
      <c r="E218" s="6">
        <v>22.5</v>
      </c>
      <c r="F218" s="6">
        <v>1.8136751999999999E-2</v>
      </c>
      <c r="G218" s="6">
        <f t="shared" si="20"/>
        <v>8.4803099999999996E-3</v>
      </c>
      <c r="H218" s="6">
        <f t="shared" si="18"/>
        <v>57.713306111999991</v>
      </c>
      <c r="I218" s="6">
        <f t="shared" si="19"/>
        <v>113.08952782036799</v>
      </c>
    </row>
    <row r="219" spans="1:9" ht="15.75" thickBot="1" x14ac:dyDescent="0.3">
      <c r="A219" s="8" t="s">
        <v>312</v>
      </c>
      <c r="B219" s="6">
        <f>References!AE60*4</f>
        <v>44.348799999999997</v>
      </c>
      <c r="C219" s="6">
        <f>(References!AD60*B219)/3.6</f>
        <v>2.777959555555555</v>
      </c>
      <c r="D219" s="6">
        <v>34.5</v>
      </c>
      <c r="E219" s="6">
        <v>28</v>
      </c>
      <c r="F219" s="6">
        <v>1.8136751999999999E-2</v>
      </c>
      <c r="G219" s="6">
        <f t="shared" si="20"/>
        <v>1.18162235E-2</v>
      </c>
      <c r="H219" s="6">
        <f t="shared" si="18"/>
        <v>22.24590012088888</v>
      </c>
      <c r="I219" s="6">
        <f t="shared" si="19"/>
        <v>52.674517628208648</v>
      </c>
    </row>
    <row r="220" spans="1:9" ht="15.75" thickBot="1" x14ac:dyDescent="0.3">
      <c r="A220" s="8" t="s">
        <v>313</v>
      </c>
      <c r="B220" s="6">
        <f>References!AE61*4</f>
        <v>33.1</v>
      </c>
      <c r="C220" s="6">
        <f>(References!AD61*B220)/3.6</f>
        <v>2.073347222222222</v>
      </c>
      <c r="D220" s="6">
        <v>34.5</v>
      </c>
      <c r="E220" s="6">
        <v>28</v>
      </c>
      <c r="F220" s="6">
        <v>1.8136751999999999E-2</v>
      </c>
      <c r="G220" s="6">
        <f t="shared" si="20"/>
        <v>1.18162235E-2</v>
      </c>
      <c r="H220" s="6">
        <f t="shared" si="18"/>
        <v>16.603364555555551</v>
      </c>
      <c r="I220" s="6">
        <f t="shared" si="19"/>
        <v>39.313950625354153</v>
      </c>
    </row>
    <row r="221" spans="1:9" ht="15.75" thickBot="1" x14ac:dyDescent="0.3">
      <c r="A221" s="8" t="s">
        <v>314</v>
      </c>
      <c r="B221" s="6">
        <f>References!AE62*4</f>
        <v>53.87</v>
      </c>
      <c r="C221" s="6">
        <f>(References!AD62*B221)/3.6</f>
        <v>3.9504666666666663</v>
      </c>
      <c r="D221" s="6">
        <v>34.5</v>
      </c>
      <c r="E221" s="6">
        <v>22.5</v>
      </c>
      <c r="F221" s="6">
        <v>1.8136751999999999E-2</v>
      </c>
      <c r="G221" s="6">
        <f t="shared" si="20"/>
        <v>8.4803099999999996E-3</v>
      </c>
      <c r="H221" s="6">
        <f t="shared" si="18"/>
        <v>58.403699199999991</v>
      </c>
      <c r="I221" s="6">
        <f t="shared" si="19"/>
        <v>114.44235671879999</v>
      </c>
    </row>
    <row r="222" spans="1:9" ht="15.75" thickBot="1" x14ac:dyDescent="0.3">
      <c r="A222" s="8" t="s">
        <v>315</v>
      </c>
      <c r="B222" s="6">
        <f>References!AE63*4</f>
        <v>735.77520000000004</v>
      </c>
      <c r="C222" s="6">
        <f>(References!AD63*B222)/3.6</f>
        <v>51.810837000000006</v>
      </c>
      <c r="D222" s="6">
        <v>34.5</v>
      </c>
      <c r="E222" s="6">
        <v>24</v>
      </c>
      <c r="F222" s="6">
        <v>1.8136751999999999E-2</v>
      </c>
      <c r="G222" s="6">
        <f t="shared" si="20"/>
        <v>9.2932350000000004E-3</v>
      </c>
      <c r="H222" s="6">
        <f t="shared" si="18"/>
        <v>670.22498743200003</v>
      </c>
      <c r="I222" s="6">
        <f t="shared" si="19"/>
        <v>1374.5700533811871</v>
      </c>
    </row>
    <row r="223" spans="1:9" ht="15.75" thickBot="1" x14ac:dyDescent="0.3">
      <c r="A223" s="8" t="s">
        <v>316</v>
      </c>
      <c r="B223" s="6">
        <f>References!AE64*4</f>
        <v>235.44040000000001</v>
      </c>
      <c r="C223" s="6">
        <f>(References!AD64*B223)/3.6</f>
        <v>14.747725055555554</v>
      </c>
      <c r="D223" s="6">
        <v>34.5</v>
      </c>
      <c r="E223" s="6">
        <v>28</v>
      </c>
      <c r="F223" s="6">
        <v>1.8136751999999999E-2</v>
      </c>
      <c r="G223" s="6">
        <f t="shared" si="20"/>
        <v>1.18162235E-2</v>
      </c>
      <c r="H223" s="6">
        <f t="shared" si="18"/>
        <v>118.09978224488886</v>
      </c>
      <c r="I223" s="6">
        <f t="shared" si="19"/>
        <v>279.64024957140884</v>
      </c>
    </row>
    <row r="224" spans="1:9" ht="15.75" thickBot="1" x14ac:dyDescent="0.3">
      <c r="A224" s="8" t="s">
        <v>58</v>
      </c>
      <c r="B224" s="6">
        <f>References!AE65*4</f>
        <v>69.780799999999999</v>
      </c>
      <c r="C224" s="6">
        <f>(References!AD65*B224)/3.6</f>
        <v>4.9137313333333328</v>
      </c>
      <c r="D224" s="6">
        <v>34.5</v>
      </c>
      <c r="E224" s="6">
        <v>24</v>
      </c>
      <c r="F224" s="6">
        <v>1.8136751999999999E-2</v>
      </c>
      <c r="G224" s="6">
        <f t="shared" si="20"/>
        <v>9.2932350000000004E-3</v>
      </c>
      <c r="H224" s="6">
        <f t="shared" si="18"/>
        <v>63.564028527999994</v>
      </c>
      <c r="I224" s="6">
        <f t="shared" si="19"/>
        <v>130.36399973929795</v>
      </c>
    </row>
    <row r="225" spans="1:9" ht="15.75" thickBot="1" x14ac:dyDescent="0.3">
      <c r="A225" s="8" t="s">
        <v>57</v>
      </c>
      <c r="B225" s="6">
        <f>References!AE66*4</f>
        <v>69.922399999999996</v>
      </c>
      <c r="C225" s="6">
        <f>(References!AD66*B225)/3.6</f>
        <v>4.923702333333333</v>
      </c>
      <c r="D225" s="6">
        <v>34.5</v>
      </c>
      <c r="E225" s="6">
        <v>24</v>
      </c>
      <c r="F225" s="6">
        <v>1.8136751999999999E-2</v>
      </c>
      <c r="G225" s="6">
        <f t="shared" si="20"/>
        <v>9.2932350000000004E-3</v>
      </c>
      <c r="H225" s="6">
        <f t="shared" si="18"/>
        <v>63.693013383999997</v>
      </c>
      <c r="I225" s="6">
        <f t="shared" si="19"/>
        <v>130.62853586331897</v>
      </c>
    </row>
    <row r="226" spans="1:9" ht="15.75" thickBot="1" x14ac:dyDescent="0.3">
      <c r="A226" s="8" t="s">
        <v>308</v>
      </c>
      <c r="B226" s="6">
        <f>References!AE67*4</f>
        <v>174.3656</v>
      </c>
      <c r="C226" s="6">
        <f>(References!AD67*B226)/3.6</f>
        <v>12.786810666666666</v>
      </c>
      <c r="D226" s="6">
        <v>34.5</v>
      </c>
      <c r="E226" s="6">
        <v>22.5</v>
      </c>
      <c r="F226" s="6">
        <v>1.8136751999999999E-2</v>
      </c>
      <c r="G226" s="6">
        <f t="shared" si="20"/>
        <v>8.4803099999999996E-3</v>
      </c>
      <c r="H226" s="6">
        <f t="shared" si="18"/>
        <v>189.04020889599997</v>
      </c>
      <c r="I226" s="6">
        <f t="shared" si="19"/>
        <v>370.42528670294399</v>
      </c>
    </row>
    <row r="227" spans="1:9" ht="15.75" thickBot="1" x14ac:dyDescent="0.3">
      <c r="A227" s="8" t="s">
        <v>72</v>
      </c>
      <c r="B227" s="6">
        <f>References!AE68*4</f>
        <v>43.602400000000003</v>
      </c>
      <c r="C227" s="6">
        <f>(References!AD68*B227)/3.6</f>
        <v>3.1975093333333335</v>
      </c>
      <c r="D227" s="6">
        <v>34.5</v>
      </c>
      <c r="E227" s="6">
        <v>22.5</v>
      </c>
      <c r="F227" s="6">
        <v>1.8136751999999999E-2</v>
      </c>
      <c r="G227" s="6">
        <f t="shared" ref="G227:G232" si="21">_xlfn.IFS(E227=22.5,0.00848031,E227=24,0.009293235,E227=22,0.00821976,E227=28,0.0118162235)</f>
        <v>8.4803099999999996E-3</v>
      </c>
      <c r="H227" s="6">
        <f t="shared" si="18"/>
        <v>47.271977984000003</v>
      </c>
      <c r="I227" s="6">
        <f t="shared" si="19"/>
        <v>92.629690265375999</v>
      </c>
    </row>
    <row r="228" spans="1:9" ht="15.75" thickBot="1" x14ac:dyDescent="0.3">
      <c r="A228" s="8" t="s">
        <v>75</v>
      </c>
      <c r="B228" s="6">
        <f>References!AE69*4</f>
        <v>43.132399999999997</v>
      </c>
      <c r="C228" s="6">
        <f>(References!AD69*B228)/3.6</f>
        <v>3.1630426666666667</v>
      </c>
      <c r="D228" s="6">
        <v>34.5</v>
      </c>
      <c r="E228" s="6">
        <v>22.5</v>
      </c>
      <c r="F228" s="6">
        <v>1.8136751999999999E-2</v>
      </c>
      <c r="G228" s="6">
        <f t="shared" si="21"/>
        <v>8.4803099999999996E-3</v>
      </c>
      <c r="H228" s="6">
        <f t="shared" si="18"/>
        <v>46.762422783999995</v>
      </c>
      <c r="I228" s="6">
        <f t="shared" si="19"/>
        <v>91.631214162576001</v>
      </c>
    </row>
    <row r="229" spans="1:9" ht="15.75" thickBot="1" x14ac:dyDescent="0.3">
      <c r="A229" s="8" t="s">
        <v>76</v>
      </c>
      <c r="B229" s="6">
        <f>References!AE70*4</f>
        <v>37.665199999999999</v>
      </c>
      <c r="C229" s="6">
        <f>(References!AD70*B229)/3.6</f>
        <v>2.7621146666666667</v>
      </c>
      <c r="D229" s="6">
        <v>34.5</v>
      </c>
      <c r="E229" s="6">
        <v>22.5</v>
      </c>
      <c r="F229" s="6">
        <v>1.8136751999999999E-2</v>
      </c>
      <c r="G229" s="6">
        <f t="shared" si="21"/>
        <v>8.4803099999999996E-3</v>
      </c>
      <c r="H229" s="6">
        <f t="shared" ref="H229:H230" si="22">1.232*(D229-E229)*C229</f>
        <v>40.835103231999994</v>
      </c>
      <c r="I229" s="6">
        <f t="shared" ref="I229:I232" si="23">3000*C229*(F229-G229)</f>
        <v>80.016600228048006</v>
      </c>
    </row>
    <row r="230" spans="1:9" ht="15.75" thickBot="1" x14ac:dyDescent="0.3">
      <c r="A230" s="8" t="s">
        <v>317</v>
      </c>
      <c r="B230" s="6">
        <f>References!AE71*4</f>
        <v>107.9832</v>
      </c>
      <c r="C230" s="6">
        <f>(References!AD71*B230)/3.6</f>
        <v>7.6038169999999994</v>
      </c>
      <c r="D230" s="6">
        <v>34.5</v>
      </c>
      <c r="E230" s="6">
        <v>24</v>
      </c>
      <c r="F230" s="6">
        <v>1.8136751999999999E-2</v>
      </c>
      <c r="G230" s="6">
        <f t="shared" si="21"/>
        <v>9.2932350000000004E-3</v>
      </c>
      <c r="H230" s="6">
        <f t="shared" si="22"/>
        <v>98.362976711999991</v>
      </c>
      <c r="I230" s="6">
        <f t="shared" si="23"/>
        <v>201.73345471316694</v>
      </c>
    </row>
    <row r="231" spans="1:9" ht="15.75" thickBot="1" x14ac:dyDescent="0.3">
      <c r="A231" s="8" t="s">
        <v>332</v>
      </c>
      <c r="B231" s="6">
        <f>References!AE72*4</f>
        <v>10.56</v>
      </c>
      <c r="C231" s="6">
        <f>(References!AD72*B231)/3.6</f>
        <v>0.74360000000000004</v>
      </c>
      <c r="D231" s="6">
        <v>34.5</v>
      </c>
      <c r="E231" s="6">
        <v>24</v>
      </c>
      <c r="F231" s="6">
        <v>1.8136751999999999E-2</v>
      </c>
      <c r="G231" s="6">
        <f t="shared" si="21"/>
        <v>9.2932350000000004E-3</v>
      </c>
      <c r="H231" s="6">
        <f>1.232*(D231-E231)*C231</f>
        <v>9.6192095999999996</v>
      </c>
      <c r="I231" s="6">
        <f t="shared" si="23"/>
        <v>19.728117723599997</v>
      </c>
    </row>
    <row r="232" spans="1:9" ht="15.75" thickBot="1" x14ac:dyDescent="0.3">
      <c r="A232" s="23" t="s">
        <v>28</v>
      </c>
      <c r="B232" s="21">
        <f>References!AE73*4</f>
        <v>2512.0731999999998</v>
      </c>
      <c r="C232" s="21">
        <f>(References!AD73*B232)/3.6</f>
        <v>157.35347405555552</v>
      </c>
      <c r="D232" s="21">
        <v>34.5</v>
      </c>
      <c r="E232" s="21">
        <v>28</v>
      </c>
      <c r="F232" s="21">
        <v>1.8136751999999999E-2</v>
      </c>
      <c r="G232" s="21">
        <f t="shared" si="21"/>
        <v>1.18162235E-2</v>
      </c>
      <c r="H232" s="21">
        <f>1.232*(D232-E232)*C232</f>
        <v>1260.0866202368884</v>
      </c>
      <c r="I232" s="21">
        <f t="shared" si="23"/>
        <v>2983.6713520264475</v>
      </c>
    </row>
    <row r="233" spans="1:9" ht="15.75" thickBot="1" x14ac:dyDescent="0.3">
      <c r="F233" s="164" t="s">
        <v>333</v>
      </c>
      <c r="G233" s="164"/>
      <c r="H233" s="43">
        <f>SUM(H163:H232)</f>
        <v>5262.10371996711</v>
      </c>
      <c r="I233" s="43">
        <f>SUM(I163:I232)</f>
        <v>11094.22704318328</v>
      </c>
    </row>
    <row r="234" spans="1:9" ht="15.75" thickBot="1" x14ac:dyDescent="0.3">
      <c r="F234" s="164" t="s">
        <v>161</v>
      </c>
      <c r="G234" s="164"/>
      <c r="H234" s="165">
        <f>I233+H233</f>
        <v>16356.33076315039</v>
      </c>
      <c r="I234" s="166"/>
    </row>
  </sheetData>
  <mergeCells count="23">
    <mergeCell ref="P8:P9"/>
    <mergeCell ref="Q8:Q9"/>
    <mergeCell ref="L4:N4"/>
    <mergeCell ref="L5:N5"/>
    <mergeCell ref="L6:N6"/>
    <mergeCell ref="L7:N7"/>
    <mergeCell ref="L8:N9"/>
    <mergeCell ref="F234:G234"/>
    <mergeCell ref="F233:G233"/>
    <mergeCell ref="F73:G73"/>
    <mergeCell ref="P22:Q22"/>
    <mergeCell ref="A1:I1"/>
    <mergeCell ref="A76:I76"/>
    <mergeCell ref="F159:G159"/>
    <mergeCell ref="F158:G158"/>
    <mergeCell ref="F74:G74"/>
    <mergeCell ref="A2:I2"/>
    <mergeCell ref="A161:I161"/>
    <mergeCell ref="H234:I234"/>
    <mergeCell ref="H159:I159"/>
    <mergeCell ref="H74:I74"/>
    <mergeCell ref="L3:Q3"/>
    <mergeCell ref="O8:O9"/>
  </mergeCells>
  <phoneticPr fontId="15" type="noConversion"/>
  <pageMargins left="0.7" right="0.7" top="0.75" bottom="0.75" header="0.3" footer="0.3"/>
  <pageSetup orientation="portrait" r:id="rId1"/>
  <ignoredErrors>
    <ignoredError sqref="B57:C70 B71 B23:C23 C24 B25:C40 B24 B46:C56 B41:C45" calculatedColumn="1"/>
  </ignoredErrors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9"/>
  <sheetViews>
    <sheetView topLeftCell="A19" workbookViewId="0">
      <selection activeCell="L3" sqref="L3:Q9"/>
    </sheetView>
  </sheetViews>
  <sheetFormatPr defaultRowHeight="15" x14ac:dyDescent="0.25"/>
  <cols>
    <col min="1" max="1" width="26.140625" customWidth="1"/>
    <col min="2" max="2" width="25.28515625" customWidth="1"/>
    <col min="3" max="3" width="12.140625" customWidth="1"/>
    <col min="7" max="7" width="9.28515625" customWidth="1"/>
    <col min="8" max="8" width="10" customWidth="1"/>
  </cols>
  <sheetData>
    <row r="1" spans="1:17" ht="23.25" x14ac:dyDescent="0.25">
      <c r="A1" s="159" t="s">
        <v>533</v>
      </c>
      <c r="B1" s="159"/>
      <c r="C1" s="159"/>
      <c r="D1" s="159"/>
      <c r="E1" s="159"/>
      <c r="F1" s="159"/>
      <c r="G1" s="159"/>
      <c r="H1" s="159"/>
      <c r="I1" s="130"/>
    </row>
    <row r="2" spans="1:17" s="121" customFormat="1" ht="24" thickBot="1" x14ac:dyDescent="0.4">
      <c r="A2" s="157" t="s">
        <v>160</v>
      </c>
      <c r="B2" s="157"/>
      <c r="C2" s="157"/>
      <c r="D2" s="157"/>
      <c r="E2" s="157"/>
      <c r="F2" s="157"/>
      <c r="G2" s="157"/>
      <c r="H2" s="157"/>
      <c r="I2" s="105"/>
      <c r="J2" s="105"/>
      <c r="K2" s="105"/>
    </row>
    <row r="3" spans="1:17" ht="15.75" thickBot="1" x14ac:dyDescent="0.3">
      <c r="A3" s="40" t="s">
        <v>19</v>
      </c>
      <c r="B3" s="41" t="s">
        <v>334</v>
      </c>
      <c r="C3" s="41" t="s">
        <v>335</v>
      </c>
      <c r="D3" s="41" t="s">
        <v>336</v>
      </c>
      <c r="E3" s="41" t="s">
        <v>337</v>
      </c>
      <c r="F3" s="41" t="s">
        <v>338</v>
      </c>
      <c r="G3" s="41" t="s">
        <v>23</v>
      </c>
      <c r="H3" s="42" t="s">
        <v>24</v>
      </c>
      <c r="L3" s="173" t="s">
        <v>539</v>
      </c>
      <c r="M3" s="173"/>
      <c r="N3" s="173"/>
      <c r="O3" s="173"/>
      <c r="P3" s="173"/>
      <c r="Q3" s="173"/>
    </row>
    <row r="4" spans="1:17" ht="42" customHeight="1" thickBot="1" x14ac:dyDescent="0.3">
      <c r="A4" s="62" t="s">
        <v>339</v>
      </c>
      <c r="B4" s="56" t="s">
        <v>340</v>
      </c>
      <c r="C4" s="63">
        <v>70.8</v>
      </c>
      <c r="D4" s="63">
        <v>0.33</v>
      </c>
      <c r="E4" s="63">
        <v>0.16</v>
      </c>
      <c r="F4" s="63">
        <v>0.96</v>
      </c>
      <c r="G4" s="63">
        <f>D4*C4*F4</f>
        <v>22.42944</v>
      </c>
      <c r="H4" s="64">
        <f>C4*E4</f>
        <v>11.327999999999999</v>
      </c>
      <c r="L4" s="174"/>
      <c r="M4" s="174"/>
      <c r="N4" s="174"/>
      <c r="O4" s="136" t="s">
        <v>541</v>
      </c>
      <c r="P4" s="136" t="s">
        <v>542</v>
      </c>
      <c r="Q4" s="136" t="s">
        <v>430</v>
      </c>
    </row>
    <row r="5" spans="1:17" ht="90.75" thickBot="1" x14ac:dyDescent="0.3">
      <c r="A5" s="62" t="s">
        <v>341</v>
      </c>
      <c r="B5" s="56" t="s">
        <v>342</v>
      </c>
      <c r="C5" s="63">
        <v>2284.4</v>
      </c>
      <c r="D5" s="63">
        <v>0.33</v>
      </c>
      <c r="E5" s="63">
        <v>0.16</v>
      </c>
      <c r="F5" s="63">
        <v>0.96</v>
      </c>
      <c r="G5" s="63">
        <f t="shared" ref="G5:G44" si="0">D5*C5*F5</f>
        <v>723.69792000000007</v>
      </c>
      <c r="H5" s="64">
        <f t="shared" ref="H5:H44" si="1">C5*E5</f>
        <v>365.50400000000002</v>
      </c>
      <c r="L5" s="175" t="s">
        <v>160</v>
      </c>
      <c r="M5" s="175"/>
      <c r="N5" s="175"/>
      <c r="O5" s="84">
        <f>G45</f>
        <v>5447.2492799999991</v>
      </c>
      <c r="P5" s="84">
        <f>H45</f>
        <v>2751.1359999999986</v>
      </c>
      <c r="Q5" s="84">
        <f>O5+P5</f>
        <v>8198.3852799999986</v>
      </c>
    </row>
    <row r="6" spans="1:17" ht="30.75" thickBot="1" x14ac:dyDescent="0.3">
      <c r="A6" s="62" t="s">
        <v>343</v>
      </c>
      <c r="B6" s="56" t="s">
        <v>344</v>
      </c>
      <c r="C6" s="63">
        <v>70.8</v>
      </c>
      <c r="D6" s="63">
        <v>0.33</v>
      </c>
      <c r="E6" s="63">
        <v>0.16</v>
      </c>
      <c r="F6" s="63">
        <v>0.96</v>
      </c>
      <c r="G6" s="63">
        <f t="shared" si="0"/>
        <v>22.42944</v>
      </c>
      <c r="H6" s="64">
        <f t="shared" si="1"/>
        <v>11.327999999999999</v>
      </c>
      <c r="L6" s="175" t="s">
        <v>41</v>
      </c>
      <c r="M6" s="175"/>
      <c r="N6" s="175"/>
      <c r="O6" s="84">
        <f>G90</f>
        <v>3484.8253440000008</v>
      </c>
      <c r="P6" s="84">
        <f>H90</f>
        <v>1760.0128</v>
      </c>
      <c r="Q6" s="84">
        <f>O6+P6</f>
        <v>5244.8381440000012</v>
      </c>
    </row>
    <row r="7" spans="1:17" ht="60.75" thickBot="1" x14ac:dyDescent="0.3">
      <c r="A7" s="62" t="s">
        <v>345</v>
      </c>
      <c r="B7" s="56" t="s">
        <v>346</v>
      </c>
      <c r="C7" s="63">
        <v>300.8</v>
      </c>
      <c r="D7" s="63">
        <v>0.33</v>
      </c>
      <c r="E7" s="63">
        <v>0.16</v>
      </c>
      <c r="F7" s="63">
        <v>0.96</v>
      </c>
      <c r="G7" s="63">
        <f t="shared" si="0"/>
        <v>95.293440000000004</v>
      </c>
      <c r="H7" s="64">
        <f t="shared" si="1"/>
        <v>48.128</v>
      </c>
      <c r="L7" s="175" t="s">
        <v>59</v>
      </c>
      <c r="M7" s="175"/>
      <c r="N7" s="175"/>
      <c r="O7" s="84">
        <f>G128</f>
        <v>2187.573695999999</v>
      </c>
      <c r="P7" s="84">
        <f>H128</f>
        <v>1104.8352000000002</v>
      </c>
      <c r="Q7" s="84">
        <f>O7+P7</f>
        <v>3292.408895999999</v>
      </c>
    </row>
    <row r="8" spans="1:17" ht="60.75" thickBot="1" x14ac:dyDescent="0.3">
      <c r="A8" s="62" t="s">
        <v>347</v>
      </c>
      <c r="B8" s="56" t="s">
        <v>346</v>
      </c>
      <c r="C8" s="63">
        <v>300.8</v>
      </c>
      <c r="D8" s="63">
        <v>0.33</v>
      </c>
      <c r="E8" s="63">
        <v>0.16</v>
      </c>
      <c r="F8" s="63">
        <v>0.96</v>
      </c>
      <c r="G8" s="63">
        <f t="shared" si="0"/>
        <v>95.293440000000004</v>
      </c>
      <c r="H8" s="64">
        <f t="shared" si="1"/>
        <v>48.128</v>
      </c>
      <c r="L8" s="163" t="s">
        <v>540</v>
      </c>
      <c r="M8" s="163"/>
      <c r="N8" s="163"/>
      <c r="O8" s="167">
        <f>SUM(O5:O7)</f>
        <v>11119.64832</v>
      </c>
      <c r="P8" s="167">
        <f>SUM(P5:P7)</f>
        <v>5615.9839999999995</v>
      </c>
      <c r="Q8" s="167">
        <f>Q5+Q6+Q7</f>
        <v>16735.632319999997</v>
      </c>
    </row>
    <row r="9" spans="1:17" ht="60.75" thickBot="1" x14ac:dyDescent="0.3">
      <c r="A9" s="62" t="s">
        <v>348</v>
      </c>
      <c r="B9" s="56" t="s">
        <v>346</v>
      </c>
      <c r="C9" s="63">
        <v>300.8</v>
      </c>
      <c r="D9" s="63">
        <v>0.33</v>
      </c>
      <c r="E9" s="63">
        <v>0.16</v>
      </c>
      <c r="F9" s="63">
        <v>0.96</v>
      </c>
      <c r="G9" s="63">
        <f t="shared" si="0"/>
        <v>95.293440000000004</v>
      </c>
      <c r="H9" s="64">
        <f t="shared" si="1"/>
        <v>48.128</v>
      </c>
      <c r="L9" s="163"/>
      <c r="M9" s="163"/>
      <c r="N9" s="163"/>
      <c r="O9" s="168"/>
      <c r="P9" s="168"/>
      <c r="Q9" s="168"/>
    </row>
    <row r="10" spans="1:17" ht="60.75" thickBot="1" x14ac:dyDescent="0.3">
      <c r="A10" s="62" t="s">
        <v>349</v>
      </c>
      <c r="B10" s="56" t="s">
        <v>346</v>
      </c>
      <c r="C10" s="63">
        <v>300.8</v>
      </c>
      <c r="D10" s="63">
        <v>0.33</v>
      </c>
      <c r="E10" s="63">
        <v>0.16</v>
      </c>
      <c r="F10" s="63">
        <v>0.96</v>
      </c>
      <c r="G10" s="63">
        <f t="shared" si="0"/>
        <v>95.293440000000004</v>
      </c>
      <c r="H10" s="64">
        <f t="shared" si="1"/>
        <v>48.128</v>
      </c>
    </row>
    <row r="11" spans="1:17" ht="60.75" thickBot="1" x14ac:dyDescent="0.3">
      <c r="A11" s="62" t="s">
        <v>350</v>
      </c>
      <c r="B11" s="56" t="s">
        <v>346</v>
      </c>
      <c r="C11" s="63">
        <v>300.8</v>
      </c>
      <c r="D11" s="63">
        <v>0.33</v>
      </c>
      <c r="E11" s="63">
        <v>0.16</v>
      </c>
      <c r="F11" s="63">
        <v>0.96</v>
      </c>
      <c r="G11" s="63">
        <f t="shared" si="0"/>
        <v>95.293440000000004</v>
      </c>
      <c r="H11" s="64">
        <f t="shared" si="1"/>
        <v>48.128</v>
      </c>
    </row>
    <row r="12" spans="1:17" ht="60.75" thickBot="1" x14ac:dyDescent="0.3">
      <c r="A12" s="62" t="s">
        <v>351</v>
      </c>
      <c r="B12" s="56" t="s">
        <v>346</v>
      </c>
      <c r="C12" s="63">
        <v>300.8</v>
      </c>
      <c r="D12" s="63">
        <v>0.33</v>
      </c>
      <c r="E12" s="63">
        <v>0.16</v>
      </c>
      <c r="F12" s="63">
        <v>0.96</v>
      </c>
      <c r="G12" s="63">
        <f t="shared" si="0"/>
        <v>95.293440000000004</v>
      </c>
      <c r="H12" s="64">
        <f t="shared" si="1"/>
        <v>48.128</v>
      </c>
    </row>
    <row r="13" spans="1:17" ht="60.75" thickBot="1" x14ac:dyDescent="0.3">
      <c r="A13" s="62" t="s">
        <v>352</v>
      </c>
      <c r="B13" s="56" t="s">
        <v>346</v>
      </c>
      <c r="C13" s="63">
        <v>300.8</v>
      </c>
      <c r="D13" s="63">
        <v>0.33</v>
      </c>
      <c r="E13" s="63">
        <v>0.16</v>
      </c>
      <c r="F13" s="63">
        <v>0.96</v>
      </c>
      <c r="G13" s="63">
        <f t="shared" si="0"/>
        <v>95.293440000000004</v>
      </c>
      <c r="H13" s="64">
        <f t="shared" si="1"/>
        <v>48.128</v>
      </c>
    </row>
    <row r="14" spans="1:17" ht="74.25" customHeight="1" thickBot="1" x14ac:dyDescent="0.3">
      <c r="A14" s="62" t="s">
        <v>353</v>
      </c>
      <c r="B14" s="56" t="s">
        <v>354</v>
      </c>
      <c r="C14" s="63">
        <v>201.6</v>
      </c>
      <c r="D14" s="63">
        <v>0.33</v>
      </c>
      <c r="E14" s="63">
        <v>0.16</v>
      </c>
      <c r="F14" s="63">
        <v>0.96</v>
      </c>
      <c r="G14" s="63">
        <f t="shared" si="0"/>
        <v>63.866880000000002</v>
      </c>
      <c r="H14" s="64">
        <f t="shared" si="1"/>
        <v>32.256</v>
      </c>
    </row>
    <row r="15" spans="1:17" ht="30.75" thickBot="1" x14ac:dyDescent="0.3">
      <c r="A15" s="62" t="s">
        <v>355</v>
      </c>
      <c r="B15" s="56" t="s">
        <v>356</v>
      </c>
      <c r="C15" s="63">
        <v>1500.8</v>
      </c>
      <c r="D15" s="63">
        <v>0.33</v>
      </c>
      <c r="E15" s="63">
        <v>0.16</v>
      </c>
      <c r="F15" s="63">
        <v>0.96</v>
      </c>
      <c r="G15" s="63">
        <f t="shared" si="0"/>
        <v>475.45344</v>
      </c>
      <c r="H15" s="64">
        <f t="shared" si="1"/>
        <v>240.12799999999999</v>
      </c>
    </row>
    <row r="16" spans="1:17" ht="60.75" thickBot="1" x14ac:dyDescent="0.3">
      <c r="A16" s="62" t="s">
        <v>357</v>
      </c>
      <c r="B16" s="56" t="s">
        <v>346</v>
      </c>
      <c r="C16" s="63">
        <v>300.8</v>
      </c>
      <c r="D16" s="63">
        <v>0.33</v>
      </c>
      <c r="E16" s="63">
        <v>0.16</v>
      </c>
      <c r="F16" s="63">
        <v>0.96</v>
      </c>
      <c r="G16" s="63">
        <f t="shared" si="0"/>
        <v>95.293440000000004</v>
      </c>
      <c r="H16" s="64">
        <f t="shared" si="1"/>
        <v>48.128</v>
      </c>
    </row>
    <row r="17" spans="1:8" ht="60.75" thickBot="1" x14ac:dyDescent="0.3">
      <c r="A17" s="62" t="s">
        <v>358</v>
      </c>
      <c r="B17" s="56" t="s">
        <v>346</v>
      </c>
      <c r="C17" s="63">
        <v>300.8</v>
      </c>
      <c r="D17" s="63">
        <v>0.33</v>
      </c>
      <c r="E17" s="63">
        <v>0.16</v>
      </c>
      <c r="F17" s="63">
        <v>0.96</v>
      </c>
      <c r="G17" s="63">
        <f t="shared" si="0"/>
        <v>95.293440000000004</v>
      </c>
      <c r="H17" s="64">
        <f t="shared" si="1"/>
        <v>48.128</v>
      </c>
    </row>
    <row r="18" spans="1:8" ht="60.75" thickBot="1" x14ac:dyDescent="0.3">
      <c r="A18" s="62" t="s">
        <v>359</v>
      </c>
      <c r="B18" s="56" t="s">
        <v>346</v>
      </c>
      <c r="C18" s="63">
        <v>300.8</v>
      </c>
      <c r="D18" s="63">
        <v>0.33</v>
      </c>
      <c r="E18" s="63">
        <v>0.16</v>
      </c>
      <c r="F18" s="63">
        <v>0.96</v>
      </c>
      <c r="G18" s="63">
        <f t="shared" si="0"/>
        <v>95.293440000000004</v>
      </c>
      <c r="H18" s="64">
        <f t="shared" si="1"/>
        <v>48.128</v>
      </c>
    </row>
    <row r="19" spans="1:8" ht="60.75" thickBot="1" x14ac:dyDescent="0.3">
      <c r="A19" s="62" t="s">
        <v>359</v>
      </c>
      <c r="B19" s="56" t="s">
        <v>346</v>
      </c>
      <c r="C19" s="63">
        <v>300.8</v>
      </c>
      <c r="D19" s="63">
        <v>0.33</v>
      </c>
      <c r="E19" s="63">
        <v>0.16</v>
      </c>
      <c r="F19" s="63">
        <v>0.96</v>
      </c>
      <c r="G19" s="63">
        <f t="shared" si="0"/>
        <v>95.293440000000004</v>
      </c>
      <c r="H19" s="64">
        <f t="shared" si="1"/>
        <v>48.128</v>
      </c>
    </row>
    <row r="20" spans="1:8" ht="60.75" thickBot="1" x14ac:dyDescent="0.3">
      <c r="A20" s="62" t="s">
        <v>360</v>
      </c>
      <c r="B20" s="56" t="s">
        <v>346</v>
      </c>
      <c r="C20" s="63">
        <v>300.8</v>
      </c>
      <c r="D20" s="63">
        <v>0.33</v>
      </c>
      <c r="E20" s="63">
        <v>0.16</v>
      </c>
      <c r="F20" s="63">
        <v>0.96</v>
      </c>
      <c r="G20" s="63">
        <f t="shared" si="0"/>
        <v>95.293440000000004</v>
      </c>
      <c r="H20" s="64">
        <f t="shared" si="1"/>
        <v>48.128</v>
      </c>
    </row>
    <row r="21" spans="1:8" ht="60.75" thickBot="1" x14ac:dyDescent="0.3">
      <c r="A21" s="62" t="s">
        <v>361</v>
      </c>
      <c r="B21" s="56" t="s">
        <v>346</v>
      </c>
      <c r="C21" s="63">
        <v>300.8</v>
      </c>
      <c r="D21" s="63">
        <v>0.33</v>
      </c>
      <c r="E21" s="63">
        <v>0.16</v>
      </c>
      <c r="F21" s="63">
        <v>0.96</v>
      </c>
      <c r="G21" s="63">
        <f t="shared" si="0"/>
        <v>95.293440000000004</v>
      </c>
      <c r="H21" s="64">
        <f t="shared" si="1"/>
        <v>48.128</v>
      </c>
    </row>
    <row r="22" spans="1:8" ht="60.75" thickBot="1" x14ac:dyDescent="0.3">
      <c r="A22" s="62" t="s">
        <v>362</v>
      </c>
      <c r="B22" s="56" t="s">
        <v>346</v>
      </c>
      <c r="C22" s="63">
        <v>300.8</v>
      </c>
      <c r="D22" s="63">
        <v>0.33</v>
      </c>
      <c r="E22" s="63">
        <v>0.16</v>
      </c>
      <c r="F22" s="63">
        <v>0.96</v>
      </c>
      <c r="G22" s="63">
        <f t="shared" si="0"/>
        <v>95.293440000000004</v>
      </c>
      <c r="H22" s="64">
        <f t="shared" si="1"/>
        <v>48.128</v>
      </c>
    </row>
    <row r="23" spans="1:8" ht="60.75" thickBot="1" x14ac:dyDescent="0.3">
      <c r="A23" s="62" t="s">
        <v>363</v>
      </c>
      <c r="B23" s="56" t="s">
        <v>346</v>
      </c>
      <c r="C23" s="63">
        <v>300.8</v>
      </c>
      <c r="D23" s="63">
        <v>0.33</v>
      </c>
      <c r="E23" s="63">
        <v>0.16</v>
      </c>
      <c r="F23" s="63">
        <v>0.96</v>
      </c>
      <c r="G23" s="63">
        <f t="shared" si="0"/>
        <v>95.293440000000004</v>
      </c>
      <c r="H23" s="64">
        <f t="shared" si="1"/>
        <v>48.128</v>
      </c>
    </row>
    <row r="24" spans="1:8" ht="60.75" thickBot="1" x14ac:dyDescent="0.3">
      <c r="A24" s="62" t="s">
        <v>364</v>
      </c>
      <c r="B24" s="56" t="s">
        <v>346</v>
      </c>
      <c r="C24" s="63">
        <v>300.8</v>
      </c>
      <c r="D24" s="63">
        <v>0.33</v>
      </c>
      <c r="E24" s="63">
        <v>0.16</v>
      </c>
      <c r="F24" s="63">
        <v>0.96</v>
      </c>
      <c r="G24" s="63">
        <f t="shared" si="0"/>
        <v>95.293440000000004</v>
      </c>
      <c r="H24" s="64">
        <f t="shared" si="1"/>
        <v>48.128</v>
      </c>
    </row>
    <row r="25" spans="1:8" ht="60.75" thickBot="1" x14ac:dyDescent="0.3">
      <c r="A25" s="62" t="s">
        <v>365</v>
      </c>
      <c r="B25" s="56" t="s">
        <v>346</v>
      </c>
      <c r="C25" s="63">
        <v>300.8</v>
      </c>
      <c r="D25" s="63">
        <v>0.33</v>
      </c>
      <c r="E25" s="63">
        <v>0.16</v>
      </c>
      <c r="F25" s="63">
        <v>0.96</v>
      </c>
      <c r="G25" s="63">
        <f t="shared" si="0"/>
        <v>95.293440000000004</v>
      </c>
      <c r="H25" s="64">
        <f t="shared" si="1"/>
        <v>48.128</v>
      </c>
    </row>
    <row r="26" spans="1:8" ht="90.75" thickBot="1" x14ac:dyDescent="0.3">
      <c r="A26" s="62" t="s">
        <v>76</v>
      </c>
      <c r="B26" s="56" t="s">
        <v>366</v>
      </c>
      <c r="C26" s="63">
        <v>525.79999999999995</v>
      </c>
      <c r="D26" s="63">
        <v>0.33</v>
      </c>
      <c r="E26" s="63">
        <v>0.16</v>
      </c>
      <c r="F26" s="63">
        <v>0.96</v>
      </c>
      <c r="G26" s="63">
        <f t="shared" si="0"/>
        <v>166.57343999999998</v>
      </c>
      <c r="H26" s="64">
        <f t="shared" si="1"/>
        <v>84.128</v>
      </c>
    </row>
    <row r="27" spans="1:8" ht="90.75" thickBot="1" x14ac:dyDescent="0.3">
      <c r="A27" s="62" t="s">
        <v>75</v>
      </c>
      <c r="B27" s="56" t="s">
        <v>366</v>
      </c>
      <c r="C27" s="63">
        <v>525.79999999999995</v>
      </c>
      <c r="D27" s="63">
        <v>0.33</v>
      </c>
      <c r="E27" s="63">
        <v>0.16</v>
      </c>
      <c r="F27" s="63">
        <v>0.96</v>
      </c>
      <c r="G27" s="63">
        <f t="shared" si="0"/>
        <v>166.57343999999998</v>
      </c>
      <c r="H27" s="64">
        <f t="shared" si="1"/>
        <v>84.128</v>
      </c>
    </row>
    <row r="28" spans="1:8" ht="60.75" thickBot="1" x14ac:dyDescent="0.3">
      <c r="A28" s="62" t="s">
        <v>72</v>
      </c>
      <c r="B28" s="56" t="s">
        <v>346</v>
      </c>
      <c r="C28" s="63">
        <v>300.8</v>
      </c>
      <c r="D28" s="63">
        <v>0.33</v>
      </c>
      <c r="E28" s="63">
        <v>0.16</v>
      </c>
      <c r="F28" s="63">
        <v>0.96</v>
      </c>
      <c r="G28" s="63">
        <f t="shared" si="0"/>
        <v>95.293440000000004</v>
      </c>
      <c r="H28" s="64">
        <f t="shared" si="1"/>
        <v>48.128</v>
      </c>
    </row>
    <row r="29" spans="1:8" ht="75.75" thickBot="1" x14ac:dyDescent="0.3">
      <c r="A29" s="65" t="s">
        <v>367</v>
      </c>
      <c r="B29" s="56" t="s">
        <v>368</v>
      </c>
      <c r="C29" s="63">
        <v>425.8</v>
      </c>
      <c r="D29" s="63">
        <v>0.33</v>
      </c>
      <c r="E29" s="63">
        <v>0.16</v>
      </c>
      <c r="F29" s="63">
        <v>0.96</v>
      </c>
      <c r="G29" s="63">
        <f t="shared" si="0"/>
        <v>134.89344</v>
      </c>
      <c r="H29" s="64">
        <f t="shared" si="1"/>
        <v>68.128</v>
      </c>
    </row>
    <row r="30" spans="1:8" ht="75.75" thickBot="1" x14ac:dyDescent="0.3">
      <c r="A30" s="62" t="s">
        <v>369</v>
      </c>
      <c r="B30" s="56" t="s">
        <v>368</v>
      </c>
      <c r="C30" s="63">
        <v>425.8</v>
      </c>
      <c r="D30" s="63">
        <v>0.33</v>
      </c>
      <c r="E30" s="63">
        <v>0.16</v>
      </c>
      <c r="F30" s="63">
        <v>0.96</v>
      </c>
      <c r="G30" s="63">
        <f t="shared" si="0"/>
        <v>134.89344</v>
      </c>
      <c r="H30" s="64">
        <f t="shared" si="1"/>
        <v>68.128</v>
      </c>
    </row>
    <row r="31" spans="1:8" ht="75.75" thickBot="1" x14ac:dyDescent="0.3">
      <c r="A31" s="65" t="s">
        <v>370</v>
      </c>
      <c r="B31" s="56" t="s">
        <v>368</v>
      </c>
      <c r="C31" s="63">
        <v>425.8</v>
      </c>
      <c r="D31" s="63">
        <v>0.33</v>
      </c>
      <c r="E31" s="63">
        <v>0.16</v>
      </c>
      <c r="F31" s="63">
        <v>0.96</v>
      </c>
      <c r="G31" s="63">
        <f t="shared" si="0"/>
        <v>134.89344</v>
      </c>
      <c r="H31" s="64">
        <f t="shared" si="1"/>
        <v>68.128</v>
      </c>
    </row>
    <row r="32" spans="1:8" ht="60.75" thickBot="1" x14ac:dyDescent="0.3">
      <c r="A32" s="62" t="s">
        <v>371</v>
      </c>
      <c r="B32" s="56" t="s">
        <v>372</v>
      </c>
      <c r="C32" s="63">
        <v>300.8</v>
      </c>
      <c r="D32" s="63">
        <v>0.33</v>
      </c>
      <c r="E32" s="63">
        <v>0.16</v>
      </c>
      <c r="F32" s="63">
        <v>0.96</v>
      </c>
      <c r="G32" s="63">
        <f t="shared" si="0"/>
        <v>95.293440000000004</v>
      </c>
      <c r="H32" s="64">
        <f t="shared" si="1"/>
        <v>48.128</v>
      </c>
    </row>
    <row r="33" spans="1:9" ht="86.25" customHeight="1" thickBot="1" x14ac:dyDescent="0.3">
      <c r="A33" s="62" t="s">
        <v>35</v>
      </c>
      <c r="B33" s="56" t="s">
        <v>373</v>
      </c>
      <c r="C33" s="63">
        <v>250.4</v>
      </c>
      <c r="D33" s="63">
        <v>0.33</v>
      </c>
      <c r="E33" s="63">
        <v>0.16</v>
      </c>
      <c r="F33" s="63">
        <v>0.96</v>
      </c>
      <c r="G33" s="63">
        <f t="shared" si="0"/>
        <v>79.326720000000009</v>
      </c>
      <c r="H33" s="64">
        <f t="shared" si="1"/>
        <v>40.064</v>
      </c>
    </row>
    <row r="34" spans="1:9" ht="60.75" thickBot="1" x14ac:dyDescent="0.3">
      <c r="A34" s="62" t="s">
        <v>365</v>
      </c>
      <c r="B34" s="56" t="s">
        <v>346</v>
      </c>
      <c r="C34" s="63">
        <v>300.8</v>
      </c>
      <c r="D34" s="63">
        <v>0.33</v>
      </c>
      <c r="E34" s="63">
        <v>0.16</v>
      </c>
      <c r="F34" s="63">
        <v>0.96</v>
      </c>
      <c r="G34" s="63">
        <f t="shared" si="0"/>
        <v>95.293440000000004</v>
      </c>
      <c r="H34" s="64">
        <f t="shared" si="1"/>
        <v>48.128</v>
      </c>
    </row>
    <row r="35" spans="1:9" ht="90.75" thickBot="1" x14ac:dyDescent="0.3">
      <c r="A35" s="62" t="s">
        <v>30</v>
      </c>
      <c r="B35" s="56" t="s">
        <v>374</v>
      </c>
      <c r="C35" s="63">
        <v>266.2</v>
      </c>
      <c r="D35" s="63">
        <v>0.33</v>
      </c>
      <c r="E35" s="63">
        <v>0.16</v>
      </c>
      <c r="F35" s="63">
        <v>0.96</v>
      </c>
      <c r="G35" s="63">
        <f t="shared" si="0"/>
        <v>84.332160000000002</v>
      </c>
      <c r="H35" s="64">
        <f t="shared" si="1"/>
        <v>42.591999999999999</v>
      </c>
    </row>
    <row r="36" spans="1:9" ht="60.75" thickBot="1" x14ac:dyDescent="0.3">
      <c r="A36" s="62" t="s">
        <v>375</v>
      </c>
      <c r="B36" s="56" t="s">
        <v>376</v>
      </c>
      <c r="C36" s="63">
        <v>155.4</v>
      </c>
      <c r="D36" s="63">
        <v>0.33</v>
      </c>
      <c r="E36" s="63">
        <v>0.16</v>
      </c>
      <c r="F36" s="63">
        <v>0.96</v>
      </c>
      <c r="G36" s="63">
        <f t="shared" si="0"/>
        <v>49.230720000000005</v>
      </c>
      <c r="H36" s="64">
        <f t="shared" si="1"/>
        <v>24.864000000000001</v>
      </c>
    </row>
    <row r="37" spans="1:9" ht="15.75" thickBot="1" x14ac:dyDescent="0.3">
      <c r="A37" s="62" t="s">
        <v>377</v>
      </c>
      <c r="B37" s="60" t="s">
        <v>378</v>
      </c>
      <c r="C37" s="63">
        <v>0.4</v>
      </c>
      <c r="D37" s="63">
        <v>0.33</v>
      </c>
      <c r="E37" s="63">
        <v>0.16</v>
      </c>
      <c r="F37" s="63">
        <v>0.96</v>
      </c>
      <c r="G37" s="63">
        <f t="shared" si="0"/>
        <v>0.12672</v>
      </c>
      <c r="H37" s="64">
        <f t="shared" si="1"/>
        <v>6.4000000000000001E-2</v>
      </c>
    </row>
    <row r="38" spans="1:9" ht="15.75" thickBot="1" x14ac:dyDescent="0.3">
      <c r="A38" s="62" t="s">
        <v>379</v>
      </c>
      <c r="B38" s="60" t="s">
        <v>378</v>
      </c>
      <c r="C38" s="63">
        <v>0.4</v>
      </c>
      <c r="D38" s="63">
        <v>0.33</v>
      </c>
      <c r="E38" s="63">
        <v>0.16</v>
      </c>
      <c r="F38" s="63">
        <v>0.96</v>
      </c>
      <c r="G38" s="63">
        <f t="shared" si="0"/>
        <v>0.12672</v>
      </c>
      <c r="H38" s="64">
        <f t="shared" si="1"/>
        <v>6.4000000000000001E-2</v>
      </c>
    </row>
    <row r="39" spans="1:9" ht="60.75" thickBot="1" x14ac:dyDescent="0.3">
      <c r="A39" s="62" t="s">
        <v>380</v>
      </c>
      <c r="B39" s="56" t="s">
        <v>346</v>
      </c>
      <c r="C39" s="63">
        <v>300.8</v>
      </c>
      <c r="D39" s="63">
        <v>0.33</v>
      </c>
      <c r="E39" s="63">
        <v>0.16</v>
      </c>
      <c r="F39" s="63">
        <v>0.96</v>
      </c>
      <c r="G39" s="63">
        <f t="shared" si="0"/>
        <v>95.293440000000004</v>
      </c>
      <c r="H39" s="64">
        <f t="shared" si="1"/>
        <v>48.128</v>
      </c>
    </row>
    <row r="40" spans="1:9" ht="15.75" thickBot="1" x14ac:dyDescent="0.3">
      <c r="A40" s="66" t="s">
        <v>40</v>
      </c>
      <c r="B40" s="67" t="s">
        <v>378</v>
      </c>
      <c r="C40" s="63">
        <v>0.4</v>
      </c>
      <c r="D40" s="63">
        <v>0.33</v>
      </c>
      <c r="E40" s="63">
        <v>0.16</v>
      </c>
      <c r="F40" s="63">
        <v>0.96</v>
      </c>
      <c r="G40" s="63">
        <f t="shared" si="0"/>
        <v>0.12672</v>
      </c>
      <c r="H40" s="64">
        <f t="shared" si="1"/>
        <v>6.4000000000000001E-2</v>
      </c>
    </row>
    <row r="41" spans="1:9" s="52" customFormat="1" ht="54" customHeight="1" thickBot="1" x14ac:dyDescent="0.3">
      <c r="A41" s="68" t="s">
        <v>175</v>
      </c>
      <c r="B41" s="57" t="s">
        <v>381</v>
      </c>
      <c r="C41" s="69">
        <v>355</v>
      </c>
      <c r="D41" s="63">
        <v>0.33</v>
      </c>
      <c r="E41" s="63">
        <v>0.16</v>
      </c>
      <c r="F41" s="63">
        <v>0.96</v>
      </c>
      <c r="G41" s="63">
        <f t="shared" si="0"/>
        <v>112.464</v>
      </c>
      <c r="H41" s="64">
        <f t="shared" si="1"/>
        <v>56.800000000000004</v>
      </c>
    </row>
    <row r="42" spans="1:9" ht="60.75" thickBot="1" x14ac:dyDescent="0.3">
      <c r="A42" s="66" t="s">
        <v>64</v>
      </c>
      <c r="B42" s="56" t="s">
        <v>382</v>
      </c>
      <c r="C42" s="63">
        <v>61.8</v>
      </c>
      <c r="D42" s="63">
        <v>0.33</v>
      </c>
      <c r="E42" s="63">
        <v>0.16</v>
      </c>
      <c r="F42" s="63">
        <v>0.96</v>
      </c>
      <c r="G42" s="63">
        <f t="shared" si="0"/>
        <v>19.578239999999997</v>
      </c>
      <c r="H42" s="64">
        <f t="shared" si="1"/>
        <v>9.8879999999999999</v>
      </c>
    </row>
    <row r="43" spans="1:9" ht="45.75" thickBot="1" x14ac:dyDescent="0.3">
      <c r="A43" s="66" t="s">
        <v>383</v>
      </c>
      <c r="B43" s="56" t="s">
        <v>384</v>
      </c>
      <c r="C43" s="63">
        <v>2580</v>
      </c>
      <c r="D43" s="63">
        <v>0.33</v>
      </c>
      <c r="E43" s="63">
        <v>0.16</v>
      </c>
      <c r="F43" s="63">
        <v>0.96</v>
      </c>
      <c r="G43" s="63">
        <f t="shared" si="0"/>
        <v>817.34400000000005</v>
      </c>
      <c r="H43" s="64">
        <f t="shared" si="1"/>
        <v>412.8</v>
      </c>
    </row>
    <row r="44" spans="1:9" ht="45.75" thickBot="1" x14ac:dyDescent="0.3">
      <c r="A44" s="70" t="s">
        <v>385</v>
      </c>
      <c r="B44" s="61" t="s">
        <v>386</v>
      </c>
      <c r="C44" s="71">
        <v>750.4</v>
      </c>
      <c r="D44" s="71">
        <v>0.33</v>
      </c>
      <c r="E44" s="71">
        <v>0.16</v>
      </c>
      <c r="F44" s="71">
        <v>0.96</v>
      </c>
      <c r="G44" s="71">
        <f t="shared" si="0"/>
        <v>237.72672</v>
      </c>
      <c r="H44" s="72">
        <f t="shared" si="1"/>
        <v>120.06399999999999</v>
      </c>
    </row>
    <row r="45" spans="1:9" ht="15.75" thickBot="1" x14ac:dyDescent="0.3">
      <c r="E45" s="172" t="s">
        <v>333</v>
      </c>
      <c r="F45" s="172"/>
      <c r="G45" s="126">
        <f>SUM(G4:G44)</f>
        <v>5447.2492799999991</v>
      </c>
      <c r="H45" s="126">
        <f>SUM(H4:H44)</f>
        <v>2751.1359999999986</v>
      </c>
    </row>
    <row r="46" spans="1:9" ht="15.75" thickBot="1" x14ac:dyDescent="0.3">
      <c r="E46" s="172" t="s">
        <v>161</v>
      </c>
      <c r="F46" s="172"/>
      <c r="G46" s="172">
        <f>G45+H45</f>
        <v>8198.3852799999986</v>
      </c>
      <c r="H46" s="172"/>
    </row>
    <row r="47" spans="1:9" x14ac:dyDescent="0.25">
      <c r="E47" s="51"/>
      <c r="F47" s="51"/>
      <c r="G47" s="51"/>
      <c r="H47" s="51"/>
    </row>
    <row r="48" spans="1:9" ht="23.25" x14ac:dyDescent="0.35">
      <c r="A48" s="170" t="s">
        <v>41</v>
      </c>
      <c r="B48" s="170"/>
      <c r="C48" s="170"/>
      <c r="D48" s="170"/>
      <c r="E48" s="170"/>
      <c r="F48" s="170"/>
      <c r="G48" s="170"/>
      <c r="H48" s="170"/>
      <c r="I48" s="128"/>
    </row>
    <row r="49" spans="1:8" ht="15.75" thickBot="1" x14ac:dyDescent="0.3">
      <c r="A49" s="16" t="s">
        <v>19</v>
      </c>
      <c r="B49" s="17" t="s">
        <v>334</v>
      </c>
      <c r="C49" s="17" t="s">
        <v>387</v>
      </c>
      <c r="D49" s="17" t="s">
        <v>388</v>
      </c>
      <c r="E49" s="17" t="s">
        <v>337</v>
      </c>
      <c r="F49" s="17" t="s">
        <v>338</v>
      </c>
      <c r="G49" s="17" t="s">
        <v>23</v>
      </c>
      <c r="H49" s="18" t="s">
        <v>24</v>
      </c>
    </row>
    <row r="50" spans="1:8" ht="30.75" thickBot="1" x14ac:dyDescent="0.3">
      <c r="A50" s="8" t="s">
        <v>389</v>
      </c>
      <c r="B50" s="55" t="s">
        <v>390</v>
      </c>
      <c r="C50" s="6">
        <v>25.4</v>
      </c>
      <c r="D50" s="6">
        <v>0.33</v>
      </c>
      <c r="E50" s="6">
        <v>0.16</v>
      </c>
      <c r="F50" s="6">
        <v>0.96</v>
      </c>
      <c r="G50" s="6">
        <f>D50*C50*F50</f>
        <v>8.0467199999999988</v>
      </c>
      <c r="H50" s="15">
        <f>E50*C50</f>
        <v>4.0640000000000001</v>
      </c>
    </row>
    <row r="51" spans="1:8" ht="30.75" thickBot="1" x14ac:dyDescent="0.3">
      <c r="A51" s="8" t="s">
        <v>391</v>
      </c>
      <c r="B51" s="55" t="s">
        <v>390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ref="G51:G89" si="2">D51*C51*F51</f>
        <v>8.0467199999999988</v>
      </c>
      <c r="H51" s="15">
        <f t="shared" ref="H51:H89" si="3">E51*C51</f>
        <v>4.0640000000000001</v>
      </c>
    </row>
    <row r="52" spans="1:8" ht="30.75" thickBot="1" x14ac:dyDescent="0.3">
      <c r="A52" s="8" t="s">
        <v>392</v>
      </c>
      <c r="B52" s="55" t="s">
        <v>390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30.75" thickBot="1" x14ac:dyDescent="0.3">
      <c r="A53" s="8" t="s">
        <v>393</v>
      </c>
      <c r="B53" s="55" t="s">
        <v>390</v>
      </c>
      <c r="C53" s="6">
        <v>25.4</v>
      </c>
      <c r="D53" s="6">
        <v>0.33</v>
      </c>
      <c r="E53" s="6">
        <v>0.16</v>
      </c>
      <c r="F53" s="6">
        <v>0.96</v>
      </c>
      <c r="G53" s="6">
        <f t="shared" si="2"/>
        <v>8.0467199999999988</v>
      </c>
      <c r="H53" s="15">
        <f t="shared" si="3"/>
        <v>4.0640000000000001</v>
      </c>
    </row>
    <row r="54" spans="1:8" ht="60.75" thickBot="1" x14ac:dyDescent="0.3">
      <c r="A54" s="8" t="s">
        <v>66</v>
      </c>
      <c r="B54" s="56" t="s">
        <v>394</v>
      </c>
      <c r="C54" s="6">
        <v>5.4</v>
      </c>
      <c r="D54" s="6">
        <v>0.33</v>
      </c>
      <c r="E54" s="6">
        <v>0.16</v>
      </c>
      <c r="F54" s="6">
        <v>0.96</v>
      </c>
      <c r="G54" s="6">
        <f t="shared" si="2"/>
        <v>1.7107200000000002</v>
      </c>
      <c r="H54" s="15">
        <f t="shared" si="3"/>
        <v>0.8640000000000001</v>
      </c>
    </row>
    <row r="55" spans="1:8" ht="60.75" thickBot="1" x14ac:dyDescent="0.3">
      <c r="A55" s="8" t="s">
        <v>171</v>
      </c>
      <c r="B55" s="56" t="s">
        <v>395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60.75" thickBot="1" x14ac:dyDescent="0.3">
      <c r="A56" s="8" t="s">
        <v>172</v>
      </c>
      <c r="B56" s="56" t="s">
        <v>395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60.75" thickBot="1" x14ac:dyDescent="0.3">
      <c r="A57" s="8" t="s">
        <v>178</v>
      </c>
      <c r="B57" s="56" t="s">
        <v>395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60.75" thickBot="1" x14ac:dyDescent="0.3">
      <c r="A58" s="8" t="s">
        <v>179</v>
      </c>
      <c r="B58" s="56" t="s">
        <v>395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60.75" thickBot="1" x14ac:dyDescent="0.3">
      <c r="A59" s="8" t="s">
        <v>182</v>
      </c>
      <c r="B59" s="56" t="s">
        <v>395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60.75" thickBot="1" x14ac:dyDescent="0.3">
      <c r="A60" s="8" t="s">
        <v>186</v>
      </c>
      <c r="B60" s="56" t="s">
        <v>395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60.75" thickBot="1" x14ac:dyDescent="0.3">
      <c r="A61" s="8" t="s">
        <v>189</v>
      </c>
      <c r="B61" s="56" t="s">
        <v>395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60.75" thickBot="1" x14ac:dyDescent="0.3">
      <c r="A62" s="8" t="s">
        <v>190</v>
      </c>
      <c r="B62" s="56" t="s">
        <v>395</v>
      </c>
      <c r="C62" s="6">
        <v>156.06</v>
      </c>
      <c r="D62" s="6">
        <v>0.33</v>
      </c>
      <c r="E62" s="6">
        <v>0.16</v>
      </c>
      <c r="F62" s="6">
        <v>0.96</v>
      </c>
      <c r="G62" s="6">
        <f t="shared" si="2"/>
        <v>49.439807999999999</v>
      </c>
      <c r="H62" s="15">
        <f t="shared" si="3"/>
        <v>24.9696</v>
      </c>
    </row>
    <row r="63" spans="1:8" ht="30.75" thickBot="1" x14ac:dyDescent="0.3">
      <c r="A63" s="8" t="s">
        <v>180</v>
      </c>
      <c r="B63" s="56" t="s">
        <v>396</v>
      </c>
      <c r="C63" s="6">
        <v>5.4</v>
      </c>
      <c r="D63" s="6">
        <v>0.33</v>
      </c>
      <c r="E63" s="6">
        <v>0.16</v>
      </c>
      <c r="F63" s="6">
        <v>0.96</v>
      </c>
      <c r="G63" s="6">
        <f t="shared" si="2"/>
        <v>1.7107200000000002</v>
      </c>
      <c r="H63" s="15">
        <f t="shared" si="3"/>
        <v>0.8640000000000001</v>
      </c>
    </row>
    <row r="64" spans="1:8" ht="45.75" thickBot="1" x14ac:dyDescent="0.3">
      <c r="A64" s="8" t="s">
        <v>173</v>
      </c>
      <c r="B64" s="56" t="s">
        <v>397</v>
      </c>
      <c r="C64" s="6">
        <v>230.4</v>
      </c>
      <c r="D64" s="6">
        <v>0.33</v>
      </c>
      <c r="E64" s="6">
        <v>0.16</v>
      </c>
      <c r="F64" s="6">
        <v>0.96</v>
      </c>
      <c r="G64" s="6">
        <f t="shared" si="2"/>
        <v>72.99072000000001</v>
      </c>
      <c r="H64" s="15">
        <f t="shared" si="3"/>
        <v>36.864000000000004</v>
      </c>
    </row>
    <row r="65" spans="1:13" ht="30.75" thickBot="1" x14ac:dyDescent="0.3">
      <c r="A65" s="8" t="s">
        <v>174</v>
      </c>
      <c r="B65" s="56" t="s">
        <v>398</v>
      </c>
      <c r="C65" s="6">
        <v>70.400000000000006</v>
      </c>
      <c r="D65" s="6">
        <v>0.33</v>
      </c>
      <c r="E65" s="6">
        <v>0.16</v>
      </c>
      <c r="F65" s="6">
        <v>0.96</v>
      </c>
      <c r="G65" s="6">
        <f t="shared" si="2"/>
        <v>22.302720000000001</v>
      </c>
      <c r="H65" s="15">
        <f t="shared" si="3"/>
        <v>11.264000000000001</v>
      </c>
    </row>
    <row r="66" spans="1:13" ht="45.75" thickBot="1" x14ac:dyDescent="0.3">
      <c r="A66" s="8" t="s">
        <v>175</v>
      </c>
      <c r="B66" s="57" t="s">
        <v>381</v>
      </c>
      <c r="C66" s="6">
        <v>355</v>
      </c>
      <c r="D66" s="6">
        <v>0.33</v>
      </c>
      <c r="E66" s="6">
        <v>0.16</v>
      </c>
      <c r="F66" s="6">
        <v>0.96</v>
      </c>
      <c r="G66" s="6">
        <f t="shared" si="2"/>
        <v>112.464</v>
      </c>
      <c r="H66" s="15">
        <f t="shared" si="3"/>
        <v>56.800000000000004</v>
      </c>
    </row>
    <row r="67" spans="1:13" ht="30.75" thickBot="1" x14ac:dyDescent="0.3">
      <c r="A67" s="8" t="s">
        <v>399</v>
      </c>
      <c r="B67" s="56" t="s">
        <v>400</v>
      </c>
      <c r="C67" s="6">
        <v>5.4</v>
      </c>
      <c r="D67" s="6">
        <v>0.33</v>
      </c>
      <c r="E67" s="6">
        <v>0.16</v>
      </c>
      <c r="F67" s="6">
        <v>0.96</v>
      </c>
      <c r="G67" s="6">
        <f t="shared" si="2"/>
        <v>1.7107200000000002</v>
      </c>
      <c r="H67" s="15">
        <f t="shared" si="3"/>
        <v>0.8640000000000001</v>
      </c>
    </row>
    <row r="68" spans="1:13" ht="75.75" thickBot="1" x14ac:dyDescent="0.3">
      <c r="A68" s="8" t="s">
        <v>142</v>
      </c>
      <c r="B68" s="56" t="s">
        <v>368</v>
      </c>
      <c r="C68" s="6">
        <v>425.8</v>
      </c>
      <c r="D68" s="6">
        <v>0.33</v>
      </c>
      <c r="E68" s="6">
        <v>0.16</v>
      </c>
      <c r="F68" s="6">
        <v>0.96</v>
      </c>
      <c r="G68" s="6">
        <f t="shared" si="2"/>
        <v>134.89344</v>
      </c>
      <c r="H68" s="15">
        <f t="shared" si="3"/>
        <v>68.128</v>
      </c>
    </row>
    <row r="69" spans="1:13" ht="90.75" customHeight="1" thickBot="1" x14ac:dyDescent="0.3">
      <c r="A69" s="8" t="s">
        <v>141</v>
      </c>
      <c r="B69" s="56" t="s">
        <v>401</v>
      </c>
      <c r="C69" s="6">
        <v>955.8</v>
      </c>
      <c r="D69" s="6">
        <v>0.33</v>
      </c>
      <c r="E69" s="6">
        <v>0.16</v>
      </c>
      <c r="F69" s="6">
        <v>0.96</v>
      </c>
      <c r="G69" s="6">
        <f t="shared" si="2"/>
        <v>302.79743999999999</v>
      </c>
      <c r="H69" s="15">
        <f t="shared" si="3"/>
        <v>152.928</v>
      </c>
    </row>
    <row r="70" spans="1:13" ht="75.75" thickBot="1" x14ac:dyDescent="0.3">
      <c r="A70" s="8" t="s">
        <v>140</v>
      </c>
      <c r="B70" s="56" t="s">
        <v>368</v>
      </c>
      <c r="C70" s="6">
        <v>425.8</v>
      </c>
      <c r="D70" s="6">
        <v>0.33</v>
      </c>
      <c r="E70" s="6">
        <v>0.16</v>
      </c>
      <c r="F70" s="6">
        <v>0.96</v>
      </c>
      <c r="G70" s="6">
        <f t="shared" si="2"/>
        <v>134.89344</v>
      </c>
      <c r="H70" s="15">
        <f t="shared" si="3"/>
        <v>68.128</v>
      </c>
    </row>
    <row r="71" spans="1:13" ht="30.75" thickBot="1" x14ac:dyDescent="0.3">
      <c r="A71" s="8" t="s">
        <v>183</v>
      </c>
      <c r="B71" s="55" t="s">
        <v>390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30.75" thickBot="1" x14ac:dyDescent="0.3">
      <c r="A72" s="8" t="s">
        <v>185</v>
      </c>
      <c r="B72" s="55" t="s">
        <v>390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30.75" thickBot="1" x14ac:dyDescent="0.3">
      <c r="A73" s="8" t="s">
        <v>187</v>
      </c>
      <c r="B73" s="55" t="s">
        <v>390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</row>
    <row r="74" spans="1:13" ht="30.75" thickBot="1" x14ac:dyDescent="0.3">
      <c r="A74" s="8" t="s">
        <v>188</v>
      </c>
      <c r="B74" s="55" t="s">
        <v>390</v>
      </c>
      <c r="C74" s="6">
        <v>25.4</v>
      </c>
      <c r="D74" s="6">
        <v>0.33</v>
      </c>
      <c r="E74" s="6">
        <v>0.16</v>
      </c>
      <c r="F74" s="6">
        <v>0.96</v>
      </c>
      <c r="G74" s="6">
        <f t="shared" si="2"/>
        <v>8.0467199999999988</v>
      </c>
      <c r="H74" s="15">
        <f t="shared" si="3"/>
        <v>4.0640000000000001</v>
      </c>
      <c r="M74" s="53"/>
    </row>
    <row r="75" spans="1:13" ht="16.5" thickBot="1" x14ac:dyDescent="0.3">
      <c r="A75" s="8" t="s">
        <v>139</v>
      </c>
      <c r="B75" s="6" t="s">
        <v>402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  <c r="M75" s="54"/>
    </row>
    <row r="76" spans="1:13" ht="15.75" thickBot="1" x14ac:dyDescent="0.3">
      <c r="A76" s="8" t="s">
        <v>192</v>
      </c>
      <c r="B76" s="6" t="s">
        <v>402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.75" thickBot="1" x14ac:dyDescent="0.3">
      <c r="A77" s="8" t="s">
        <v>193</v>
      </c>
      <c r="B77" s="6" t="s">
        <v>402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.75" thickBot="1" x14ac:dyDescent="0.3">
      <c r="A78" s="8" t="s">
        <v>403</v>
      </c>
      <c r="B78" s="6" t="s">
        <v>402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15.75" thickBot="1" x14ac:dyDescent="0.3">
      <c r="A79" s="8" t="s">
        <v>404</v>
      </c>
      <c r="B79" s="6" t="s">
        <v>402</v>
      </c>
      <c r="C79" s="6">
        <v>0.4</v>
      </c>
      <c r="D79" s="6">
        <v>0.33</v>
      </c>
      <c r="E79" s="6">
        <v>0.16</v>
      </c>
      <c r="F79" s="6">
        <v>0.96</v>
      </c>
      <c r="G79" s="6">
        <f t="shared" si="2"/>
        <v>0.12672</v>
      </c>
      <c r="H79" s="15">
        <f t="shared" si="3"/>
        <v>6.4000000000000001E-2</v>
      </c>
    </row>
    <row r="80" spans="1:13" ht="90.75" thickBot="1" x14ac:dyDescent="0.3">
      <c r="A80" s="8" t="s">
        <v>405</v>
      </c>
      <c r="B80" s="56" t="s">
        <v>406</v>
      </c>
      <c r="C80" s="6">
        <v>2175.4</v>
      </c>
      <c r="D80" s="6">
        <v>0.33</v>
      </c>
      <c r="E80" s="6">
        <v>0.16</v>
      </c>
      <c r="F80" s="6">
        <v>0.96</v>
      </c>
      <c r="G80" s="6">
        <f t="shared" si="2"/>
        <v>689.16672000000005</v>
      </c>
      <c r="H80" s="15">
        <f t="shared" si="3"/>
        <v>348.06400000000002</v>
      </c>
    </row>
    <row r="81" spans="1:9" ht="30.75" thickBot="1" x14ac:dyDescent="0.3">
      <c r="A81" s="8" t="s">
        <v>407</v>
      </c>
      <c r="B81" s="56" t="s">
        <v>408</v>
      </c>
      <c r="C81" s="6">
        <v>1400.4</v>
      </c>
      <c r="D81" s="6">
        <v>0.33</v>
      </c>
      <c r="E81" s="6">
        <v>0.16</v>
      </c>
      <c r="F81" s="6">
        <v>0.96</v>
      </c>
      <c r="G81" s="6">
        <f t="shared" si="2"/>
        <v>443.64672000000002</v>
      </c>
      <c r="H81" s="15">
        <f t="shared" si="3"/>
        <v>224.06400000000002</v>
      </c>
    </row>
    <row r="82" spans="1:9" ht="45.75" thickBot="1" x14ac:dyDescent="0.3">
      <c r="A82" s="8" t="s">
        <v>128</v>
      </c>
      <c r="B82" s="56" t="s">
        <v>409</v>
      </c>
      <c r="C82" s="6">
        <v>215.4</v>
      </c>
      <c r="D82" s="6">
        <v>0.33</v>
      </c>
      <c r="E82" s="6">
        <v>0.16</v>
      </c>
      <c r="F82" s="6">
        <v>0.96</v>
      </c>
      <c r="G82" s="6">
        <f t="shared" si="2"/>
        <v>68.238720000000001</v>
      </c>
      <c r="H82" s="15">
        <f t="shared" si="3"/>
        <v>34.463999999999999</v>
      </c>
    </row>
    <row r="83" spans="1:9" ht="15.75" thickBot="1" x14ac:dyDescent="0.3">
      <c r="A83" s="8" t="s">
        <v>129</v>
      </c>
      <c r="B83" s="58" t="s">
        <v>402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9" ht="15.75" thickBot="1" x14ac:dyDescent="0.3">
      <c r="A84" s="8" t="s">
        <v>131</v>
      </c>
      <c r="B84" s="58" t="s">
        <v>402</v>
      </c>
      <c r="C84" s="6">
        <v>0.4</v>
      </c>
      <c r="D84" s="6">
        <v>0.33</v>
      </c>
      <c r="E84" s="6">
        <v>0.16</v>
      </c>
      <c r="F84" s="6">
        <v>0.96</v>
      </c>
      <c r="G84" s="6">
        <f t="shared" si="2"/>
        <v>0.12672</v>
      </c>
      <c r="H84" s="15">
        <f t="shared" si="3"/>
        <v>6.4000000000000001E-2</v>
      </c>
    </row>
    <row r="85" spans="1:9" ht="75.75" thickBot="1" x14ac:dyDescent="0.3">
      <c r="A85" s="8" t="s">
        <v>410</v>
      </c>
      <c r="B85" s="59" t="s">
        <v>411</v>
      </c>
      <c r="C85" s="6">
        <v>396.4</v>
      </c>
      <c r="D85" s="6">
        <v>0.33</v>
      </c>
      <c r="E85" s="6">
        <v>0.16</v>
      </c>
      <c r="F85" s="6">
        <v>0.96</v>
      </c>
      <c r="G85" s="6">
        <f t="shared" si="2"/>
        <v>125.57952</v>
      </c>
      <c r="H85" s="15">
        <f t="shared" si="3"/>
        <v>63.423999999999999</v>
      </c>
    </row>
    <row r="86" spans="1:9" ht="45.75" thickBot="1" x14ac:dyDescent="0.3">
      <c r="A86" s="8" t="s">
        <v>175</v>
      </c>
      <c r="B86" s="57" t="s">
        <v>381</v>
      </c>
      <c r="C86" s="6">
        <v>355</v>
      </c>
      <c r="D86" s="6">
        <v>0.33</v>
      </c>
      <c r="E86" s="6">
        <v>0.16</v>
      </c>
      <c r="F86" s="6">
        <v>0.96</v>
      </c>
      <c r="G86" s="6">
        <f t="shared" si="2"/>
        <v>112.464</v>
      </c>
      <c r="H86" s="15">
        <f t="shared" si="3"/>
        <v>56.800000000000004</v>
      </c>
    </row>
    <row r="87" spans="1:9" ht="105.75" thickBot="1" x14ac:dyDescent="0.3">
      <c r="A87" s="8" t="s">
        <v>412</v>
      </c>
      <c r="B87" s="56" t="s">
        <v>413</v>
      </c>
      <c r="C87" s="6">
        <v>2477.4</v>
      </c>
      <c r="D87" s="6">
        <v>0.33</v>
      </c>
      <c r="E87" s="6">
        <v>0.16</v>
      </c>
      <c r="F87" s="6">
        <v>0.96</v>
      </c>
      <c r="G87" s="6">
        <f t="shared" si="2"/>
        <v>784.84032000000002</v>
      </c>
      <c r="H87" s="15">
        <f t="shared" si="3"/>
        <v>396.38400000000001</v>
      </c>
    </row>
    <row r="88" spans="1:9" ht="15.75" thickBot="1" x14ac:dyDescent="0.3">
      <c r="A88" s="8" t="s">
        <v>414</v>
      </c>
      <c r="B88" s="60" t="s">
        <v>378</v>
      </c>
      <c r="C88" s="6">
        <v>0.4</v>
      </c>
      <c r="D88" s="6">
        <v>0.33</v>
      </c>
      <c r="E88" s="6">
        <v>0.16</v>
      </c>
      <c r="F88" s="6">
        <v>0.96</v>
      </c>
      <c r="G88" s="6">
        <f t="shared" si="2"/>
        <v>0.12672</v>
      </c>
      <c r="H88" s="15">
        <f t="shared" si="3"/>
        <v>6.4000000000000001E-2</v>
      </c>
    </row>
    <row r="89" spans="1:9" ht="60.75" thickBot="1" x14ac:dyDescent="0.3">
      <c r="A89" s="23" t="s">
        <v>64</v>
      </c>
      <c r="B89" s="61" t="s">
        <v>415</v>
      </c>
      <c r="C89" s="21">
        <v>45.8</v>
      </c>
      <c r="D89" s="21">
        <v>0.33</v>
      </c>
      <c r="E89" s="21">
        <v>0.16</v>
      </c>
      <c r="F89" s="21">
        <v>0.96</v>
      </c>
      <c r="G89" s="21">
        <f t="shared" si="2"/>
        <v>14.509439999999998</v>
      </c>
      <c r="H89" s="22">
        <f t="shared" si="3"/>
        <v>7.3279999999999994</v>
      </c>
    </row>
    <row r="90" spans="1:9" ht="15.75" thickBot="1" x14ac:dyDescent="0.3">
      <c r="E90" s="172" t="s">
        <v>333</v>
      </c>
      <c r="F90" s="172"/>
      <c r="G90" s="74">
        <f>SUM(G50:G89)</f>
        <v>3484.8253440000008</v>
      </c>
      <c r="H90" s="74">
        <f>SUM(H50:H89)</f>
        <v>1760.0128</v>
      </c>
    </row>
    <row r="91" spans="1:9" ht="15.75" thickBot="1" x14ac:dyDescent="0.3">
      <c r="E91" s="172" t="s">
        <v>161</v>
      </c>
      <c r="F91" s="172"/>
      <c r="G91" s="172">
        <f>G90+H90</f>
        <v>5244.8381440000012</v>
      </c>
      <c r="H91" s="172"/>
    </row>
    <row r="92" spans="1:9" x14ac:dyDescent="0.25">
      <c r="E92" s="51"/>
      <c r="F92" s="51"/>
      <c r="G92" s="51"/>
      <c r="H92" s="51"/>
    </row>
    <row r="93" spans="1:9" ht="23.25" x14ac:dyDescent="0.35">
      <c r="A93" s="158" t="s">
        <v>59</v>
      </c>
      <c r="B93" s="158"/>
      <c r="C93" s="158"/>
      <c r="D93" s="158"/>
      <c r="E93" s="158"/>
      <c r="F93" s="158"/>
      <c r="G93" s="158"/>
      <c r="H93" s="158"/>
      <c r="I93" s="108"/>
    </row>
    <row r="94" spans="1:9" ht="15.75" thickBot="1" x14ac:dyDescent="0.3">
      <c r="A94" s="16" t="s">
        <v>19</v>
      </c>
      <c r="B94" s="17" t="s">
        <v>334</v>
      </c>
      <c r="C94" s="17" t="s">
        <v>387</v>
      </c>
      <c r="D94" s="73" t="s">
        <v>336</v>
      </c>
      <c r="E94" s="17" t="s">
        <v>337</v>
      </c>
      <c r="F94" s="17" t="s">
        <v>338</v>
      </c>
      <c r="G94" s="17" t="s">
        <v>23</v>
      </c>
      <c r="H94" s="18" t="s">
        <v>416</v>
      </c>
    </row>
    <row r="95" spans="1:9" ht="30.75" thickBot="1" x14ac:dyDescent="0.3">
      <c r="A95" s="8" t="s">
        <v>389</v>
      </c>
      <c r="B95" s="55" t="s">
        <v>390</v>
      </c>
      <c r="C95" s="6">
        <v>25.4</v>
      </c>
      <c r="D95" s="6">
        <v>0.33</v>
      </c>
      <c r="E95" s="6">
        <v>0.16</v>
      </c>
      <c r="F95" s="6">
        <v>0.96</v>
      </c>
      <c r="G95" s="6">
        <f>C95*D95*F95</f>
        <v>8.0467199999999988</v>
      </c>
      <c r="H95" s="15">
        <f>E95*C95</f>
        <v>4.0640000000000001</v>
      </c>
    </row>
    <row r="96" spans="1:9" ht="30.75" thickBot="1" x14ac:dyDescent="0.3">
      <c r="A96" s="8" t="s">
        <v>391</v>
      </c>
      <c r="B96" s="55" t="s">
        <v>390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ref="G96:G127" si="4">C96*D96*F96</f>
        <v>8.0467199999999988</v>
      </c>
      <c r="H96" s="15">
        <f t="shared" ref="H96:H127" si="5">E96*C96</f>
        <v>4.0640000000000001</v>
      </c>
    </row>
    <row r="97" spans="1:8" ht="30.75" thickBot="1" x14ac:dyDescent="0.3">
      <c r="A97" s="8" t="s">
        <v>392</v>
      </c>
      <c r="B97" s="55" t="s">
        <v>390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30.75" thickBot="1" x14ac:dyDescent="0.3">
      <c r="A98" s="8" t="s">
        <v>393</v>
      </c>
      <c r="B98" s="55" t="s">
        <v>390</v>
      </c>
      <c r="C98" s="6">
        <v>25.4</v>
      </c>
      <c r="D98" s="6">
        <v>0.33</v>
      </c>
      <c r="E98" s="6">
        <v>0.16</v>
      </c>
      <c r="F98" s="6">
        <v>0.96</v>
      </c>
      <c r="G98" s="6">
        <f t="shared" si="4"/>
        <v>8.0467199999999988</v>
      </c>
      <c r="H98" s="15">
        <f t="shared" si="5"/>
        <v>4.0640000000000001</v>
      </c>
    </row>
    <row r="99" spans="1:8" ht="60.75" thickBot="1" x14ac:dyDescent="0.3">
      <c r="A99" s="8" t="s">
        <v>66</v>
      </c>
      <c r="B99" s="56" t="s">
        <v>417</v>
      </c>
      <c r="C99" s="6">
        <v>175.9</v>
      </c>
      <c r="D99" s="6">
        <v>0.33</v>
      </c>
      <c r="E99" s="6">
        <v>0.16</v>
      </c>
      <c r="F99" s="6">
        <v>0.96</v>
      </c>
      <c r="G99" s="6">
        <f t="shared" si="4"/>
        <v>55.725120000000004</v>
      </c>
      <c r="H99" s="15">
        <f t="shared" si="5"/>
        <v>28.144000000000002</v>
      </c>
    </row>
    <row r="100" spans="1:8" ht="60.75" thickBot="1" x14ac:dyDescent="0.3">
      <c r="A100" s="8" t="s">
        <v>171</v>
      </c>
      <c r="B100" s="56" t="s">
        <v>395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60.75" thickBot="1" x14ac:dyDescent="0.3">
      <c r="A101" s="8" t="s">
        <v>172</v>
      </c>
      <c r="B101" s="56" t="s">
        <v>395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60.75" thickBot="1" x14ac:dyDescent="0.3">
      <c r="A102" s="8" t="s">
        <v>178</v>
      </c>
      <c r="B102" s="56" t="s">
        <v>395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60.75" thickBot="1" x14ac:dyDescent="0.3">
      <c r="A103" s="8" t="s">
        <v>179</v>
      </c>
      <c r="B103" s="56" t="s">
        <v>395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60.75" thickBot="1" x14ac:dyDescent="0.3">
      <c r="A104" s="8" t="s">
        <v>182</v>
      </c>
      <c r="B104" s="56" t="s">
        <v>395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60.75" thickBot="1" x14ac:dyDescent="0.3">
      <c r="A105" s="8" t="s">
        <v>186</v>
      </c>
      <c r="B105" s="56" t="s">
        <v>395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60.75" thickBot="1" x14ac:dyDescent="0.3">
      <c r="A106" s="8" t="s">
        <v>189</v>
      </c>
      <c r="B106" s="56" t="s">
        <v>395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60.75" thickBot="1" x14ac:dyDescent="0.3">
      <c r="A107" s="8" t="s">
        <v>190</v>
      </c>
      <c r="B107" s="56" t="s">
        <v>395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60.75" thickBot="1" x14ac:dyDescent="0.3">
      <c r="A108" s="8" t="s">
        <v>304</v>
      </c>
      <c r="B108" s="56" t="s">
        <v>395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60.75" thickBot="1" x14ac:dyDescent="0.3">
      <c r="A109" s="8" t="s">
        <v>305</v>
      </c>
      <c r="B109" s="56" t="s">
        <v>395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60.75" thickBot="1" x14ac:dyDescent="0.3">
      <c r="A110" s="8" t="s">
        <v>306</v>
      </c>
      <c r="B110" s="56" t="s">
        <v>395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60.75" thickBot="1" x14ac:dyDescent="0.3">
      <c r="A111" s="8" t="s">
        <v>307</v>
      </c>
      <c r="B111" s="56" t="s">
        <v>395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60.75" thickBot="1" x14ac:dyDescent="0.3">
      <c r="A112" s="8" t="s">
        <v>309</v>
      </c>
      <c r="B112" s="56" t="s">
        <v>395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8" ht="60.75" thickBot="1" x14ac:dyDescent="0.3">
      <c r="A113" s="8" t="s">
        <v>310</v>
      </c>
      <c r="B113" s="56" t="s">
        <v>395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8" ht="60.75" thickBot="1" x14ac:dyDescent="0.3">
      <c r="A114" s="8" t="s">
        <v>418</v>
      </c>
      <c r="B114" s="56" t="s">
        <v>395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8" ht="60.75" thickBot="1" x14ac:dyDescent="0.3">
      <c r="A115" s="8" t="s">
        <v>419</v>
      </c>
      <c r="B115" s="56" t="s">
        <v>395</v>
      </c>
      <c r="C115" s="6">
        <v>156.06</v>
      </c>
      <c r="D115" s="6">
        <v>0.33</v>
      </c>
      <c r="E115" s="6">
        <v>0.16</v>
      </c>
      <c r="F115" s="6">
        <v>0.96</v>
      </c>
      <c r="G115" s="6">
        <f t="shared" si="4"/>
        <v>49.439807999999999</v>
      </c>
      <c r="H115" s="15">
        <f t="shared" si="5"/>
        <v>24.9696</v>
      </c>
    </row>
    <row r="116" spans="1:8" ht="45.75" thickBot="1" x14ac:dyDescent="0.3">
      <c r="A116" s="8" t="s">
        <v>173</v>
      </c>
      <c r="B116" s="56" t="s">
        <v>397</v>
      </c>
      <c r="C116" s="6">
        <v>230.4</v>
      </c>
      <c r="D116" s="6">
        <v>0.33</v>
      </c>
      <c r="E116" s="6">
        <v>0.16</v>
      </c>
      <c r="F116" s="6">
        <v>0.96</v>
      </c>
      <c r="G116" s="6">
        <f t="shared" si="4"/>
        <v>72.99072000000001</v>
      </c>
      <c r="H116" s="15">
        <f t="shared" si="5"/>
        <v>36.864000000000004</v>
      </c>
    </row>
    <row r="117" spans="1:8" ht="30.75" thickBot="1" x14ac:dyDescent="0.3">
      <c r="A117" s="8" t="s">
        <v>174</v>
      </c>
      <c r="B117" s="56" t="s">
        <v>398</v>
      </c>
      <c r="C117" s="6">
        <v>70.400000000000006</v>
      </c>
      <c r="D117" s="6">
        <v>0.33</v>
      </c>
      <c r="E117" s="6">
        <v>0.16</v>
      </c>
      <c r="F117" s="6">
        <v>0.96</v>
      </c>
      <c r="G117" s="6">
        <f t="shared" si="4"/>
        <v>22.302720000000001</v>
      </c>
      <c r="H117" s="15">
        <f t="shared" si="5"/>
        <v>11.264000000000001</v>
      </c>
    </row>
    <row r="118" spans="1:8" ht="45.75" thickBot="1" x14ac:dyDescent="0.3">
      <c r="A118" s="8" t="s">
        <v>175</v>
      </c>
      <c r="B118" s="57" t="s">
        <v>381</v>
      </c>
      <c r="C118" s="6">
        <v>355</v>
      </c>
      <c r="D118" s="6">
        <v>0.33</v>
      </c>
      <c r="E118" s="6">
        <v>0.16</v>
      </c>
      <c r="F118" s="6">
        <v>0.96</v>
      </c>
      <c r="G118" s="6">
        <f t="shared" si="4"/>
        <v>112.464</v>
      </c>
      <c r="H118" s="15">
        <f t="shared" si="5"/>
        <v>56.800000000000004</v>
      </c>
    </row>
    <row r="119" spans="1:8" ht="30.75" thickBot="1" x14ac:dyDescent="0.3">
      <c r="A119" s="8" t="s">
        <v>183</v>
      </c>
      <c r="B119" s="55" t="s">
        <v>390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8" ht="30.75" thickBot="1" x14ac:dyDescent="0.3">
      <c r="A120" s="8" t="s">
        <v>185</v>
      </c>
      <c r="B120" s="55" t="s">
        <v>390</v>
      </c>
      <c r="C120" s="6">
        <v>25.4</v>
      </c>
      <c r="D120" s="6">
        <v>0.33</v>
      </c>
      <c r="E120" s="6">
        <v>0.16</v>
      </c>
      <c r="F120" s="6">
        <v>0.96</v>
      </c>
      <c r="G120" s="6">
        <f t="shared" si="4"/>
        <v>8.0467199999999988</v>
      </c>
      <c r="H120" s="15">
        <f t="shared" si="5"/>
        <v>4.0640000000000001</v>
      </c>
    </row>
    <row r="121" spans="1:8" ht="60.75" thickBot="1" x14ac:dyDescent="0.3">
      <c r="A121" s="8" t="s">
        <v>420</v>
      </c>
      <c r="B121" s="56" t="s">
        <v>346</v>
      </c>
      <c r="C121" s="6">
        <v>300.8</v>
      </c>
      <c r="D121" s="6">
        <v>0.33</v>
      </c>
      <c r="E121" s="6">
        <v>0.16</v>
      </c>
      <c r="F121" s="6">
        <v>0.96</v>
      </c>
      <c r="G121" s="6">
        <f t="shared" si="4"/>
        <v>95.293440000000004</v>
      </c>
      <c r="H121" s="15">
        <f t="shared" si="5"/>
        <v>48.128</v>
      </c>
    </row>
    <row r="122" spans="1:8" ht="90.75" thickBot="1" x14ac:dyDescent="0.3">
      <c r="A122" s="8" t="s">
        <v>75</v>
      </c>
      <c r="B122" s="56" t="s">
        <v>366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8" ht="90.75" thickBot="1" x14ac:dyDescent="0.3">
      <c r="A123" s="8" t="s">
        <v>76</v>
      </c>
      <c r="B123" s="56" t="s">
        <v>366</v>
      </c>
      <c r="C123" s="6">
        <v>525.79999999999995</v>
      </c>
      <c r="D123" s="6">
        <v>0.33</v>
      </c>
      <c r="E123" s="6">
        <v>0.16</v>
      </c>
      <c r="F123" s="6">
        <v>0.96</v>
      </c>
      <c r="G123" s="6">
        <f t="shared" si="4"/>
        <v>166.57343999999998</v>
      </c>
      <c r="H123" s="15">
        <f t="shared" si="5"/>
        <v>84.128</v>
      </c>
    </row>
    <row r="124" spans="1:8" ht="60.75" thickBot="1" x14ac:dyDescent="0.3">
      <c r="A124" s="8" t="s">
        <v>421</v>
      </c>
      <c r="B124" s="56" t="s">
        <v>422</v>
      </c>
      <c r="C124" s="6">
        <v>1950.4</v>
      </c>
      <c r="D124" s="6">
        <v>0.33</v>
      </c>
      <c r="E124" s="6">
        <v>0.16</v>
      </c>
      <c r="F124" s="6">
        <v>0.96</v>
      </c>
      <c r="G124" s="6">
        <f t="shared" si="4"/>
        <v>617.88672000000008</v>
      </c>
      <c r="H124" s="15">
        <f t="shared" si="5"/>
        <v>312.06400000000002</v>
      </c>
    </row>
    <row r="125" spans="1:8" ht="45.75" thickBot="1" x14ac:dyDescent="0.3">
      <c r="A125" s="8" t="s">
        <v>316</v>
      </c>
      <c r="B125" s="59" t="s">
        <v>423</v>
      </c>
      <c r="C125" s="6">
        <v>50.16</v>
      </c>
      <c r="D125" s="6">
        <v>0.33</v>
      </c>
      <c r="E125" s="6">
        <v>0.16</v>
      </c>
      <c r="F125" s="6">
        <v>0.96</v>
      </c>
      <c r="G125" s="6">
        <f t="shared" si="4"/>
        <v>15.890688000000001</v>
      </c>
      <c r="H125" s="15">
        <f t="shared" si="5"/>
        <v>8.025599999999999</v>
      </c>
    </row>
    <row r="126" spans="1:8" ht="30.75" thickBot="1" x14ac:dyDescent="0.3">
      <c r="A126" s="8" t="s">
        <v>71</v>
      </c>
      <c r="B126" s="55" t="s">
        <v>390</v>
      </c>
      <c r="C126" s="6">
        <v>25.4</v>
      </c>
      <c r="D126" s="6">
        <v>0.33</v>
      </c>
      <c r="E126" s="6">
        <v>0.16</v>
      </c>
      <c r="F126" s="6">
        <v>0.96</v>
      </c>
      <c r="G126" s="6">
        <f t="shared" si="4"/>
        <v>8.0467199999999988</v>
      </c>
      <c r="H126" s="15">
        <f t="shared" si="5"/>
        <v>4.0640000000000001</v>
      </c>
    </row>
    <row r="127" spans="1:8" ht="60.75" thickBot="1" x14ac:dyDescent="0.3">
      <c r="A127" s="23" t="s">
        <v>64</v>
      </c>
      <c r="B127" s="61" t="s">
        <v>424</v>
      </c>
      <c r="C127" s="21">
        <v>45.8</v>
      </c>
      <c r="D127" s="21">
        <v>0.33</v>
      </c>
      <c r="E127" s="21">
        <v>0.16</v>
      </c>
      <c r="F127" s="21">
        <v>0.96</v>
      </c>
      <c r="G127" s="21">
        <f t="shared" si="4"/>
        <v>14.509439999999998</v>
      </c>
      <c r="H127" s="22">
        <f t="shared" si="5"/>
        <v>7.3279999999999994</v>
      </c>
    </row>
    <row r="128" spans="1:8" ht="15.75" thickBot="1" x14ac:dyDescent="0.3">
      <c r="E128" s="172" t="s">
        <v>333</v>
      </c>
      <c r="F128" s="172"/>
      <c r="G128" s="74">
        <f>SUM(G95:G127)</f>
        <v>2187.573695999999</v>
      </c>
      <c r="H128" s="74">
        <f>SUM(H95:H127)</f>
        <v>1104.8352000000002</v>
      </c>
    </row>
    <row r="129" spans="5:8" ht="15.75" thickBot="1" x14ac:dyDescent="0.3">
      <c r="E129" s="172" t="s">
        <v>161</v>
      </c>
      <c r="F129" s="172"/>
      <c r="G129" s="172">
        <f>G128+H128</f>
        <v>3292.408895999999</v>
      </c>
      <c r="H129" s="172"/>
    </row>
  </sheetData>
  <mergeCells count="22">
    <mergeCell ref="L8:N9"/>
    <mergeCell ref="O8:O9"/>
    <mergeCell ref="P8:P9"/>
    <mergeCell ref="Q8:Q9"/>
    <mergeCell ref="L3:Q3"/>
    <mergeCell ref="L4:N4"/>
    <mergeCell ref="L5:N5"/>
    <mergeCell ref="L6:N6"/>
    <mergeCell ref="L7:N7"/>
    <mergeCell ref="E129:F129"/>
    <mergeCell ref="G129:H129"/>
    <mergeCell ref="E128:F128"/>
    <mergeCell ref="A1:H1"/>
    <mergeCell ref="A48:H48"/>
    <mergeCell ref="A93:H93"/>
    <mergeCell ref="E45:F45"/>
    <mergeCell ref="E46:F46"/>
    <mergeCell ref="G46:H46"/>
    <mergeCell ref="E90:F90"/>
    <mergeCell ref="E91:F91"/>
    <mergeCell ref="G91:H91"/>
    <mergeCell ref="A2:H2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5"/>
  <sheetViews>
    <sheetView topLeftCell="A13" workbookViewId="0">
      <selection activeCell="L3" sqref="L3:Q9"/>
    </sheetView>
  </sheetViews>
  <sheetFormatPr defaultRowHeight="15" x14ac:dyDescent="0.25"/>
  <cols>
    <col min="1" max="1" width="27.5703125" customWidth="1"/>
    <col min="3" max="3" width="11.85546875" customWidth="1"/>
    <col min="4" max="4" width="11.140625" customWidth="1"/>
    <col min="7" max="7" width="10.140625" customWidth="1"/>
    <col min="11" max="11" width="10.85546875" customWidth="1"/>
  </cols>
  <sheetData>
    <row r="1" spans="1:17" s="121" customFormat="1" ht="23.25" x14ac:dyDescent="0.25">
      <c r="A1" s="159" t="s">
        <v>532</v>
      </c>
      <c r="B1" s="159"/>
      <c r="C1" s="159"/>
      <c r="D1" s="159"/>
      <c r="E1" s="159"/>
      <c r="F1" s="159"/>
      <c r="G1" s="159"/>
      <c r="H1" s="159"/>
    </row>
    <row r="2" spans="1:17" ht="24" thickBot="1" x14ac:dyDescent="0.4">
      <c r="A2" s="158" t="s">
        <v>59</v>
      </c>
      <c r="B2" s="158"/>
      <c r="C2" s="158"/>
      <c r="D2" s="158"/>
      <c r="E2" s="158"/>
      <c r="F2" s="158"/>
      <c r="G2" s="158"/>
      <c r="H2" s="158"/>
    </row>
    <row r="3" spans="1:17" ht="15.75" thickBot="1" x14ac:dyDescent="0.3">
      <c r="A3" s="176" t="s">
        <v>425</v>
      </c>
      <c r="B3" s="176"/>
      <c r="C3" s="176"/>
      <c r="D3" s="176"/>
      <c r="E3" s="176"/>
      <c r="F3" s="176"/>
      <c r="G3" s="176"/>
      <c r="H3" s="176"/>
      <c r="L3" s="160" t="s">
        <v>539</v>
      </c>
      <c r="M3" s="160"/>
      <c r="N3" s="160"/>
      <c r="O3" s="160"/>
      <c r="P3" s="160"/>
      <c r="Q3" s="160"/>
    </row>
    <row r="4" spans="1:17" ht="15.75" thickBot="1" x14ac:dyDescent="0.3">
      <c r="A4" s="16" t="s">
        <v>19</v>
      </c>
      <c r="B4" s="17" t="s">
        <v>2</v>
      </c>
      <c r="C4" s="17" t="s">
        <v>236</v>
      </c>
      <c r="D4" s="17" t="s">
        <v>426</v>
      </c>
      <c r="E4" s="17" t="s">
        <v>7</v>
      </c>
      <c r="F4" s="17" t="s">
        <v>8</v>
      </c>
      <c r="G4" s="17" t="s">
        <v>427</v>
      </c>
      <c r="H4" s="18" t="s">
        <v>10</v>
      </c>
      <c r="K4" s="1"/>
      <c r="L4" s="161"/>
      <c r="M4" s="161"/>
      <c r="N4" s="161"/>
      <c r="O4" s="161" t="s">
        <v>430</v>
      </c>
      <c r="P4" s="161"/>
      <c r="Q4" s="161"/>
    </row>
    <row r="5" spans="1:17" ht="15.75" thickBot="1" x14ac:dyDescent="0.3">
      <c r="A5" s="47" t="s">
        <v>123</v>
      </c>
      <c r="B5" s="76">
        <v>2.584380007</v>
      </c>
      <c r="C5" s="6">
        <v>34.276899999999998</v>
      </c>
      <c r="D5" s="6">
        <v>18</v>
      </c>
      <c r="E5" s="6">
        <v>22.5</v>
      </c>
      <c r="F5" s="6">
        <v>30.45</v>
      </c>
      <c r="G5" s="6">
        <f>((D5*0.75)+(25-E5)+(F5-29))*0.75</f>
        <v>13.087499999999999</v>
      </c>
      <c r="H5" s="15">
        <f>B5*C5*G5</f>
        <v>1159.3501026231174</v>
      </c>
      <c r="L5" s="162" t="s">
        <v>160</v>
      </c>
      <c r="M5" s="162"/>
      <c r="N5" s="162"/>
      <c r="O5" s="162">
        <v>0</v>
      </c>
      <c r="P5" s="162"/>
      <c r="Q5" s="162"/>
    </row>
    <row r="6" spans="1:17" ht="15.75" thickBot="1" x14ac:dyDescent="0.3">
      <c r="A6" s="47" t="s">
        <v>169</v>
      </c>
      <c r="B6" s="76">
        <v>2.584380007</v>
      </c>
      <c r="C6" s="6">
        <v>34.26</v>
      </c>
      <c r="D6" s="6">
        <v>18</v>
      </c>
      <c r="E6" s="6">
        <v>22.5</v>
      </c>
      <c r="F6" s="6">
        <v>30.45</v>
      </c>
      <c r="G6" s="6">
        <f t="shared" ref="G6:G46" si="0">((D6*0.75)+(25-E6)+(F6-29))*0.75</f>
        <v>13.087499999999999</v>
      </c>
      <c r="H6" s="15">
        <f t="shared" ref="H6:H46" si="1">B6*C6*G6</f>
        <v>1158.7784926836441</v>
      </c>
      <c r="L6" s="162" t="s">
        <v>41</v>
      </c>
      <c r="M6" s="162"/>
      <c r="N6" s="162"/>
      <c r="O6" s="162">
        <f>I85</f>
        <v>0</v>
      </c>
      <c r="P6" s="162"/>
      <c r="Q6" s="162"/>
    </row>
    <row r="7" spans="1:17" ht="15.75" thickBot="1" x14ac:dyDescent="0.3">
      <c r="A7" s="47" t="s">
        <v>302</v>
      </c>
      <c r="B7" s="76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L7" s="162" t="s">
        <v>59</v>
      </c>
      <c r="M7" s="162"/>
      <c r="N7" s="162"/>
      <c r="O7" s="162">
        <f>H47</f>
        <v>32590.037396229796</v>
      </c>
      <c r="P7" s="162"/>
      <c r="Q7" s="162"/>
    </row>
    <row r="8" spans="1:17" ht="15.75" thickBot="1" x14ac:dyDescent="0.3">
      <c r="A8" s="47" t="s">
        <v>303</v>
      </c>
      <c r="B8" s="76">
        <v>2.584380007</v>
      </c>
      <c r="C8" s="6">
        <v>37.408700000000003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1265.2772037143795</v>
      </c>
      <c r="L8" s="163" t="s">
        <v>540</v>
      </c>
      <c r="M8" s="163"/>
      <c r="N8" s="163"/>
      <c r="O8" s="151">
        <f>O5+O6+O7</f>
        <v>32590.037396229796</v>
      </c>
      <c r="P8" s="152"/>
      <c r="Q8" s="153"/>
    </row>
    <row r="9" spans="1:17" ht="15.75" thickBot="1" x14ac:dyDescent="0.3">
      <c r="A9" s="47" t="s">
        <v>124</v>
      </c>
      <c r="B9" s="76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L9" s="163"/>
      <c r="M9" s="163"/>
      <c r="N9" s="163"/>
      <c r="O9" s="154"/>
      <c r="P9" s="155"/>
      <c r="Q9" s="156"/>
    </row>
    <row r="10" spans="1:17" ht="15.75" thickBot="1" x14ac:dyDescent="0.3">
      <c r="A10" s="47" t="s">
        <v>125</v>
      </c>
      <c r="B10" s="76">
        <v>2.584380007</v>
      </c>
      <c r="C10" s="6">
        <v>34.26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1158.7784926836441</v>
      </c>
      <c r="M10" s="46"/>
      <c r="N10" s="46"/>
      <c r="O10" s="46"/>
      <c r="P10" s="46"/>
      <c r="Q10" s="46"/>
    </row>
    <row r="11" spans="1:17" ht="15.75" thickBot="1" x14ac:dyDescent="0.3">
      <c r="A11" s="47" t="s">
        <v>170</v>
      </c>
      <c r="B11" s="76">
        <v>2.584380007</v>
      </c>
      <c r="C11" s="6">
        <v>10.1393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342.9422875326116</v>
      </c>
      <c r="M11" s="46"/>
      <c r="N11" s="46"/>
      <c r="O11" s="46"/>
      <c r="P11" s="46"/>
      <c r="Q11" s="46"/>
    </row>
    <row r="12" spans="1:17" ht="15.75" thickBot="1" x14ac:dyDescent="0.3">
      <c r="A12" s="47" t="s">
        <v>171</v>
      </c>
      <c r="B12" s="76">
        <v>2.584380007</v>
      </c>
      <c r="C12" s="6">
        <v>13.9222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470.89159167659756</v>
      </c>
      <c r="M12" s="46"/>
      <c r="N12" s="46"/>
      <c r="O12" s="46"/>
      <c r="P12" s="46"/>
      <c r="Q12" s="46"/>
    </row>
    <row r="13" spans="1:17" ht="15.75" thickBot="1" x14ac:dyDescent="0.3">
      <c r="A13" s="47" t="s">
        <v>172</v>
      </c>
      <c r="B13" s="76">
        <v>2.584380007</v>
      </c>
      <c r="C13" s="6">
        <v>13.873799999999999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469.25455492686348</v>
      </c>
      <c r="M13" s="46"/>
      <c r="N13" s="46"/>
      <c r="O13" s="46"/>
      <c r="P13" s="46"/>
      <c r="Q13" s="46"/>
    </row>
    <row r="14" spans="1:17" ht="15.75" thickBot="1" x14ac:dyDescent="0.3">
      <c r="A14" s="47" t="s">
        <v>173</v>
      </c>
      <c r="B14" s="76">
        <v>2.584380007</v>
      </c>
      <c r="C14" s="6">
        <v>30.712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1038.7742284676031</v>
      </c>
      <c r="M14" s="46"/>
      <c r="N14" s="46"/>
      <c r="O14" s="46"/>
      <c r="P14" s="46"/>
      <c r="Q14" s="46"/>
    </row>
    <row r="15" spans="1:17" ht="15.75" thickBot="1" x14ac:dyDescent="0.3">
      <c r="A15" s="47" t="s">
        <v>174</v>
      </c>
      <c r="B15" s="76">
        <v>2.584380007</v>
      </c>
      <c r="C15" s="6">
        <v>17.941299999999998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606.82990574387225</v>
      </c>
      <c r="M15" s="46"/>
      <c r="N15" s="46"/>
      <c r="O15" s="46"/>
      <c r="P15" s="46"/>
      <c r="Q15" s="46"/>
    </row>
    <row r="16" spans="1:17" ht="15.75" thickBot="1" x14ac:dyDescent="0.3">
      <c r="A16" s="47" t="s">
        <v>175</v>
      </c>
      <c r="B16" s="76">
        <v>2.584380007</v>
      </c>
      <c r="C16" s="6">
        <v>22.829000000000001</v>
      </c>
      <c r="D16" s="6">
        <v>18</v>
      </c>
      <c r="E16" s="6">
        <v>22.5</v>
      </c>
      <c r="F16" s="6">
        <v>30.45</v>
      </c>
      <c r="G16" s="6">
        <f t="shared" si="0"/>
        <v>13.087499999999999</v>
      </c>
      <c r="H16" s="15">
        <f t="shared" si="1"/>
        <v>772.14694131567171</v>
      </c>
      <c r="M16" s="46"/>
      <c r="N16" s="46"/>
      <c r="O16" s="46"/>
      <c r="P16" s="46"/>
      <c r="Q16" s="46"/>
    </row>
    <row r="17" spans="1:17" ht="15.75" thickBot="1" x14ac:dyDescent="0.3">
      <c r="A17" s="47" t="s">
        <v>176</v>
      </c>
      <c r="B17" s="76">
        <v>2.584380007</v>
      </c>
      <c r="C17" s="6">
        <v>4.7869000000000002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147.99010504151804</v>
      </c>
      <c r="M17" s="46"/>
      <c r="N17" s="46"/>
      <c r="O17" s="46"/>
      <c r="P17" s="46"/>
      <c r="Q17" s="46"/>
    </row>
    <row r="18" spans="1:17" ht="15.75" thickBot="1" x14ac:dyDescent="0.3">
      <c r="A18" s="47" t="s">
        <v>177</v>
      </c>
      <c r="B18" s="76">
        <v>2.584380007</v>
      </c>
      <c r="C18" s="6">
        <v>2.4581</v>
      </c>
      <c r="D18" s="6">
        <v>18</v>
      </c>
      <c r="E18" s="6">
        <v>24</v>
      </c>
      <c r="F18" s="6">
        <v>30.45</v>
      </c>
      <c r="G18" s="6">
        <f t="shared" si="0"/>
        <v>11.962499999999999</v>
      </c>
      <c r="H18" s="15">
        <f t="shared" si="1"/>
        <v>75.993749023910141</v>
      </c>
      <c r="M18" s="46"/>
      <c r="N18" s="46"/>
      <c r="O18" s="46"/>
      <c r="P18" s="46"/>
      <c r="Q18" s="46"/>
    </row>
    <row r="19" spans="1:17" ht="15.75" thickBot="1" x14ac:dyDescent="0.3">
      <c r="A19" s="47" t="s">
        <v>178</v>
      </c>
      <c r="B19" s="76">
        <v>2.584380007</v>
      </c>
      <c r="C19" s="6">
        <v>13.8735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469.24440800486093</v>
      </c>
      <c r="M19" s="46"/>
      <c r="N19" s="46"/>
      <c r="O19" s="46"/>
      <c r="P19" s="46"/>
      <c r="Q19" s="46"/>
    </row>
    <row r="20" spans="1:17" ht="15.75" thickBot="1" x14ac:dyDescent="0.3">
      <c r="A20" s="47" t="s">
        <v>179</v>
      </c>
      <c r="B20" s="76">
        <v>2.584380007</v>
      </c>
      <c r="C20" s="6">
        <v>13.892799999999999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469.89719332035412</v>
      </c>
      <c r="M20" s="46"/>
      <c r="N20" s="46"/>
      <c r="O20" s="46"/>
      <c r="P20" s="46"/>
      <c r="Q20" s="46"/>
    </row>
    <row r="21" spans="1:17" ht="15.75" thickBot="1" x14ac:dyDescent="0.3">
      <c r="A21" s="47" t="s">
        <v>180</v>
      </c>
      <c r="B21" s="76">
        <v>2.584380007</v>
      </c>
      <c r="C21" s="6">
        <v>10.1716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344.03477280154567</v>
      </c>
      <c r="M21" s="46"/>
      <c r="N21" s="46"/>
      <c r="O21" s="46"/>
      <c r="P21" s="46"/>
      <c r="Q21" s="46"/>
    </row>
    <row r="22" spans="1:17" ht="15.75" thickBot="1" x14ac:dyDescent="0.3">
      <c r="A22" s="47" t="s">
        <v>182</v>
      </c>
      <c r="B22" s="76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6"/>
      <c r="N22" s="46"/>
      <c r="O22" s="46"/>
      <c r="P22" s="46"/>
      <c r="Q22" s="46"/>
    </row>
    <row r="23" spans="1:17" ht="15.75" thickBot="1" x14ac:dyDescent="0.3">
      <c r="A23" s="47" t="s">
        <v>186</v>
      </c>
      <c r="B23" s="76">
        <v>2.584380007</v>
      </c>
      <c r="C23" s="6">
        <v>15.8619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536.49820703732325</v>
      </c>
      <c r="M23" s="46"/>
      <c r="N23" s="46"/>
      <c r="O23" s="46"/>
      <c r="P23" s="46"/>
      <c r="Q23" s="46"/>
    </row>
    <row r="24" spans="1:17" ht="15.75" thickBot="1" x14ac:dyDescent="0.3">
      <c r="A24" s="47" t="s">
        <v>183</v>
      </c>
      <c r="B24" s="76">
        <v>2.584380007</v>
      </c>
      <c r="C24" s="6">
        <v>24.783000000000001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838.23722662518264</v>
      </c>
      <c r="M24" s="46"/>
      <c r="N24" s="46"/>
      <c r="O24" s="46"/>
      <c r="P24" s="46"/>
      <c r="Q24" s="46"/>
    </row>
    <row r="25" spans="1:17" ht="15.75" thickBot="1" x14ac:dyDescent="0.3">
      <c r="A25" s="47" t="s">
        <v>185</v>
      </c>
      <c r="B25" s="76">
        <v>2.584380007</v>
      </c>
      <c r="C25" s="6">
        <v>24.890899999999998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841.88673623874251</v>
      </c>
      <c r="M25" s="46"/>
      <c r="N25" s="46"/>
      <c r="O25" s="46"/>
      <c r="P25" s="46"/>
      <c r="Q25" s="46"/>
    </row>
    <row r="26" spans="1:17" ht="15.75" thickBot="1" x14ac:dyDescent="0.3">
      <c r="A26" s="47" t="s">
        <v>189</v>
      </c>
      <c r="B26" s="76">
        <v>2.584380007</v>
      </c>
      <c r="C26" s="6">
        <v>13.6813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462.74361330860307</v>
      </c>
      <c r="M26" s="46"/>
      <c r="N26" s="46"/>
      <c r="O26" s="46"/>
      <c r="P26" s="46"/>
      <c r="Q26" s="46"/>
    </row>
    <row r="27" spans="1:17" ht="15.75" thickBot="1" x14ac:dyDescent="0.3">
      <c r="A27" s="47" t="s">
        <v>190</v>
      </c>
      <c r="B27" s="76">
        <v>2.584380007</v>
      </c>
      <c r="C27" s="6">
        <v>13.751200000000001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465.10784613518177</v>
      </c>
      <c r="M27" s="46"/>
      <c r="N27" s="46"/>
      <c r="O27" s="46"/>
      <c r="P27" s="46"/>
      <c r="Q27" s="46"/>
    </row>
    <row r="28" spans="1:17" ht="15.75" thickBot="1" x14ac:dyDescent="0.3">
      <c r="A28" s="47" t="s">
        <v>304</v>
      </c>
      <c r="B28" s="76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6"/>
      <c r="N28" s="46"/>
      <c r="O28" s="46"/>
      <c r="P28" s="46"/>
      <c r="Q28" s="46"/>
    </row>
    <row r="29" spans="1:17" ht="15.75" thickBot="1" x14ac:dyDescent="0.3">
      <c r="A29" s="47" t="s">
        <v>305</v>
      </c>
      <c r="B29" s="76">
        <v>2.584380007</v>
      </c>
      <c r="C29" s="6">
        <v>16.011199999999999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541.54799188722598</v>
      </c>
      <c r="M29" s="46"/>
      <c r="N29" s="46"/>
      <c r="O29" s="46"/>
      <c r="P29" s="46"/>
      <c r="Q29" s="46"/>
    </row>
    <row r="30" spans="1:17" ht="15.75" thickBot="1" x14ac:dyDescent="0.3">
      <c r="A30" s="47" t="s">
        <v>184</v>
      </c>
      <c r="B30" s="76">
        <v>2.584380007</v>
      </c>
      <c r="C30" s="6">
        <v>8.9650999999999996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303.22723481489021</v>
      </c>
      <c r="M30" s="46"/>
      <c r="N30" s="46"/>
      <c r="O30" s="46"/>
      <c r="P30" s="46"/>
      <c r="Q30" s="46"/>
    </row>
    <row r="31" spans="1:17" ht="15.75" thickBot="1" x14ac:dyDescent="0.3">
      <c r="A31" s="47" t="s">
        <v>306</v>
      </c>
      <c r="B31" s="76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6"/>
      <c r="N31" s="46"/>
      <c r="O31" s="46"/>
      <c r="P31" s="46"/>
      <c r="Q31" s="46"/>
    </row>
    <row r="32" spans="1:17" ht="15.75" thickBot="1" x14ac:dyDescent="0.3">
      <c r="A32" s="47" t="s">
        <v>307</v>
      </c>
      <c r="B32" s="76">
        <v>2.584380007</v>
      </c>
      <c r="C32" s="6">
        <v>13.751200000000001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465.10784613518177</v>
      </c>
      <c r="M32" s="46"/>
      <c r="N32" s="46"/>
      <c r="O32" s="46"/>
      <c r="P32" s="46"/>
      <c r="Q32" s="46"/>
    </row>
    <row r="33" spans="1:17" ht="15.75" thickBot="1" x14ac:dyDescent="0.3">
      <c r="A33" s="47" t="s">
        <v>308</v>
      </c>
      <c r="B33" s="76">
        <v>2.584380007</v>
      </c>
      <c r="C33" s="6">
        <v>23.482900000000001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794.26384897375215</v>
      </c>
      <c r="M33" s="46"/>
      <c r="N33" s="46"/>
      <c r="O33" s="46"/>
      <c r="P33" s="46"/>
      <c r="Q33" s="46"/>
    </row>
    <row r="34" spans="1:17" ht="15.75" thickBot="1" x14ac:dyDescent="0.3">
      <c r="A34" s="47" t="s">
        <v>309</v>
      </c>
      <c r="B34" s="76">
        <v>2.584380007</v>
      </c>
      <c r="C34" s="6">
        <v>10.757199999999999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363.84156455039391</v>
      </c>
      <c r="M34" s="46"/>
      <c r="N34" s="46"/>
      <c r="O34" s="46"/>
      <c r="P34" s="46"/>
      <c r="Q34" s="46"/>
    </row>
    <row r="35" spans="1:17" ht="15.75" thickBot="1" x14ac:dyDescent="0.3">
      <c r="A35" s="47" t="s">
        <v>310</v>
      </c>
      <c r="B35" s="76">
        <v>2.584380007</v>
      </c>
      <c r="C35" s="6">
        <v>11.315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382.70807486034539</v>
      </c>
      <c r="M35" s="46"/>
      <c r="N35" s="46"/>
      <c r="O35" s="46"/>
      <c r="P35" s="46"/>
      <c r="Q35" s="46"/>
    </row>
    <row r="36" spans="1:17" ht="15.75" thickBot="1" x14ac:dyDescent="0.3">
      <c r="A36" s="47" t="s">
        <v>311</v>
      </c>
      <c r="B36" s="76">
        <v>2.584380007</v>
      </c>
      <c r="C36" s="6">
        <v>13.308299999999999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450.12760695218157</v>
      </c>
      <c r="M36" s="46"/>
      <c r="N36" s="46"/>
      <c r="O36" s="46"/>
      <c r="P36" s="46"/>
      <c r="Q36" s="46"/>
    </row>
    <row r="37" spans="1:17" ht="15.75" thickBot="1" x14ac:dyDescent="0.3">
      <c r="A37" s="47" t="s">
        <v>312</v>
      </c>
      <c r="B37" s="76">
        <v>2.584380007</v>
      </c>
      <c r="C37" s="6">
        <v>11.087199999999999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375.00317875312601</v>
      </c>
      <c r="M37" s="46"/>
      <c r="N37" s="46"/>
      <c r="O37" s="46"/>
      <c r="P37" s="46"/>
      <c r="Q37" s="46"/>
    </row>
    <row r="38" spans="1:17" ht="15.75" thickBot="1" x14ac:dyDescent="0.3">
      <c r="A38" s="47" t="s">
        <v>313</v>
      </c>
      <c r="B38" s="76">
        <v>2.584380007</v>
      </c>
      <c r="C38" s="6">
        <v>8.2750000000000004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279.88593190184343</v>
      </c>
      <c r="M38" s="46"/>
      <c r="N38" s="46"/>
      <c r="O38" s="46"/>
      <c r="P38" s="46"/>
      <c r="Q38" s="46"/>
    </row>
    <row r="39" spans="1:17" ht="15.75" thickBot="1" x14ac:dyDescent="0.3">
      <c r="A39" s="47" t="s">
        <v>314</v>
      </c>
      <c r="B39" s="76">
        <v>2.584380007</v>
      </c>
      <c r="C39" s="6">
        <v>13.467499999999999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455.51224022816632</v>
      </c>
      <c r="M39" s="46"/>
      <c r="N39" s="46"/>
      <c r="O39" s="46"/>
      <c r="P39" s="46"/>
      <c r="Q39" s="46"/>
    </row>
    <row r="40" spans="1:17" ht="15.75" thickBot="1" x14ac:dyDescent="0.3">
      <c r="A40" s="47" t="s">
        <v>315</v>
      </c>
      <c r="B40" s="76">
        <v>2.584380007</v>
      </c>
      <c r="C40" s="6">
        <v>183.94380000000001</v>
      </c>
      <c r="D40" s="6">
        <v>18</v>
      </c>
      <c r="E40" s="6">
        <v>24</v>
      </c>
      <c r="F40" s="6">
        <v>30.45</v>
      </c>
      <c r="G40" s="6">
        <f t="shared" si="0"/>
        <v>11.962499999999999</v>
      </c>
      <c r="H40" s="15">
        <f t="shared" si="1"/>
        <v>5686.7413741118444</v>
      </c>
      <c r="M40" s="46"/>
      <c r="N40" s="46"/>
      <c r="O40" s="46"/>
      <c r="P40" s="46"/>
      <c r="Q40" s="46"/>
    </row>
    <row r="41" spans="1:17" ht="15.75" thickBot="1" x14ac:dyDescent="0.3">
      <c r="A41" s="47" t="s">
        <v>316</v>
      </c>
      <c r="B41" s="76">
        <v>2.584380007</v>
      </c>
      <c r="C41" s="6">
        <v>58.860100000000003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1990.829479194646</v>
      </c>
      <c r="M41" s="46"/>
      <c r="N41" s="46"/>
      <c r="O41" s="46"/>
      <c r="P41" s="46"/>
      <c r="Q41" s="46"/>
    </row>
    <row r="42" spans="1:17" ht="15.75" thickBot="1" x14ac:dyDescent="0.3">
      <c r="A42" s="47" t="s">
        <v>308</v>
      </c>
      <c r="B42" s="76">
        <v>2.584380007</v>
      </c>
      <c r="C42" s="6">
        <v>43.5914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1474.395119263567</v>
      </c>
      <c r="M42" s="46"/>
      <c r="N42" s="46"/>
      <c r="O42" s="46"/>
      <c r="P42" s="46"/>
      <c r="Q42" s="46"/>
    </row>
    <row r="43" spans="1:17" ht="15.75" thickBot="1" x14ac:dyDescent="0.3">
      <c r="A43" s="47" t="s">
        <v>72</v>
      </c>
      <c r="B43" s="76">
        <v>2.584380007</v>
      </c>
      <c r="C43" s="6">
        <v>10.900600000000001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368.6917932675812</v>
      </c>
      <c r="M43" s="46"/>
      <c r="N43" s="46"/>
      <c r="O43" s="46"/>
      <c r="P43" s="46"/>
      <c r="Q43" s="46"/>
    </row>
    <row r="44" spans="1:17" ht="15.75" thickBot="1" x14ac:dyDescent="0.3">
      <c r="A44" s="47" t="s">
        <v>75</v>
      </c>
      <c r="B44" s="76">
        <v>2.584380007</v>
      </c>
      <c r="C44" s="6">
        <v>10.783099999999999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364.71758214994168</v>
      </c>
      <c r="M44" s="46"/>
      <c r="N44" s="46"/>
      <c r="O44" s="46"/>
      <c r="P44" s="46"/>
      <c r="Q44" s="46"/>
    </row>
    <row r="45" spans="1:17" ht="15.75" thickBot="1" x14ac:dyDescent="0.3">
      <c r="A45" s="47" t="s">
        <v>76</v>
      </c>
      <c r="B45" s="76">
        <v>2.584380007</v>
      </c>
      <c r="C45" s="6">
        <v>9.4162999999999997</v>
      </c>
      <c r="D45" s="6">
        <v>18</v>
      </c>
      <c r="E45" s="6">
        <v>22.5</v>
      </c>
      <c r="F45" s="6">
        <v>30.45</v>
      </c>
      <c r="G45" s="6">
        <f t="shared" si="0"/>
        <v>13.087499999999999</v>
      </c>
      <c r="H45" s="15">
        <f t="shared" si="1"/>
        <v>318.48820550662572</v>
      </c>
      <c r="M45" s="46"/>
      <c r="N45" s="46"/>
      <c r="O45" s="46"/>
      <c r="P45" s="46"/>
      <c r="Q45" s="46"/>
    </row>
    <row r="46" spans="1:17" ht="15.75" thickBot="1" x14ac:dyDescent="0.3">
      <c r="A46" s="77" t="s">
        <v>317</v>
      </c>
      <c r="B46" s="78">
        <v>2.584380007</v>
      </c>
      <c r="C46" s="21">
        <v>26.995799999999999</v>
      </c>
      <c r="D46" s="21">
        <v>18</v>
      </c>
      <c r="E46" s="21">
        <v>22.5</v>
      </c>
      <c r="F46" s="21">
        <v>30.45</v>
      </c>
      <c r="G46" s="21">
        <f t="shared" si="0"/>
        <v>13.087499999999999</v>
      </c>
      <c r="H46" s="22">
        <f t="shared" si="1"/>
        <v>913.08092331550256</v>
      </c>
      <c r="M46" s="46"/>
      <c r="N46" s="46"/>
      <c r="O46" s="46"/>
      <c r="P46" s="46"/>
      <c r="Q46" s="46"/>
    </row>
    <row r="47" spans="1:17" ht="15.75" thickBot="1" x14ac:dyDescent="0.3">
      <c r="A47" s="46"/>
      <c r="B47" s="45"/>
      <c r="C47" s="45"/>
      <c r="G47" s="74" t="s">
        <v>161</v>
      </c>
      <c r="H47" s="74">
        <f>SUM(H5:H46)</f>
        <v>32590.037396229796</v>
      </c>
      <c r="M47" s="46"/>
      <c r="N47" s="46"/>
      <c r="O47" s="46"/>
      <c r="P47" s="46"/>
      <c r="Q47" s="46"/>
    </row>
    <row r="48" spans="1:17" x14ac:dyDescent="0.25">
      <c r="A48" s="45"/>
      <c r="B48" s="45"/>
      <c r="C48" s="45"/>
      <c r="G48" s="75"/>
      <c r="M48" s="46"/>
      <c r="N48" s="46"/>
    </row>
    <row r="49" spans="13:14" x14ac:dyDescent="0.25">
      <c r="M49" s="46"/>
      <c r="N49" s="46"/>
    </row>
    <row r="50" spans="13:14" x14ac:dyDescent="0.25">
      <c r="M50" s="46"/>
      <c r="N50" s="46"/>
    </row>
    <row r="51" spans="13:14" x14ac:dyDescent="0.25">
      <c r="M51" s="46"/>
      <c r="N51" s="46"/>
    </row>
    <row r="52" spans="13:14" x14ac:dyDescent="0.25">
      <c r="M52" s="46"/>
      <c r="N52" s="46"/>
    </row>
    <row r="53" spans="13:14" x14ac:dyDescent="0.25">
      <c r="M53" s="46"/>
      <c r="N53" s="46"/>
    </row>
    <row r="54" spans="13:14" x14ac:dyDescent="0.25">
      <c r="M54" s="46"/>
      <c r="N54" s="46"/>
    </row>
    <row r="55" spans="13:14" x14ac:dyDescent="0.25">
      <c r="M55" s="46"/>
      <c r="N55" s="46"/>
    </row>
    <row r="56" spans="13:14" x14ac:dyDescent="0.25">
      <c r="M56" s="46"/>
      <c r="N56" s="46"/>
    </row>
    <row r="57" spans="13:14" x14ac:dyDescent="0.25">
      <c r="M57" s="46"/>
      <c r="N57" s="46"/>
    </row>
    <row r="58" spans="13:14" x14ac:dyDescent="0.25">
      <c r="M58" s="46"/>
      <c r="N58" s="46"/>
    </row>
    <row r="59" spans="13:14" x14ac:dyDescent="0.25">
      <c r="M59" s="46"/>
      <c r="N59" s="46"/>
    </row>
    <row r="60" spans="13:14" x14ac:dyDescent="0.25">
      <c r="M60" s="46"/>
      <c r="N60" s="46"/>
    </row>
    <row r="61" spans="13:14" x14ac:dyDescent="0.25">
      <c r="M61" s="46"/>
      <c r="N61" s="46"/>
    </row>
    <row r="62" spans="13:14" x14ac:dyDescent="0.25">
      <c r="M62" s="46"/>
      <c r="N62" s="46"/>
    </row>
    <row r="63" spans="13:14" x14ac:dyDescent="0.25">
      <c r="M63" s="46"/>
      <c r="N63" s="46"/>
    </row>
    <row r="64" spans="13:14" x14ac:dyDescent="0.25">
      <c r="M64" s="46"/>
      <c r="N64" s="46"/>
    </row>
    <row r="65" spans="13:14" x14ac:dyDescent="0.25">
      <c r="M65" s="46"/>
      <c r="N65" s="46"/>
    </row>
    <row r="66" spans="13:14" x14ac:dyDescent="0.25">
      <c r="M66" s="46"/>
      <c r="N66" s="46"/>
    </row>
    <row r="67" spans="13:14" x14ac:dyDescent="0.25">
      <c r="M67" s="46"/>
      <c r="N67" s="46"/>
    </row>
    <row r="68" spans="13:14" x14ac:dyDescent="0.25">
      <c r="M68" s="46"/>
      <c r="N68" s="46"/>
    </row>
    <row r="69" spans="13:14" x14ac:dyDescent="0.25">
      <c r="M69" s="46"/>
      <c r="N69" s="46"/>
    </row>
    <row r="70" spans="13:14" x14ac:dyDescent="0.25">
      <c r="M70" s="46"/>
      <c r="N70" s="46"/>
    </row>
    <row r="71" spans="13:14" x14ac:dyDescent="0.25">
      <c r="M71" s="46"/>
      <c r="N71" s="46"/>
    </row>
    <row r="72" spans="13:14" x14ac:dyDescent="0.25">
      <c r="M72" s="46"/>
      <c r="N72" s="46"/>
    </row>
    <row r="73" spans="13:14" x14ac:dyDescent="0.25">
      <c r="M73" s="46"/>
      <c r="N73" s="46"/>
    </row>
    <row r="74" spans="13:14" x14ac:dyDescent="0.25">
      <c r="M74" s="46"/>
      <c r="N74" s="46"/>
    </row>
    <row r="75" spans="13:14" x14ac:dyDescent="0.25">
      <c r="M75" s="46"/>
      <c r="N75" s="46"/>
    </row>
  </sheetData>
  <mergeCells count="14">
    <mergeCell ref="L8:N9"/>
    <mergeCell ref="O8:Q9"/>
    <mergeCell ref="L4:N4"/>
    <mergeCell ref="O4:Q4"/>
    <mergeCell ref="L5:N5"/>
    <mergeCell ref="O5:Q5"/>
    <mergeCell ref="L6:N6"/>
    <mergeCell ref="O6:Q6"/>
    <mergeCell ref="A1:H1"/>
    <mergeCell ref="A3:H3"/>
    <mergeCell ref="A2:H2"/>
    <mergeCell ref="L3:Q3"/>
    <mergeCell ref="L7:N7"/>
    <mergeCell ref="O7:Q7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6"/>
  <sheetViews>
    <sheetView topLeftCell="A25" workbookViewId="0">
      <selection activeCell="A28" sqref="A28"/>
    </sheetView>
  </sheetViews>
  <sheetFormatPr defaultRowHeight="15" x14ac:dyDescent="0.25"/>
  <cols>
    <col min="1" max="1" width="33.5703125" style="79" customWidth="1"/>
    <col min="2" max="2" width="35.42578125" style="79" customWidth="1"/>
    <col min="3" max="10" width="8.85546875" customWidth="1"/>
  </cols>
  <sheetData>
    <row r="1" spans="1:16" ht="23.25" x14ac:dyDescent="0.25">
      <c r="A1" s="159" t="s">
        <v>536</v>
      </c>
      <c r="B1" s="159"/>
      <c r="C1" s="159"/>
      <c r="D1" s="159"/>
      <c r="E1" s="159"/>
      <c r="F1" s="159"/>
      <c r="G1" s="159"/>
      <c r="H1" s="134"/>
      <c r="I1" s="113"/>
    </row>
    <row r="2" spans="1:16" s="121" customFormat="1" ht="24" thickBot="1" x14ac:dyDescent="0.4">
      <c r="A2" s="157" t="s">
        <v>160</v>
      </c>
      <c r="B2" s="157"/>
      <c r="C2" s="157"/>
      <c r="D2" s="157"/>
      <c r="E2" s="157"/>
      <c r="F2" s="157"/>
      <c r="G2" s="157"/>
      <c r="H2" s="105"/>
    </row>
    <row r="3" spans="1:16" ht="15.75" thickBot="1" x14ac:dyDescent="0.3">
      <c r="A3" s="81" t="s">
        <v>0</v>
      </c>
      <c r="B3" s="82" t="s">
        <v>428</v>
      </c>
      <c r="C3" s="35" t="s">
        <v>2</v>
      </c>
      <c r="D3" s="35" t="s">
        <v>429</v>
      </c>
      <c r="E3" s="35" t="s">
        <v>7</v>
      </c>
      <c r="F3" s="35" t="s">
        <v>470</v>
      </c>
      <c r="G3" s="24" t="s">
        <v>430</v>
      </c>
      <c r="K3" s="160" t="s">
        <v>539</v>
      </c>
      <c r="L3" s="160"/>
      <c r="M3" s="160"/>
      <c r="N3" s="160"/>
      <c r="O3" s="160"/>
      <c r="P3" s="160"/>
    </row>
    <row r="4" spans="1:16" ht="15.75" thickBot="1" x14ac:dyDescent="0.3">
      <c r="A4" s="83" t="s">
        <v>54</v>
      </c>
      <c r="B4" s="84" t="s">
        <v>64</v>
      </c>
      <c r="C4" s="21">
        <v>2.7143999999999999</v>
      </c>
      <c r="D4" s="6">
        <f>References!AI4-References!AH4-References!AG4</f>
        <v>22.2</v>
      </c>
      <c r="E4" s="6">
        <v>22.5</v>
      </c>
      <c r="F4" s="6">
        <v>28</v>
      </c>
      <c r="G4" s="15">
        <f>ABS(Table14[[#This Row],[U]]*Table14[[#This Row],[A]]*(Table14[[#This Row],[Ti2]]-Table14[[#This Row],[Ti]]))</f>
        <v>331.42823999999996</v>
      </c>
      <c r="K4" s="161"/>
      <c r="L4" s="161"/>
      <c r="M4" s="161"/>
      <c r="N4" s="161" t="s">
        <v>430</v>
      </c>
      <c r="O4" s="161"/>
      <c r="P4" s="161"/>
    </row>
    <row r="5" spans="1:16" ht="15.75" thickBot="1" x14ac:dyDescent="0.3">
      <c r="A5" s="83"/>
      <c r="B5" s="84" t="s">
        <v>432</v>
      </c>
      <c r="C5" s="21">
        <v>2.7143999999999999</v>
      </c>
      <c r="D5" s="6">
        <f>References!AI5-References!AH5-References!AG5</f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 s="162" t="s">
        <v>160</v>
      </c>
      <c r="L5" s="162"/>
      <c r="M5" s="162"/>
      <c r="N5" s="162">
        <f>G90</f>
        <v>18554.539067999998</v>
      </c>
      <c r="O5" s="162"/>
      <c r="P5" s="162"/>
    </row>
    <row r="6" spans="1:16" ht="15.75" thickBot="1" x14ac:dyDescent="0.3">
      <c r="A6" s="83" t="s">
        <v>431</v>
      </c>
      <c r="B6" s="84" t="s">
        <v>432</v>
      </c>
      <c r="C6" s="21">
        <v>2.7143999999999999</v>
      </c>
      <c r="D6" s="6">
        <f>References!AI6-References!AH6-References!AG6</f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K6" s="162" t="s">
        <v>41</v>
      </c>
      <c r="L6" s="162"/>
      <c r="M6" s="162"/>
      <c r="N6" s="162">
        <f>G198</f>
        <v>19890.591177600007</v>
      </c>
      <c r="O6" s="162"/>
      <c r="P6" s="162"/>
    </row>
    <row r="7" spans="1:16" ht="15.75" thickBot="1" x14ac:dyDescent="0.3">
      <c r="A7" s="83" t="s">
        <v>432</v>
      </c>
      <c r="B7" s="84" t="s">
        <v>64</v>
      </c>
      <c r="C7" s="21">
        <v>2.7143999999999999</v>
      </c>
      <c r="D7" s="6">
        <f>References!AI7-References!AH7-References!AG7</f>
        <v>12</v>
      </c>
      <c r="E7" s="6">
        <v>24</v>
      </c>
      <c r="F7" s="6">
        <v>28</v>
      </c>
      <c r="G7" s="15">
        <f>ABS(Table14[[#This Row],[U]]*Table14[[#This Row],[A]]*(Table14[[#This Row],[Ti2]]-Table14[[#This Row],[Ti]]))</f>
        <v>130.2912</v>
      </c>
      <c r="K7" s="162" t="s">
        <v>59</v>
      </c>
      <c r="L7" s="162"/>
      <c r="M7" s="162"/>
      <c r="N7" s="162">
        <f>G296</f>
        <v>17107.397424000003</v>
      </c>
      <c r="O7" s="162"/>
      <c r="P7" s="162"/>
    </row>
    <row r="8" spans="1:16" ht="15.75" thickBot="1" x14ac:dyDescent="0.3">
      <c r="A8" s="83"/>
      <c r="B8" s="84" t="s">
        <v>433</v>
      </c>
      <c r="C8" s="21">
        <v>2.7143999999999999</v>
      </c>
      <c r="D8" s="6">
        <f>References!AI8-References!AH8-References!AG8</f>
        <v>11.6</v>
      </c>
      <c r="E8" s="6">
        <v>24</v>
      </c>
      <c r="F8" s="6">
        <v>22.5</v>
      </c>
      <c r="G8" s="15">
        <f>ABS(Table14[[#This Row],[U]]*Table14[[#This Row],[A]]*(Table14[[#This Row],[Ti2]]-Table14[[#This Row],[Ti]]))</f>
        <v>47.230559999999997</v>
      </c>
      <c r="K8" s="163" t="s">
        <v>540</v>
      </c>
      <c r="L8" s="163"/>
      <c r="M8" s="163"/>
      <c r="N8" s="151">
        <f>N5+N6+N7</f>
        <v>55552.527669600007</v>
      </c>
      <c r="O8" s="152"/>
      <c r="P8" s="153"/>
    </row>
    <row r="9" spans="1:16" ht="15.75" thickBot="1" x14ac:dyDescent="0.3">
      <c r="A9" s="83" t="s">
        <v>433</v>
      </c>
      <c r="B9" s="84" t="s">
        <v>64</v>
      </c>
      <c r="C9" s="21">
        <v>2.7143999999999999</v>
      </c>
      <c r="D9" s="6">
        <f>References!AI9-References!AH9-References!AG9</f>
        <v>26.6</v>
      </c>
      <c r="E9" s="6">
        <v>22.5</v>
      </c>
      <c r="F9" s="6">
        <v>28</v>
      </c>
      <c r="G9" s="15">
        <f>ABS(Table14[[#This Row],[U]]*Table14[[#This Row],[A]]*(Table14[[#This Row],[Ti2]]-Table14[[#This Row],[Ti]]))</f>
        <v>397.11671999999999</v>
      </c>
      <c r="K9" s="163"/>
      <c r="L9" s="163"/>
      <c r="M9" s="163"/>
      <c r="N9" s="154"/>
      <c r="O9" s="155"/>
      <c r="P9" s="156"/>
    </row>
    <row r="10" spans="1:16" ht="15.75" thickBot="1" x14ac:dyDescent="0.3">
      <c r="A10" s="83"/>
      <c r="B10" s="84" t="s">
        <v>434</v>
      </c>
      <c r="C10" s="21">
        <v>2.7143999999999999</v>
      </c>
      <c r="D10" s="6">
        <f>References!AI10-References!AH10-References!AG10</f>
        <v>11.68</v>
      </c>
      <c r="E10" s="6">
        <v>22.5</v>
      </c>
      <c r="F10" s="6">
        <v>24</v>
      </c>
      <c r="G10" s="15">
        <f>ABS(Table14[[#This Row],[U]]*Table14[[#This Row],[A]]*(Table14[[#This Row],[Ti2]]-Table14[[#This Row],[Ti]]))</f>
        <v>47.556287999999995</v>
      </c>
    </row>
    <row r="11" spans="1:16" ht="15.75" thickBot="1" x14ac:dyDescent="0.3">
      <c r="A11" s="83" t="s">
        <v>57</v>
      </c>
      <c r="B11" s="84" t="s">
        <v>64</v>
      </c>
      <c r="C11" s="21">
        <v>2.7143999999999999</v>
      </c>
      <c r="D11" s="6">
        <f>References!AI11-References!AH11-References!AG11</f>
        <v>36.200000000000003</v>
      </c>
      <c r="E11" s="6">
        <v>24</v>
      </c>
      <c r="F11" s="6">
        <v>28</v>
      </c>
      <c r="G11" s="15">
        <f>ABS(Table14[[#This Row],[U]]*Table14[[#This Row],[A]]*(Table14[[#This Row],[Ti2]]-Table14[[#This Row],[Ti]]))</f>
        <v>393.04512</v>
      </c>
    </row>
    <row r="12" spans="1:16" ht="15.75" thickBot="1" x14ac:dyDescent="0.3">
      <c r="A12" s="83" t="s">
        <v>58</v>
      </c>
      <c r="B12" s="84" t="s">
        <v>64</v>
      </c>
      <c r="C12" s="21">
        <v>2.7143999999999999</v>
      </c>
      <c r="D12" s="6">
        <f>References!AI12-References!AH12-References!AG12</f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</row>
    <row r="13" spans="1:16" ht="15.75" thickBot="1" x14ac:dyDescent="0.3">
      <c r="A13" s="83" t="s">
        <v>102</v>
      </c>
      <c r="B13" s="84" t="s">
        <v>64</v>
      </c>
      <c r="C13" s="21">
        <v>2.7143999999999999</v>
      </c>
      <c r="D13" s="6">
        <f>References!AI13-References!AH13-References!AG13</f>
        <v>24.2</v>
      </c>
      <c r="E13" s="6">
        <v>22</v>
      </c>
      <c r="F13" s="6">
        <v>28</v>
      </c>
      <c r="G13" s="15">
        <f>ABS(Table14[[#This Row],[U]]*Table14[[#This Row],[A]]*(Table14[[#This Row],[Ti2]]-Table14[[#This Row],[Ti]]))</f>
        <v>394.13087999999999</v>
      </c>
    </row>
    <row r="14" spans="1:16" ht="15.75" thickBot="1" x14ac:dyDescent="0.3">
      <c r="A14" s="83"/>
      <c r="B14" s="84" t="s">
        <v>105</v>
      </c>
      <c r="C14" s="21">
        <v>2.7143999999999999</v>
      </c>
      <c r="D14" s="6">
        <f>References!AI14-References!AH14-References!AG14</f>
        <v>18.799999999999997</v>
      </c>
      <c r="E14" s="6">
        <v>22</v>
      </c>
      <c r="F14" s="6">
        <v>22.5</v>
      </c>
      <c r="G14" s="15">
        <f>ABS(Table14[[#This Row],[U]]*Table14[[#This Row],[A]]*(Table14[[#This Row],[Ti2]]-Table14[[#This Row],[Ti]]))</f>
        <v>25.515359999999994</v>
      </c>
    </row>
    <row r="15" spans="1:16" ht="15.75" thickBot="1" x14ac:dyDescent="0.3">
      <c r="A15" s="83"/>
      <c r="B15" s="84" t="s">
        <v>436</v>
      </c>
      <c r="C15" s="21">
        <v>2.7143999999999999</v>
      </c>
      <c r="D15" s="6">
        <f>References!AI15-References!AH15-References!AG15</f>
        <v>7.72</v>
      </c>
      <c r="E15" s="6">
        <v>22</v>
      </c>
      <c r="F15" s="6">
        <v>24</v>
      </c>
      <c r="G15" s="15">
        <f>ABS(Table14[[#This Row],[U]]*Table14[[#This Row],[A]]*(Table14[[#This Row],[Ti2]]-Table14[[#This Row],[Ti]]))</f>
        <v>41.910336000000001</v>
      </c>
    </row>
    <row r="16" spans="1:16" ht="15.75" thickBot="1" x14ac:dyDescent="0.3">
      <c r="A16" s="83"/>
      <c r="B16" s="84" t="s">
        <v>435</v>
      </c>
      <c r="C16" s="21">
        <v>2.7143999999999999</v>
      </c>
      <c r="D16" s="6">
        <f>References!AI16-References!AH16-References!AG16</f>
        <v>11.2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60.802559999999993</v>
      </c>
    </row>
    <row r="17" spans="1:7" ht="15.75" thickBot="1" x14ac:dyDescent="0.3">
      <c r="A17" s="83" t="s">
        <v>440</v>
      </c>
      <c r="B17" s="84" t="s">
        <v>105</v>
      </c>
      <c r="C17" s="21">
        <v>2.7143999999999999</v>
      </c>
      <c r="D17" s="6">
        <f>References!AI17-References!AH17-References!AG17</f>
        <v>6.4000000000000012</v>
      </c>
      <c r="E17" s="6">
        <v>24</v>
      </c>
      <c r="F17" s="6">
        <v>22.5</v>
      </c>
      <c r="G17" s="15">
        <f>ABS(Table14[[#This Row],[U]]*Table14[[#This Row],[A]]*(Table14[[#This Row],[Ti2]]-Table14[[#This Row],[Ti]]))</f>
        <v>26.058240000000005</v>
      </c>
    </row>
    <row r="18" spans="1:7" ht="15.75" thickBot="1" x14ac:dyDescent="0.3">
      <c r="A18" s="83" t="s">
        <v>437</v>
      </c>
      <c r="B18" s="84" t="s">
        <v>436</v>
      </c>
      <c r="C18" s="21">
        <v>2.7143999999999999</v>
      </c>
      <c r="D18" s="6">
        <f>References!AI18-References!AH18-References!AG18</f>
        <v>5.92</v>
      </c>
      <c r="E18" s="6">
        <v>22.5</v>
      </c>
      <c r="F18" s="6">
        <v>24</v>
      </c>
      <c r="G18" s="15">
        <f>ABS(Table14[[#This Row],[U]]*Table14[[#This Row],[A]]*(Table14[[#This Row],[Ti2]]-Table14[[#This Row],[Ti]]))</f>
        <v>24.103871999999996</v>
      </c>
    </row>
    <row r="19" spans="1:7" ht="15.75" thickBot="1" x14ac:dyDescent="0.3">
      <c r="A19" s="83" t="s">
        <v>105</v>
      </c>
      <c r="B19" s="84" t="s">
        <v>64</v>
      </c>
      <c r="C19" s="21">
        <v>2.7143999999999999</v>
      </c>
      <c r="D19" s="6">
        <f>References!AI19-References!AH19-References!AG19</f>
        <v>31.200000000000003</v>
      </c>
      <c r="E19" s="6">
        <v>22.5</v>
      </c>
      <c r="F19" s="6">
        <v>28</v>
      </c>
      <c r="G19" s="15">
        <f>ABS(Table14[[#This Row],[U]]*Table14[[#This Row],[A]]*(Table14[[#This Row],[Ti2]]-Table14[[#This Row],[Ti]]))</f>
        <v>465.79104000000007</v>
      </c>
    </row>
    <row r="20" spans="1:7" ht="15.75" thickBot="1" x14ac:dyDescent="0.3">
      <c r="A20" s="83"/>
      <c r="B20" s="84" t="s">
        <v>439</v>
      </c>
      <c r="C20" s="21">
        <v>2.7143999999999999</v>
      </c>
      <c r="D20" s="6">
        <f>References!AI20-References!AH20-References!AG20</f>
        <v>3.4000000000000004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13.843440000000001</v>
      </c>
    </row>
    <row r="21" spans="1:7" ht="15.75" thickBot="1" x14ac:dyDescent="0.3">
      <c r="A21" s="83" t="s">
        <v>438</v>
      </c>
      <c r="B21" s="84" t="s">
        <v>439</v>
      </c>
      <c r="C21" s="21">
        <v>2.7143999999999999</v>
      </c>
      <c r="D21" s="6">
        <f>References!AI21-References!AH21-References!AG21</f>
        <v>10.4</v>
      </c>
      <c r="E21" s="6">
        <v>22.5</v>
      </c>
      <c r="F21" s="6">
        <v>24</v>
      </c>
      <c r="G21" s="15">
        <f>ABS(Table14[[#This Row],[U]]*Table14[[#This Row],[A]]*(Table14[[#This Row],[Ti2]]-Table14[[#This Row],[Ti]]))</f>
        <v>42.344639999999998</v>
      </c>
    </row>
    <row r="22" spans="1:7" ht="15.75" thickBot="1" x14ac:dyDescent="0.3">
      <c r="A22" s="83"/>
      <c r="B22" s="84" t="s">
        <v>64</v>
      </c>
      <c r="C22" s="21">
        <v>2.7143999999999999</v>
      </c>
      <c r="D22" s="6">
        <f>References!AI22-References!AH22-References!AG22</f>
        <v>10.6</v>
      </c>
      <c r="E22" s="6">
        <v>22.5</v>
      </c>
      <c r="F22" s="6">
        <v>28</v>
      </c>
      <c r="G22" s="15">
        <f>ABS(Table14[[#This Row],[U]]*Table14[[#This Row],[A]]*(Table14[[#This Row],[Ti2]]-Table14[[#This Row],[Ti]]))</f>
        <v>158.24951999999999</v>
      </c>
    </row>
    <row r="23" spans="1:7" ht="15.75" thickBot="1" x14ac:dyDescent="0.3">
      <c r="A23" s="83" t="s">
        <v>40</v>
      </c>
      <c r="B23" s="84" t="s">
        <v>64</v>
      </c>
      <c r="C23" s="21">
        <v>2.7143999999999999</v>
      </c>
      <c r="D23" s="6">
        <f>References!AI23-References!AH23-References!AG23</f>
        <v>10.4</v>
      </c>
      <c r="E23" s="6">
        <v>22.5</v>
      </c>
      <c r="F23" s="6">
        <v>28</v>
      </c>
      <c r="G23" s="15">
        <f>ABS(Table14[[#This Row],[U]]*Table14[[#This Row],[A]]*(Table14[[#This Row],[Ti2]]-Table14[[#This Row],[Ti]]))</f>
        <v>155.26367999999999</v>
      </c>
    </row>
    <row r="24" spans="1:7" ht="15.75" thickBot="1" x14ac:dyDescent="0.3">
      <c r="A24" s="83"/>
      <c r="B24" s="84" t="s">
        <v>345</v>
      </c>
      <c r="C24" s="21">
        <v>2.7143999999999999</v>
      </c>
      <c r="D24" s="6">
        <f>References!AI24-References!AH24-References!AG24</f>
        <v>24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97.718400000000003</v>
      </c>
    </row>
    <row r="25" spans="1:7" ht="15.75" thickBot="1" x14ac:dyDescent="0.3">
      <c r="A25" s="83"/>
      <c r="B25" s="84" t="s">
        <v>120</v>
      </c>
      <c r="C25" s="21">
        <v>2.7143999999999999</v>
      </c>
      <c r="D25" s="6">
        <f>References!AI25-References!AH25-References!AG25</f>
        <v>5.2</v>
      </c>
      <c r="E25" s="6">
        <v>22.5</v>
      </c>
      <c r="F25" s="6">
        <v>22</v>
      </c>
      <c r="G25" s="15">
        <f>ABS(Table14[[#This Row],[U]]*Table14[[#This Row],[A]]*(Table14[[#This Row],[Ti2]]-Table14[[#This Row],[Ti]]))</f>
        <v>7.0574399999999997</v>
      </c>
    </row>
    <row r="26" spans="1:7" ht="15.75" thickBot="1" x14ac:dyDescent="0.3">
      <c r="A26" s="83" t="s">
        <v>345</v>
      </c>
      <c r="B26" s="84" t="s">
        <v>64</v>
      </c>
      <c r="C26" s="21">
        <v>2.7143999999999999</v>
      </c>
      <c r="D26" s="6">
        <f>References!AI26-References!AH26-References!AG26</f>
        <v>41.6</v>
      </c>
      <c r="E26" s="6">
        <v>24</v>
      </c>
      <c r="F26" s="6">
        <v>28</v>
      </c>
      <c r="G26" s="15">
        <f>ABS(Table14[[#This Row],[U]]*Table14[[#This Row],[A]]*(Table14[[#This Row],[Ti2]]-Table14[[#This Row],[Ti]]))</f>
        <v>451.67615999999998</v>
      </c>
    </row>
    <row r="27" spans="1:7" ht="15.75" thickBot="1" x14ac:dyDescent="0.3">
      <c r="A27" s="83"/>
      <c r="B27" s="84" t="s">
        <v>120</v>
      </c>
      <c r="C27" s="21">
        <v>2.7143999999999999</v>
      </c>
      <c r="D27" s="6">
        <f>References!AI27-References!AH27-References!AG27</f>
        <v>22</v>
      </c>
      <c r="E27" s="6">
        <v>24</v>
      </c>
      <c r="F27" s="6">
        <v>22</v>
      </c>
      <c r="G27" s="15">
        <f>ABS(Table14[[#This Row],[U]]*Table14[[#This Row],[A]]*(Table14[[#This Row],[Ti2]]-Table14[[#This Row],[Ti]]))</f>
        <v>119.4336</v>
      </c>
    </row>
    <row r="28" spans="1:7" ht="15.75" thickBot="1" x14ac:dyDescent="0.3">
      <c r="A28" s="83" t="s">
        <v>347</v>
      </c>
      <c r="B28" s="84" t="s">
        <v>441</v>
      </c>
      <c r="C28" s="21">
        <v>2.7143999999999999</v>
      </c>
      <c r="D28" s="6">
        <f>References!AI28-References!AH28-References!AG28</f>
        <v>15.399999999999999</v>
      </c>
      <c r="E28" s="6">
        <v>22.5</v>
      </c>
      <c r="F28" s="6">
        <v>24</v>
      </c>
      <c r="G28" s="15">
        <f>ABS(Table14[[#This Row],[U]]*Table14[[#This Row],[A]]*(Table14[[#This Row],[Ti2]]-Table14[[#This Row],[Ti]]))</f>
        <v>62.702639999999988</v>
      </c>
    </row>
    <row r="29" spans="1:7" ht="15.75" thickBot="1" x14ac:dyDescent="0.3">
      <c r="A29" s="83"/>
      <c r="B29" s="84" t="s">
        <v>64</v>
      </c>
      <c r="C29" s="21">
        <v>2.7143999999999999</v>
      </c>
      <c r="D29" s="6">
        <f>References!AI29-References!AH29-References!AG29</f>
        <v>54.2</v>
      </c>
      <c r="E29" s="6">
        <v>22.5</v>
      </c>
      <c r="F29" s="6">
        <v>28</v>
      </c>
      <c r="G29" s="15">
        <f>ABS(Table14[[#This Row],[U]]*Table14[[#This Row],[A]]*(Table14[[#This Row],[Ti2]]-Table14[[#This Row],[Ti]]))</f>
        <v>809.16264000000012</v>
      </c>
    </row>
    <row r="30" spans="1:7" ht="15.75" thickBot="1" x14ac:dyDescent="0.3">
      <c r="A30" s="83" t="s">
        <v>441</v>
      </c>
      <c r="B30" s="84" t="s">
        <v>64</v>
      </c>
      <c r="C30" s="21">
        <v>2.7143999999999999</v>
      </c>
      <c r="D30" s="6">
        <f>References!AI30-References!AH30-References!AG30</f>
        <v>16.8</v>
      </c>
      <c r="E30" s="6">
        <v>24</v>
      </c>
      <c r="F30" s="6">
        <v>28</v>
      </c>
      <c r="G30" s="15">
        <f>ABS(Table14[[#This Row],[U]]*Table14[[#This Row],[A]]*(Table14[[#This Row],[Ti2]]-Table14[[#This Row],[Ti]]))</f>
        <v>182.40768</v>
      </c>
    </row>
    <row r="31" spans="1:7" ht="15.75" thickBot="1" x14ac:dyDescent="0.3">
      <c r="A31" s="83" t="s">
        <v>442</v>
      </c>
      <c r="B31" s="84" t="s">
        <v>64</v>
      </c>
      <c r="C31" s="21">
        <v>2.7143999999999999</v>
      </c>
      <c r="D31" s="6">
        <f>References!AI31-References!AH31-References!AG31</f>
        <v>45.320000000000007</v>
      </c>
      <c r="E31" s="6">
        <v>22.5</v>
      </c>
      <c r="F31" s="6">
        <v>28</v>
      </c>
      <c r="G31" s="15">
        <f>ABS(Table14[[#This Row],[U]]*Table14[[#This Row],[A]]*(Table14[[#This Row],[Ti2]]-Table14[[#This Row],[Ti]]))</f>
        <v>676.59134400000016</v>
      </c>
    </row>
    <row r="32" spans="1:7" ht="15.75" thickBot="1" x14ac:dyDescent="0.3">
      <c r="A32" s="83" t="s">
        <v>349</v>
      </c>
      <c r="B32" s="84" t="s">
        <v>64</v>
      </c>
      <c r="C32" s="21">
        <v>2.7143999999999999</v>
      </c>
      <c r="D32" s="6">
        <f>References!AI32-References!AH32-References!AG32</f>
        <v>43.800000000000004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653.89895999999999</v>
      </c>
    </row>
    <row r="33" spans="1:7" ht="15.75" thickBot="1" x14ac:dyDescent="0.3">
      <c r="A33" s="83" t="s">
        <v>120</v>
      </c>
      <c r="B33" s="84" t="s">
        <v>119</v>
      </c>
      <c r="C33" s="21">
        <v>2.7143999999999999</v>
      </c>
      <c r="D33" s="6">
        <f>References!AI33-References!AH33-References!AG33</f>
        <v>9</v>
      </c>
      <c r="E33" s="6">
        <v>22</v>
      </c>
      <c r="F33" s="6">
        <v>24</v>
      </c>
      <c r="G33" s="15">
        <f>ABS(Table14[[#This Row],[U]]*Table14[[#This Row],[A]]*(Table14[[#This Row],[Ti2]]-Table14[[#This Row],[Ti]]))</f>
        <v>48.859200000000001</v>
      </c>
    </row>
    <row r="34" spans="1:7" ht="15.75" thickBot="1" x14ac:dyDescent="0.3">
      <c r="A34" s="83"/>
      <c r="B34" s="84" t="s">
        <v>308</v>
      </c>
      <c r="C34" s="21">
        <v>2.7143999999999999</v>
      </c>
      <c r="D34" s="6">
        <f>References!AI34-References!AH34-References!AG34</f>
        <v>19.8</v>
      </c>
      <c r="E34" s="6">
        <v>22</v>
      </c>
      <c r="F34" s="6">
        <v>22.5</v>
      </c>
      <c r="G34" s="15">
        <f>ABS(Table14[[#This Row],[U]]*Table14[[#This Row],[A]]*(Table14[[#This Row],[Ti2]]-Table14[[#This Row],[Ti]]))</f>
        <v>26.87256</v>
      </c>
    </row>
    <row r="35" spans="1:7" ht="15.75" thickBot="1" x14ac:dyDescent="0.3">
      <c r="A35" s="83"/>
      <c r="B35" s="84" t="s">
        <v>64</v>
      </c>
      <c r="C35" s="21">
        <v>2.7143999999999999</v>
      </c>
      <c r="D35" s="6">
        <f>References!AI35-References!AH35-References!AG35</f>
        <v>12.2</v>
      </c>
      <c r="E35" s="6">
        <v>22</v>
      </c>
      <c r="F35" s="6">
        <v>28</v>
      </c>
      <c r="G35" s="15">
        <f>ABS(Table14[[#This Row],[U]]*Table14[[#This Row],[A]]*(Table14[[#This Row],[Ti2]]-Table14[[#This Row],[Ti]]))</f>
        <v>198.69407999999999</v>
      </c>
    </row>
    <row r="36" spans="1:7" ht="15.75" thickBot="1" x14ac:dyDescent="0.3">
      <c r="A36" s="83" t="s">
        <v>37</v>
      </c>
      <c r="B36" s="84" t="s">
        <v>308</v>
      </c>
      <c r="C36" s="21">
        <v>2.7143999999999999</v>
      </c>
      <c r="D36" s="6">
        <f>References!AI36-References!AH36-References!AG36</f>
        <v>5.8</v>
      </c>
      <c r="E36" s="6">
        <v>24</v>
      </c>
      <c r="F36" s="6">
        <v>22.5</v>
      </c>
      <c r="G36" s="15">
        <f>ABS(Table14[[#This Row],[U]]*Table14[[#This Row],[A]]*(Table14[[#This Row],[Ti2]]-Table14[[#This Row],[Ti]]))</f>
        <v>23.615279999999998</v>
      </c>
    </row>
    <row r="37" spans="1:7" ht="15.75" thickBot="1" x14ac:dyDescent="0.3">
      <c r="A37" s="83"/>
      <c r="B37" s="84" t="s">
        <v>443</v>
      </c>
      <c r="C37" s="21">
        <v>2.7143999999999999</v>
      </c>
      <c r="D37" s="6">
        <f>References!AI37-References!AH37-References!AG37</f>
        <v>14.6</v>
      </c>
      <c r="E37" s="6">
        <v>24</v>
      </c>
      <c r="F37" s="6">
        <v>22.5</v>
      </c>
      <c r="G37" s="15">
        <f>ABS(Table14[[#This Row],[U]]*Table14[[#This Row],[A]]*(Table14[[#This Row],[Ti2]]-Table14[[#This Row],[Ti]]))</f>
        <v>59.445360000000001</v>
      </c>
    </row>
    <row r="38" spans="1:7" ht="15.75" thickBot="1" x14ac:dyDescent="0.3">
      <c r="A38" s="83"/>
      <c r="B38" s="84" t="s">
        <v>444</v>
      </c>
      <c r="C38" s="21">
        <v>2.7143999999999999</v>
      </c>
      <c r="D38" s="6">
        <f>References!AI38-References!AH38-References!AG38</f>
        <v>4.84</v>
      </c>
      <c r="E38" s="6">
        <v>24</v>
      </c>
      <c r="F38" s="6">
        <v>22.5</v>
      </c>
      <c r="G38" s="15">
        <f>ABS(Table14[[#This Row],[U]]*Table14[[#This Row],[A]]*(Table14[[#This Row],[Ti2]]-Table14[[#This Row],[Ti]]))</f>
        <v>19.706544000000001</v>
      </c>
    </row>
    <row r="39" spans="1:7" ht="15.75" thickBot="1" x14ac:dyDescent="0.3">
      <c r="A39" s="83" t="s">
        <v>308</v>
      </c>
      <c r="B39" s="84" t="s">
        <v>119</v>
      </c>
      <c r="C39" s="21">
        <v>2.7143999999999999</v>
      </c>
      <c r="D39" s="6">
        <f>References!AI39-References!AH39-References!AG39</f>
        <v>4.6000000000000005</v>
      </c>
      <c r="E39" s="6">
        <v>22.5</v>
      </c>
      <c r="F39" s="6">
        <v>24</v>
      </c>
      <c r="G39" s="15">
        <f>ABS(Table14[[#This Row],[U]]*Table14[[#This Row],[A]]*(Table14[[#This Row],[Ti2]]-Table14[[#This Row],[Ti]]))</f>
        <v>18.72936</v>
      </c>
    </row>
    <row r="40" spans="1:7" ht="15.75" thickBot="1" x14ac:dyDescent="0.3">
      <c r="A40" s="83"/>
      <c r="B40" s="84" t="s">
        <v>64</v>
      </c>
      <c r="C40" s="21">
        <v>2.7143999999999999</v>
      </c>
      <c r="D40" s="6">
        <f>References!AI40-References!AH40-References!AG40</f>
        <v>15.999999999999998</v>
      </c>
      <c r="E40" s="6">
        <v>22.5</v>
      </c>
      <c r="F40" s="6">
        <v>28</v>
      </c>
      <c r="G40" s="15">
        <f>ABS(Table14[[#This Row],[U]]*Table14[[#This Row],[A]]*(Table14[[#This Row],[Ti2]]-Table14[[#This Row],[Ti]]))</f>
        <v>238.86719999999997</v>
      </c>
    </row>
    <row r="41" spans="1:7" ht="15.75" thickBot="1" x14ac:dyDescent="0.3">
      <c r="A41" s="83" t="s">
        <v>443</v>
      </c>
      <c r="B41" s="84" t="s">
        <v>448</v>
      </c>
      <c r="C41" s="21">
        <v>2.7143999999999999</v>
      </c>
      <c r="D41" s="6">
        <f>References!AI41-References!AH41-References!AG41</f>
        <v>6</v>
      </c>
      <c r="E41" s="6">
        <v>22.5</v>
      </c>
      <c r="F41" s="6">
        <v>24</v>
      </c>
      <c r="G41" s="15">
        <f>ABS(Table14[[#This Row],[U]]*Table14[[#This Row],[A]]*(Table14[[#This Row],[Ti2]]-Table14[[#This Row],[Ti]]))</f>
        <v>24.429600000000001</v>
      </c>
    </row>
    <row r="42" spans="1:7" ht="15.75" thickBot="1" x14ac:dyDescent="0.3">
      <c r="A42" s="83"/>
      <c r="B42" s="84" t="s">
        <v>445</v>
      </c>
      <c r="C42" s="21">
        <v>2.7143999999999999</v>
      </c>
      <c r="D42" s="6">
        <f>References!AI42-References!AH42-References!AG42</f>
        <v>6.8</v>
      </c>
      <c r="E42" s="6">
        <v>22.5</v>
      </c>
      <c r="F42" s="6">
        <v>24</v>
      </c>
      <c r="G42" s="15">
        <f>ABS(Table14[[#This Row],[U]]*Table14[[#This Row],[A]]*(Table14[[#This Row],[Ti2]]-Table14[[#This Row],[Ti]]))</f>
        <v>27.686879999999995</v>
      </c>
    </row>
    <row r="43" spans="1:7" ht="15.75" thickBot="1" x14ac:dyDescent="0.3">
      <c r="A43" s="83" t="s">
        <v>446</v>
      </c>
      <c r="B43" s="84" t="s">
        <v>64</v>
      </c>
      <c r="C43" s="21">
        <v>2.7143999999999999</v>
      </c>
      <c r="D43" s="6">
        <f>References!AI43-References!AH43-References!AG43</f>
        <v>9.3999999999999986</v>
      </c>
      <c r="E43" s="6">
        <v>22.5</v>
      </c>
      <c r="F43" s="6">
        <v>28</v>
      </c>
      <c r="G43" s="15">
        <f>ABS(Table14[[#This Row],[U]]*Table14[[#This Row],[A]]*(Table14[[#This Row],[Ti2]]-Table14[[#This Row],[Ti]]))</f>
        <v>140.33447999999996</v>
      </c>
    </row>
    <row r="44" spans="1:7" ht="15.75" thickBot="1" x14ac:dyDescent="0.3">
      <c r="A44" s="83" t="s">
        <v>447</v>
      </c>
      <c r="B44" s="84" t="s">
        <v>448</v>
      </c>
      <c r="C44" s="21">
        <v>2.7143999999999999</v>
      </c>
      <c r="D44" s="6">
        <f>References!AI44-References!AH44-References!AG44</f>
        <v>14.32</v>
      </c>
      <c r="E44" s="6">
        <v>22.5</v>
      </c>
      <c r="F44" s="6">
        <v>24</v>
      </c>
      <c r="G44" s="15">
        <f>ABS(Table14[[#This Row],[U]]*Table14[[#This Row],[A]]*(Table14[[#This Row],[Ti2]]-Table14[[#This Row],[Ti]]))</f>
        <v>58.305312000000001</v>
      </c>
    </row>
    <row r="45" spans="1:7" ht="15.75" thickBot="1" x14ac:dyDescent="0.3">
      <c r="A45" s="83"/>
      <c r="B45" s="84" t="s">
        <v>449</v>
      </c>
      <c r="C45" s="21">
        <v>2.7143999999999999</v>
      </c>
      <c r="D45" s="6">
        <f>References!AI45-References!AH45-References!AG45</f>
        <v>19.399999999999999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78.989039999999989</v>
      </c>
    </row>
    <row r="46" spans="1:7" ht="15.75" thickBot="1" x14ac:dyDescent="0.3">
      <c r="A46" s="83"/>
      <c r="B46" s="84" t="s">
        <v>64</v>
      </c>
      <c r="C46" s="21">
        <v>2.7143999999999999</v>
      </c>
      <c r="D46" s="6">
        <f>References!AI46-References!AH46-References!AG46</f>
        <v>21.720000000000002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324.262224</v>
      </c>
    </row>
    <row r="47" spans="1:7" ht="15.75" thickBot="1" x14ac:dyDescent="0.3">
      <c r="A47" s="83" t="s">
        <v>36</v>
      </c>
      <c r="B47" s="84" t="s">
        <v>50</v>
      </c>
      <c r="C47" s="21">
        <v>2.7143999999999999</v>
      </c>
      <c r="D47" s="6">
        <f>References!AI47-References!AH47-References!AG47</f>
        <v>10.199999999999999</v>
      </c>
      <c r="E47" s="6">
        <v>22.5</v>
      </c>
      <c r="F47" s="6">
        <v>24</v>
      </c>
      <c r="G47" s="15">
        <f>ABS(Table14[[#This Row],[U]]*Table14[[#This Row],[A]]*(Table14[[#This Row],[Ti2]]-Table14[[#This Row],[Ti]]))</f>
        <v>41.530319999999996</v>
      </c>
    </row>
    <row r="48" spans="1:7" ht="15.75" thickBot="1" x14ac:dyDescent="0.3">
      <c r="A48" s="83"/>
      <c r="B48" s="84" t="s">
        <v>449</v>
      </c>
      <c r="C48" s="21">
        <v>2.7143999999999999</v>
      </c>
      <c r="D48" s="6">
        <f>References!AI48-References!AH48-References!AG48</f>
        <v>10.199999999999999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41.530319999999996</v>
      </c>
    </row>
    <row r="49" spans="1:9" ht="15.75" thickBot="1" x14ac:dyDescent="0.3">
      <c r="A49" s="83"/>
      <c r="B49" s="84" t="s">
        <v>448</v>
      </c>
      <c r="C49" s="21">
        <v>2.7143999999999999</v>
      </c>
      <c r="D49" s="6">
        <f>References!AI49-References!AH49-References!AG49</f>
        <v>8.8800000000000008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36.155808000000007</v>
      </c>
    </row>
    <row r="50" spans="1:9" ht="15.75" thickBot="1" x14ac:dyDescent="0.3">
      <c r="A50" s="83" t="s">
        <v>449</v>
      </c>
      <c r="B50" s="84" t="s">
        <v>64</v>
      </c>
      <c r="C50" s="21">
        <v>2.7143999999999999</v>
      </c>
      <c r="D50" s="6">
        <f>References!AI50-References!AH50-References!AG50</f>
        <v>10.719999999999999</v>
      </c>
      <c r="E50" s="6">
        <v>24</v>
      </c>
      <c r="F50" s="6">
        <v>28</v>
      </c>
      <c r="G50" s="15">
        <f>ABS(Table14[[#This Row],[U]]*Table14[[#This Row],[A]]*(Table14[[#This Row],[Ti2]]-Table14[[#This Row],[Ti]]))</f>
        <v>116.39347199999999</v>
      </c>
    </row>
    <row r="51" spans="1:9" ht="15.75" thickBot="1" x14ac:dyDescent="0.3">
      <c r="A51" s="83" t="s">
        <v>50</v>
      </c>
      <c r="B51" s="84" t="s">
        <v>64</v>
      </c>
      <c r="C51" s="21">
        <v>2.7143999999999999</v>
      </c>
      <c r="D51" s="6">
        <f>References!AI51-References!AH51-References!AG51</f>
        <v>38</v>
      </c>
      <c r="E51" s="6">
        <v>24</v>
      </c>
      <c r="F51" s="6">
        <v>28</v>
      </c>
      <c r="G51" s="15">
        <f>ABS(Table14[[#This Row],[U]]*Table14[[#This Row],[A]]*(Table14[[#This Row],[Ti2]]-Table14[[#This Row],[Ti]]))</f>
        <v>412.58879999999999</v>
      </c>
    </row>
    <row r="52" spans="1:9" ht="15.75" thickBot="1" x14ac:dyDescent="0.3">
      <c r="A52" s="83" t="s">
        <v>451</v>
      </c>
      <c r="B52" s="84" t="s">
        <v>64</v>
      </c>
      <c r="C52" s="21">
        <v>2.7143999999999999</v>
      </c>
      <c r="D52" s="6">
        <f>References!AI52-References!AH52-References!AG52</f>
        <v>28.400000000000002</v>
      </c>
      <c r="E52" s="6">
        <v>22.5</v>
      </c>
      <c r="F52" s="6">
        <v>28</v>
      </c>
      <c r="G52" s="15">
        <f>ABS(Table14[[#This Row],[U]]*Table14[[#This Row],[A]]*(Table14[[#This Row],[Ti2]]-Table14[[#This Row],[Ti]]))</f>
        <v>423.98928000000001</v>
      </c>
    </row>
    <row r="53" spans="1:9" ht="15.75" thickBot="1" x14ac:dyDescent="0.3">
      <c r="A53" s="83" t="s">
        <v>451</v>
      </c>
      <c r="B53" s="84" t="s">
        <v>64</v>
      </c>
      <c r="C53" s="21">
        <v>2.7143999999999999</v>
      </c>
      <c r="D53" s="6">
        <f>References!AI53-References!AH53-References!AG53</f>
        <v>18.400000000000002</v>
      </c>
      <c r="E53" s="6">
        <v>22.5</v>
      </c>
      <c r="F53" s="6">
        <v>28</v>
      </c>
      <c r="G53" s="15">
        <f>ABS(Table14[[#This Row],[U]]*Table14[[#This Row],[A]]*(Table14[[#This Row],[Ti2]]-Table14[[#This Row],[Ti]]))</f>
        <v>274.69728000000003</v>
      </c>
    </row>
    <row r="54" spans="1:9" ht="15.75" thickBot="1" x14ac:dyDescent="0.3">
      <c r="A54" s="83" t="s">
        <v>452</v>
      </c>
      <c r="B54" s="84" t="s">
        <v>64</v>
      </c>
      <c r="C54" s="21">
        <v>2.7143999999999999</v>
      </c>
      <c r="D54" s="6">
        <f>References!AI54-References!AH54-References!AG54</f>
        <v>28.400000000000002</v>
      </c>
      <c r="E54" s="6">
        <v>22.5</v>
      </c>
      <c r="F54" s="6">
        <v>28</v>
      </c>
      <c r="G54" s="15">
        <f>ABS(Table14[[#This Row],[U]]*Table14[[#This Row],[A]]*(Table14[[#This Row],[Ti2]]-Table14[[#This Row],[Ti]]))</f>
        <v>423.98928000000001</v>
      </c>
    </row>
    <row r="55" spans="1:9" ht="15.75" thickBot="1" x14ac:dyDescent="0.3">
      <c r="A55" s="83" t="s">
        <v>452</v>
      </c>
      <c r="B55" s="84" t="s">
        <v>64</v>
      </c>
      <c r="C55" s="21">
        <v>2.7143999999999999</v>
      </c>
      <c r="D55" s="6">
        <f>References!AI55-References!AH55-References!AG55</f>
        <v>8.9600000000000009</v>
      </c>
      <c r="E55" s="6">
        <v>22.5</v>
      </c>
      <c r="F55" s="6">
        <v>28</v>
      </c>
      <c r="G55" s="15">
        <f>ABS(Table14[[#This Row],[U]]*Table14[[#This Row],[A]]*(Table14[[#This Row],[Ti2]]-Table14[[#This Row],[Ti]]))</f>
        <v>133.76563200000001</v>
      </c>
    </row>
    <row r="56" spans="1:9" ht="15.75" thickBot="1" x14ac:dyDescent="0.3">
      <c r="A56" s="83" t="s">
        <v>184</v>
      </c>
      <c r="B56" s="84" t="s">
        <v>64</v>
      </c>
      <c r="C56" s="21">
        <v>2.7143999999999999</v>
      </c>
      <c r="D56" s="6">
        <f>References!AI56-References!AH56-References!AG56</f>
        <v>19.2</v>
      </c>
      <c r="E56" s="6">
        <v>22.5</v>
      </c>
      <c r="F56" s="6">
        <v>28</v>
      </c>
      <c r="G56" s="15">
        <f>ABS(Table14[[#This Row],[U]]*Table14[[#This Row],[A]]*(Table14[[#This Row],[Ti2]]-Table14[[#This Row],[Ti]]))</f>
        <v>286.64063999999996</v>
      </c>
      <c r="H56" s="121"/>
      <c r="I56" s="121"/>
    </row>
    <row r="57" spans="1:9" ht="15.75" thickBot="1" x14ac:dyDescent="0.3">
      <c r="A57" s="83" t="s">
        <v>454</v>
      </c>
      <c r="B57" s="84" t="s">
        <v>64</v>
      </c>
      <c r="C57" s="21">
        <v>2.7143999999999999</v>
      </c>
      <c r="D57" s="6">
        <f>References!AI57-References!AH57-References!AG57</f>
        <v>16.399999999999999</v>
      </c>
      <c r="E57" s="6">
        <v>22.5</v>
      </c>
      <c r="F57" s="6">
        <v>28</v>
      </c>
      <c r="G57" s="15">
        <f>ABS(Table14[[#This Row],[U]]*Table14[[#This Row],[A]]*(Table14[[#This Row],[Ti2]]-Table14[[#This Row],[Ti]]))</f>
        <v>244.83887999999996</v>
      </c>
    </row>
    <row r="58" spans="1:9" ht="15.75" thickBot="1" x14ac:dyDescent="0.3">
      <c r="A58" s="83" t="s">
        <v>455</v>
      </c>
      <c r="B58" s="84" t="s">
        <v>64</v>
      </c>
      <c r="C58" s="21">
        <v>2.7143999999999999</v>
      </c>
      <c r="D58" s="6">
        <f>References!AI58-References!AH58-References!AG58</f>
        <v>18.64</v>
      </c>
      <c r="E58" s="6">
        <v>22.5</v>
      </c>
      <c r="F58" s="6">
        <v>28</v>
      </c>
      <c r="G58" s="15">
        <f>ABS(Table14[[#This Row],[U]]*Table14[[#This Row],[A]]*(Table14[[#This Row],[Ti2]]-Table14[[#This Row],[Ti]]))</f>
        <v>278.28028799999998</v>
      </c>
    </row>
    <row r="59" spans="1:9" ht="15.75" thickBot="1" x14ac:dyDescent="0.3">
      <c r="A59" s="83" t="s">
        <v>456</v>
      </c>
      <c r="B59" s="84" t="s">
        <v>64</v>
      </c>
      <c r="C59" s="21">
        <v>2.7143999999999999</v>
      </c>
      <c r="D59" s="6">
        <f>References!AI59-References!AH59-References!AG59</f>
        <v>9.2000000000000011</v>
      </c>
      <c r="E59" s="6">
        <v>22.5</v>
      </c>
      <c r="F59" s="6">
        <v>28</v>
      </c>
      <c r="G59" s="15">
        <f>ABS(Table14[[#This Row],[U]]*Table14[[#This Row],[A]]*(Table14[[#This Row],[Ti2]]-Table14[[#This Row],[Ti]]))</f>
        <v>137.34864000000002</v>
      </c>
    </row>
    <row r="60" spans="1:9" ht="15.75" thickBot="1" x14ac:dyDescent="0.3">
      <c r="A60" s="83" t="s">
        <v>455</v>
      </c>
      <c r="B60" s="84" t="s">
        <v>64</v>
      </c>
      <c r="C60" s="21">
        <v>2.7143999999999999</v>
      </c>
      <c r="D60" s="6">
        <f>References!AI60-References!AH60-References!AG60</f>
        <v>28.64</v>
      </c>
      <c r="E60" s="6">
        <v>22.5</v>
      </c>
      <c r="F60" s="6">
        <v>28</v>
      </c>
      <c r="G60" s="15">
        <f>ABS(Table14[[#This Row],[U]]*Table14[[#This Row],[A]]*(Table14[[#This Row],[Ti2]]-Table14[[#This Row],[Ti]]))</f>
        <v>427.57228799999996</v>
      </c>
    </row>
    <row r="61" spans="1:9" ht="15.75" thickBot="1" x14ac:dyDescent="0.3">
      <c r="A61" s="83" t="s">
        <v>456</v>
      </c>
      <c r="B61" s="84" t="s">
        <v>64</v>
      </c>
      <c r="C61" s="21">
        <v>2.7143999999999999</v>
      </c>
      <c r="D61" s="6">
        <f>References!AI61-References!AH61-References!AG61</f>
        <v>28.64</v>
      </c>
      <c r="E61" s="6">
        <v>22.5</v>
      </c>
      <c r="F61" s="6">
        <v>28</v>
      </c>
      <c r="G61" s="15">
        <f>ABS(Table14[[#This Row],[U]]*Table14[[#This Row],[A]]*(Table14[[#This Row],[Ti2]]-Table14[[#This Row],[Ti]]))</f>
        <v>427.57228799999996</v>
      </c>
    </row>
    <row r="62" spans="1:9" ht="15.75" thickBot="1" x14ac:dyDescent="0.3">
      <c r="A62" s="83" t="s">
        <v>76</v>
      </c>
      <c r="B62" s="84" t="s">
        <v>64</v>
      </c>
      <c r="C62" s="21">
        <v>2.7143999999999999</v>
      </c>
      <c r="D62" s="6">
        <f>References!AI62-References!AH62-References!AG62</f>
        <v>24</v>
      </c>
      <c r="E62" s="6">
        <v>22.5</v>
      </c>
      <c r="F62" s="6">
        <v>28</v>
      </c>
      <c r="G62" s="15">
        <f>ABS(Table14[[#This Row],[U]]*Table14[[#This Row],[A]]*(Table14[[#This Row],[Ti2]]-Table14[[#This Row],[Ti]]))</f>
        <v>358.30079999999998</v>
      </c>
    </row>
    <row r="63" spans="1:9" ht="15.75" thickBot="1" x14ac:dyDescent="0.3">
      <c r="A63" s="83" t="s">
        <v>75</v>
      </c>
      <c r="B63" s="84" t="s">
        <v>64</v>
      </c>
      <c r="C63" s="21">
        <v>2.7143999999999999</v>
      </c>
      <c r="D63" s="6">
        <f>References!AI63-References!AH63-References!AG63</f>
        <v>11.85</v>
      </c>
      <c r="E63" s="6">
        <v>22.5</v>
      </c>
      <c r="F63" s="6">
        <v>28</v>
      </c>
      <c r="G63" s="15">
        <f>ABS(Table14[[#This Row],[U]]*Table14[[#This Row],[A]]*(Table14[[#This Row],[Ti2]]-Table14[[#This Row],[Ti]]))</f>
        <v>176.91101999999998</v>
      </c>
    </row>
    <row r="64" spans="1:9" ht="15.75" thickBot="1" x14ac:dyDescent="0.3">
      <c r="A64" s="83" t="s">
        <v>72</v>
      </c>
      <c r="B64" s="84" t="s">
        <v>64</v>
      </c>
      <c r="C64" s="21">
        <v>2.7143999999999999</v>
      </c>
      <c r="D64" s="6">
        <f>References!AI64-References!AH64-References!AG64</f>
        <v>11.919999999999998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177.95606399999997</v>
      </c>
    </row>
    <row r="65" spans="1:7" ht="15.75" thickBot="1" x14ac:dyDescent="0.3">
      <c r="A65" s="83" t="s">
        <v>367</v>
      </c>
      <c r="B65" s="84" t="s">
        <v>64</v>
      </c>
      <c r="C65" s="21">
        <v>2.7143999999999999</v>
      </c>
      <c r="D65" s="6">
        <f>References!AI65-References!AH65-References!AG65</f>
        <v>67.2</v>
      </c>
      <c r="E65" s="6">
        <v>22.5</v>
      </c>
      <c r="F65" s="6">
        <v>28</v>
      </c>
      <c r="G65" s="15">
        <f>ABS(Table14[[#This Row],[U]]*Table14[[#This Row],[A]]*(Table14[[#This Row],[Ti2]]-Table14[[#This Row],[Ti]]))</f>
        <v>1003.24224</v>
      </c>
    </row>
    <row r="66" spans="1:7" ht="15.75" thickBot="1" x14ac:dyDescent="0.3">
      <c r="A66" s="83" t="s">
        <v>369</v>
      </c>
      <c r="B66" s="84" t="s">
        <v>64</v>
      </c>
      <c r="C66" s="21">
        <v>2.7143999999999999</v>
      </c>
      <c r="D66" s="6">
        <f>References!AI66-References!AH66-References!AG66</f>
        <v>16.8</v>
      </c>
      <c r="E66" s="6">
        <v>22.5</v>
      </c>
      <c r="F66" s="6">
        <v>28</v>
      </c>
      <c r="G66" s="15">
        <f>ABS(Table14[[#This Row],[U]]*Table14[[#This Row],[A]]*(Table14[[#This Row],[Ti2]]-Table14[[#This Row],[Ti]]))</f>
        <v>250.81056000000001</v>
      </c>
    </row>
    <row r="67" spans="1:7" ht="15.75" thickBot="1" x14ac:dyDescent="0.3">
      <c r="A67" s="83"/>
      <c r="B67" s="84" t="s">
        <v>58</v>
      </c>
      <c r="C67" s="21">
        <v>2.7143999999999999</v>
      </c>
      <c r="D67" s="6">
        <f>References!AI67-References!AH67-References!AG67</f>
        <v>12</v>
      </c>
      <c r="E67" s="6">
        <v>22.5</v>
      </c>
      <c r="F67" s="6">
        <v>24</v>
      </c>
      <c r="G67" s="15">
        <f>ABS(Table14[[#This Row],[U]]*Table14[[#This Row],[A]]*(Table14[[#This Row],[Ti2]]-Table14[[#This Row],[Ti]]))</f>
        <v>48.859200000000001</v>
      </c>
    </row>
    <row r="68" spans="1:7" ht="15.75" thickBot="1" x14ac:dyDescent="0.3">
      <c r="A68" s="83" t="s">
        <v>370</v>
      </c>
      <c r="B68" s="84" t="s">
        <v>64</v>
      </c>
      <c r="C68" s="21">
        <v>2.7143999999999999</v>
      </c>
      <c r="D68" s="6">
        <f>References!AI68-References!AH68-References!AG68</f>
        <v>14.999999999999998</v>
      </c>
      <c r="E68" s="6">
        <v>22.5</v>
      </c>
      <c r="F68" s="6">
        <v>28</v>
      </c>
      <c r="G68" s="15">
        <f>ABS(Table14[[#This Row],[U]]*Table14[[#This Row],[A]]*(Table14[[#This Row],[Ti2]]-Table14[[#This Row],[Ti]]))</f>
        <v>223.93799999999996</v>
      </c>
    </row>
    <row r="69" spans="1:7" ht="15.75" thickBot="1" x14ac:dyDescent="0.3">
      <c r="A69" s="83"/>
      <c r="B69" s="84" t="s">
        <v>57</v>
      </c>
      <c r="C69" s="21">
        <v>2.7143999999999999</v>
      </c>
      <c r="D69" s="6">
        <f>References!AI69-References!AH69-References!AG69</f>
        <v>12</v>
      </c>
      <c r="E69" s="6">
        <v>22.5</v>
      </c>
      <c r="F69" s="6">
        <v>24</v>
      </c>
      <c r="G69" s="15">
        <f>ABS(Table14[[#This Row],[U]]*Table14[[#This Row],[A]]*(Table14[[#This Row],[Ti2]]-Table14[[#This Row],[Ti]]))</f>
        <v>48.859200000000001</v>
      </c>
    </row>
    <row r="70" spans="1:7" ht="15.75" thickBot="1" x14ac:dyDescent="0.3">
      <c r="A70" s="83" t="s">
        <v>58</v>
      </c>
      <c r="B70" s="84" t="s">
        <v>64</v>
      </c>
      <c r="C70" s="21">
        <v>2.7143999999999999</v>
      </c>
      <c r="D70" s="6">
        <f>References!AI70-References!AH70-References!AG70</f>
        <v>33</v>
      </c>
      <c r="E70" s="6">
        <v>24</v>
      </c>
      <c r="F70" s="6">
        <v>28</v>
      </c>
      <c r="G70" s="15">
        <f>ABS(Table14[[#This Row],[U]]*Table14[[#This Row],[A]]*(Table14[[#This Row],[Ti2]]-Table14[[#This Row],[Ti]]))</f>
        <v>358.30079999999998</v>
      </c>
    </row>
    <row r="71" spans="1:7" ht="15.75" thickBot="1" x14ac:dyDescent="0.3">
      <c r="A71" s="83" t="s">
        <v>57</v>
      </c>
      <c r="B71" s="84" t="s">
        <v>64</v>
      </c>
      <c r="C71" s="21">
        <v>2.7143999999999999</v>
      </c>
      <c r="D71" s="6">
        <f>References!AI71-References!AH71-References!AG71</f>
        <v>33</v>
      </c>
      <c r="E71" s="6">
        <v>24</v>
      </c>
      <c r="F71" s="6">
        <v>28</v>
      </c>
      <c r="G71" s="15">
        <f>ABS(Table14[[#This Row],[U]]*Table14[[#This Row],[A]]*(Table14[[#This Row],[Ti2]]-Table14[[#This Row],[Ti]]))</f>
        <v>358.30079999999998</v>
      </c>
    </row>
    <row r="72" spans="1:7" ht="15.75" thickBot="1" x14ac:dyDescent="0.3">
      <c r="A72" s="83" t="s">
        <v>454</v>
      </c>
      <c r="B72" s="84" t="s">
        <v>64</v>
      </c>
      <c r="C72" s="21">
        <v>2.7143999999999999</v>
      </c>
      <c r="D72" s="6">
        <f>References!AI72-References!AH72-References!AG72</f>
        <v>23.84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355.91212800000005</v>
      </c>
    </row>
    <row r="73" spans="1:7" ht="15.75" thickBot="1" x14ac:dyDescent="0.3">
      <c r="A73" s="83" t="s">
        <v>453</v>
      </c>
      <c r="B73" s="84" t="s">
        <v>64</v>
      </c>
      <c r="C73" s="21">
        <v>2.7143999999999999</v>
      </c>
      <c r="D73" s="6">
        <f>References!AI73-References!AH73-References!AG73</f>
        <v>25.2</v>
      </c>
      <c r="E73" s="6">
        <v>22.5</v>
      </c>
      <c r="F73" s="6">
        <v>28</v>
      </c>
      <c r="G73" s="15">
        <f>ABS(Table14[[#This Row],[U]]*Table14[[#This Row],[A]]*(Table14[[#This Row],[Ti2]]-Table14[[#This Row],[Ti]]))</f>
        <v>376.21583999999996</v>
      </c>
    </row>
    <row r="74" spans="1:7" ht="15.75" thickBot="1" x14ac:dyDescent="0.3">
      <c r="A74" s="83" t="s">
        <v>35</v>
      </c>
      <c r="B74" s="84" t="s">
        <v>106</v>
      </c>
      <c r="C74" s="21">
        <v>2.7143999999999999</v>
      </c>
      <c r="D74" s="6">
        <f>References!AI74-References!AH74-References!AG74</f>
        <v>11.799999999999999</v>
      </c>
      <c r="E74" s="6">
        <v>22.5</v>
      </c>
      <c r="F74" s="6">
        <v>24</v>
      </c>
      <c r="G74" s="15">
        <f>ABS(Table14[[#This Row],[U]]*Table14[[#This Row],[A]]*(Table14[[#This Row],[Ti2]]-Table14[[#This Row],[Ti]]))</f>
        <v>48.044879999999992</v>
      </c>
    </row>
    <row r="75" spans="1:7" ht="15.75" thickBot="1" x14ac:dyDescent="0.3">
      <c r="A75" s="83"/>
      <c r="B75" s="84" t="s">
        <v>64</v>
      </c>
      <c r="C75" s="21">
        <v>2.7143999999999999</v>
      </c>
      <c r="D75" s="6">
        <f>References!AI75-References!AH75-References!AG75</f>
        <v>25.599999999999998</v>
      </c>
      <c r="E75" s="6">
        <v>22.5</v>
      </c>
      <c r="F75" s="6">
        <v>28</v>
      </c>
      <c r="G75" s="15">
        <f>ABS(Table14[[#This Row],[U]]*Table14[[#This Row],[A]]*(Table14[[#This Row],[Ti2]]-Table14[[#This Row],[Ti]]))</f>
        <v>382.18751999999995</v>
      </c>
    </row>
    <row r="76" spans="1:7" ht="15.75" thickBot="1" x14ac:dyDescent="0.3">
      <c r="A76" s="83" t="s">
        <v>457</v>
      </c>
      <c r="B76" s="84" t="s">
        <v>64</v>
      </c>
      <c r="C76" s="21">
        <v>2.7143999999999999</v>
      </c>
      <c r="D76" s="6">
        <f>References!AI76-References!AH76-References!AG76</f>
        <v>44</v>
      </c>
      <c r="E76" s="6">
        <v>22.5</v>
      </c>
      <c r="F76" s="6">
        <v>28</v>
      </c>
      <c r="G76" s="15">
        <f>ABS(Table14[[#This Row],[U]]*Table14[[#This Row],[A]]*(Table14[[#This Row],[Ti2]]-Table14[[#This Row],[Ti]]))</f>
        <v>656.88480000000004</v>
      </c>
    </row>
    <row r="77" spans="1:7" ht="15.75" thickBot="1" x14ac:dyDescent="0.3">
      <c r="A77" s="83"/>
      <c r="B77" s="84" t="s">
        <v>458</v>
      </c>
      <c r="C77" s="21">
        <v>2.7143999999999999</v>
      </c>
      <c r="D77" s="6">
        <f>References!AI77-References!AH77-References!AG77</f>
        <v>11.799999999999999</v>
      </c>
      <c r="E77" s="6">
        <v>22.5</v>
      </c>
      <c r="F77" s="6">
        <v>24</v>
      </c>
      <c r="G77" s="15">
        <f>ABS(Table14[[#This Row],[U]]*Table14[[#This Row],[A]]*(Table14[[#This Row],[Ti2]]-Table14[[#This Row],[Ti]]))</f>
        <v>48.044879999999992</v>
      </c>
    </row>
    <row r="78" spans="1:7" ht="15.75" thickBot="1" x14ac:dyDescent="0.3">
      <c r="A78" s="83" t="s">
        <v>30</v>
      </c>
      <c r="B78" s="84" t="s">
        <v>64</v>
      </c>
      <c r="C78" s="21">
        <v>2.7143999999999999</v>
      </c>
      <c r="D78" s="6">
        <f>References!AI78-References!AH78-References!AG78</f>
        <v>24.12</v>
      </c>
      <c r="E78" s="6">
        <v>24</v>
      </c>
      <c r="F78" s="6">
        <v>28</v>
      </c>
      <c r="G78" s="15">
        <f>ABS(Table14[[#This Row],[U]]*Table14[[#This Row],[A]]*(Table14[[#This Row],[Ti2]]-Table14[[#This Row],[Ti]]))</f>
        <v>261.885312</v>
      </c>
    </row>
    <row r="79" spans="1:7" ht="15.75" thickBot="1" x14ac:dyDescent="0.3">
      <c r="A79" s="83"/>
      <c r="B79" s="84" t="s">
        <v>115</v>
      </c>
      <c r="C79" s="21">
        <v>2.7143999999999999</v>
      </c>
      <c r="D79" s="6">
        <f>References!AI79-References!AH79-References!AG79</f>
        <v>28.599999999999998</v>
      </c>
      <c r="E79" s="6">
        <v>24</v>
      </c>
      <c r="F79" s="6">
        <v>22.5</v>
      </c>
      <c r="G79" s="15">
        <f>ABS(Table14[[#This Row],[U]]*Table14[[#This Row],[A]]*(Table14[[#This Row],[Ti2]]-Table14[[#This Row],[Ti]]))</f>
        <v>116.44775999999999</v>
      </c>
    </row>
    <row r="80" spans="1:7" ht="15.75" thickBot="1" x14ac:dyDescent="0.3">
      <c r="A80" s="83" t="s">
        <v>115</v>
      </c>
      <c r="B80" s="84" t="s">
        <v>64</v>
      </c>
      <c r="C80" s="21">
        <v>2.7143999999999999</v>
      </c>
      <c r="D80" s="6">
        <f>References!AI80-References!AH80-References!AG80</f>
        <v>98.440000000000012</v>
      </c>
      <c r="E80" s="6">
        <v>22.5</v>
      </c>
      <c r="F80" s="6">
        <v>28</v>
      </c>
      <c r="G80" s="15">
        <f>ABS(Table14[[#This Row],[U]]*Table14[[#This Row],[A]]*(Table14[[#This Row],[Ti2]]-Table14[[#This Row],[Ti]]))</f>
        <v>1469.6304480000003</v>
      </c>
    </row>
    <row r="81" spans="1:9" ht="15.75" thickBot="1" x14ac:dyDescent="0.3">
      <c r="A81" s="83"/>
      <c r="B81" s="84" t="s">
        <v>464</v>
      </c>
      <c r="C81" s="21">
        <v>2.7143999999999999</v>
      </c>
      <c r="D81" s="6">
        <f>References!AI81-References!AH81-References!AG81</f>
        <v>12.12</v>
      </c>
      <c r="E81" s="6">
        <v>22.5</v>
      </c>
      <c r="F81" s="6">
        <v>24</v>
      </c>
      <c r="G81" s="15">
        <f>ABS(Table14[[#This Row],[U]]*Table14[[#This Row],[A]]*(Table14[[#This Row],[Ti2]]-Table14[[#This Row],[Ti]]))</f>
        <v>49.347791999999998</v>
      </c>
    </row>
    <row r="82" spans="1:9" ht="15.75" thickBot="1" x14ac:dyDescent="0.3">
      <c r="A82" s="83"/>
      <c r="B82" s="84" t="s">
        <v>460</v>
      </c>
      <c r="C82" s="21">
        <v>2.7143999999999999</v>
      </c>
      <c r="D82" s="6">
        <f>References!AI82-References!AH82-References!AG82</f>
        <v>6.12</v>
      </c>
      <c r="E82" s="6">
        <v>22.5</v>
      </c>
      <c r="F82" s="6">
        <v>24</v>
      </c>
      <c r="G82" s="15">
        <f>ABS(Table14[[#This Row],[U]]*Table14[[#This Row],[A]]*(Table14[[#This Row],[Ti2]]-Table14[[#This Row],[Ti]]))</f>
        <v>24.918191999999998</v>
      </c>
    </row>
    <row r="83" spans="1:9" ht="15.75" thickBot="1" x14ac:dyDescent="0.3">
      <c r="A83" s="83"/>
      <c r="B83" s="84" t="s">
        <v>461</v>
      </c>
      <c r="C83" s="21">
        <v>2.7143999999999999</v>
      </c>
      <c r="D83" s="6">
        <f>References!AI83-References!AH83-References!AG83</f>
        <v>16.760000000000002</v>
      </c>
      <c r="E83" s="6">
        <v>22.5</v>
      </c>
      <c r="F83" s="6">
        <v>24</v>
      </c>
      <c r="G83" s="15">
        <f>ABS(Table14[[#This Row],[U]]*Table14[[#This Row],[A]]*(Table14[[#This Row],[Ti2]]-Table14[[#This Row],[Ti]]))</f>
        <v>68.240015999999997</v>
      </c>
    </row>
    <row r="84" spans="1:9" ht="15.75" thickBot="1" x14ac:dyDescent="0.3">
      <c r="A84" s="83"/>
      <c r="B84" s="84" t="s">
        <v>462</v>
      </c>
      <c r="C84" s="21">
        <v>2.7143999999999999</v>
      </c>
      <c r="D84" s="6">
        <f>References!AI84-References!AH84-References!AG84</f>
        <v>8</v>
      </c>
      <c r="E84" s="6">
        <v>22.5</v>
      </c>
      <c r="F84" s="6">
        <v>24</v>
      </c>
      <c r="G84" s="15">
        <f>ABS(Table14[[#This Row],[U]]*Table14[[#This Row],[A]]*(Table14[[#This Row],[Ti2]]-Table14[[#This Row],[Ti]]))</f>
        <v>32.572800000000001</v>
      </c>
    </row>
    <row r="85" spans="1:9" ht="15.75" thickBot="1" x14ac:dyDescent="0.3">
      <c r="A85" s="83" t="s">
        <v>459</v>
      </c>
      <c r="B85" s="84" t="s">
        <v>64</v>
      </c>
      <c r="C85" s="21">
        <v>2.7143999999999999</v>
      </c>
      <c r="D85" s="6">
        <f>References!AI85-References!AH85-References!AG85</f>
        <v>12.92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192.88526400000001</v>
      </c>
    </row>
    <row r="86" spans="1:9" ht="15.75" thickBot="1" x14ac:dyDescent="0.3">
      <c r="A86" s="83"/>
      <c r="B86" s="84" t="s">
        <v>460</v>
      </c>
      <c r="C86" s="21">
        <v>2.7143999999999999</v>
      </c>
      <c r="D86" s="6">
        <f>References!AI86-References!AH86-References!AG86</f>
        <v>5.04</v>
      </c>
      <c r="E86" s="6">
        <v>22.5</v>
      </c>
      <c r="F86" s="6">
        <v>24</v>
      </c>
      <c r="G86" s="15">
        <f>ABS(Table14[[#This Row],[U]]*Table14[[#This Row],[A]]*(Table14[[#This Row],[Ti2]]-Table14[[#This Row],[Ti]]))</f>
        <v>20.520864</v>
      </c>
    </row>
    <row r="87" spans="1:9" ht="15.75" thickBot="1" x14ac:dyDescent="0.3">
      <c r="A87" s="83"/>
      <c r="B87" s="84" t="s">
        <v>64</v>
      </c>
      <c r="C87" s="21">
        <v>2.7143999999999999</v>
      </c>
      <c r="D87" s="6">
        <f>References!AI87-References!AH87-References!AG87</f>
        <v>6.8</v>
      </c>
      <c r="E87" s="6">
        <v>24</v>
      </c>
      <c r="F87" s="6">
        <v>28</v>
      </c>
      <c r="G87" s="15">
        <f>ABS(Table14[[#This Row],[U]]*Table14[[#This Row],[A]]*(Table14[[#This Row],[Ti2]]-Table14[[#This Row],[Ti]]))</f>
        <v>73.831679999999992</v>
      </c>
    </row>
    <row r="88" spans="1:9" ht="15.75" thickBot="1" x14ac:dyDescent="0.3">
      <c r="A88" s="83" t="s">
        <v>461</v>
      </c>
      <c r="B88" s="84" t="s">
        <v>64</v>
      </c>
      <c r="C88" s="21">
        <v>2.7143999999999999</v>
      </c>
      <c r="D88" s="6">
        <f>References!AI88-References!AH88-References!AG88</f>
        <v>5.4</v>
      </c>
      <c r="E88" s="6">
        <v>24</v>
      </c>
      <c r="F88" s="6">
        <v>28</v>
      </c>
      <c r="G88" s="15">
        <f>ABS(Table14[[#This Row],[U]]*Table14[[#This Row],[A]]*(Table14[[#This Row],[Ti2]]-Table14[[#This Row],[Ti]]))</f>
        <v>58.631039999999999</v>
      </c>
    </row>
    <row r="89" spans="1:9" ht="15.75" thickBot="1" x14ac:dyDescent="0.3">
      <c r="A89" s="85" t="s">
        <v>463</v>
      </c>
      <c r="B89" s="86" t="s">
        <v>464</v>
      </c>
      <c r="C89" s="6">
        <v>2.7143999999999999</v>
      </c>
      <c r="D89" s="21">
        <f>References!AI89-References!AH89-References!AG89</f>
        <v>4.92</v>
      </c>
      <c r="E89" s="21">
        <v>22.5</v>
      </c>
      <c r="F89" s="21">
        <v>24</v>
      </c>
      <c r="G89" s="22">
        <f>ABS(Table14[[#This Row],[U]]*Table14[[#This Row],[A]]*(Table14[[#This Row],[Ti2]]-Table14[[#This Row],[Ti]]))</f>
        <v>20.032271999999999</v>
      </c>
    </row>
    <row r="90" spans="1:9" ht="15.75" thickBot="1" x14ac:dyDescent="0.3">
      <c r="F90" s="43" t="s">
        <v>333</v>
      </c>
      <c r="G90" s="43">
        <f>SUM(Table14[Q])</f>
        <v>18554.539067999998</v>
      </c>
    </row>
    <row r="93" spans="1:9" ht="24" thickBot="1" x14ac:dyDescent="0.4">
      <c r="A93" s="157" t="s">
        <v>41</v>
      </c>
      <c r="B93" s="157"/>
      <c r="C93" s="157"/>
      <c r="D93" s="157"/>
      <c r="E93" s="157"/>
      <c r="F93" s="157"/>
      <c r="G93" s="157"/>
      <c r="H93" s="105"/>
      <c r="I93" s="105"/>
    </row>
    <row r="94" spans="1:9" ht="15.75" thickBot="1" x14ac:dyDescent="0.3">
      <c r="A94" s="81" t="s">
        <v>0</v>
      </c>
      <c r="B94" s="82" t="s">
        <v>428</v>
      </c>
      <c r="C94" s="35" t="s">
        <v>2</v>
      </c>
      <c r="D94" s="35" t="s">
        <v>429</v>
      </c>
      <c r="E94" s="35" t="s">
        <v>7</v>
      </c>
      <c r="F94" s="35" t="s">
        <v>470</v>
      </c>
      <c r="G94" s="24" t="s">
        <v>430</v>
      </c>
    </row>
    <row r="95" spans="1:9" ht="15.75" thickBot="1" x14ac:dyDescent="0.3">
      <c r="A95" s="83" t="s">
        <v>467</v>
      </c>
      <c r="B95" s="84" t="s">
        <v>64</v>
      </c>
      <c r="C95" s="6">
        <v>2.7143999999999999</v>
      </c>
      <c r="D95" s="6">
        <f>References!AM4-References!AL4-References!AK4</f>
        <v>16.400000000000002</v>
      </c>
      <c r="E95" s="6">
        <v>22.5</v>
      </c>
      <c r="F95" s="6">
        <v>28</v>
      </c>
      <c r="G95" s="15">
        <f>ABS(C95*D95*(F95-E95))</f>
        <v>244.83888000000005</v>
      </c>
    </row>
    <row r="96" spans="1:9" ht="15.75" thickBot="1" x14ac:dyDescent="0.3">
      <c r="A96" s="83"/>
      <c r="B96" s="84" t="s">
        <v>468</v>
      </c>
      <c r="C96" s="6">
        <v>2.7143999999999999</v>
      </c>
      <c r="D96" s="6">
        <f>References!AM5-References!AL5-References!AK5</f>
        <v>13.4</v>
      </c>
      <c r="E96" s="6">
        <v>22.5</v>
      </c>
      <c r="F96" s="6">
        <v>24</v>
      </c>
      <c r="G96" s="15">
        <f t="shared" ref="G96:G159" si="0">ABS(C96*D96*(F96-E96))</f>
        <v>54.559439999999995</v>
      </c>
    </row>
    <row r="97" spans="1:7" ht="15.75" thickBot="1" x14ac:dyDescent="0.3">
      <c r="A97" s="83" t="s">
        <v>468</v>
      </c>
      <c r="B97" s="84" t="s">
        <v>64</v>
      </c>
      <c r="C97" s="6">
        <v>2.7143999999999999</v>
      </c>
      <c r="D97" s="6">
        <f>References!AM6-References!AL6-References!AK6</f>
        <v>5.4</v>
      </c>
      <c r="E97" s="6">
        <v>24</v>
      </c>
      <c r="F97" s="6">
        <v>28</v>
      </c>
      <c r="G97" s="15">
        <f t="shared" si="0"/>
        <v>58.631039999999999</v>
      </c>
    </row>
    <row r="98" spans="1:7" ht="15.75" thickBot="1" x14ac:dyDescent="0.3">
      <c r="A98" s="83" t="s">
        <v>467</v>
      </c>
      <c r="B98" s="84" t="s">
        <v>64</v>
      </c>
      <c r="C98" s="6">
        <v>2.7143999999999999</v>
      </c>
      <c r="D98" s="6">
        <f>References!AM7-References!AL7-References!AK7</f>
        <v>42.4</v>
      </c>
      <c r="E98" s="6">
        <v>22.5</v>
      </c>
      <c r="F98" s="6">
        <v>28</v>
      </c>
      <c r="G98" s="15">
        <f t="shared" si="0"/>
        <v>632.99807999999996</v>
      </c>
    </row>
    <row r="99" spans="1:7" ht="15.75" thickBot="1" x14ac:dyDescent="0.3">
      <c r="A99" s="83"/>
      <c r="B99" s="84" t="s">
        <v>468</v>
      </c>
      <c r="C99" s="6">
        <v>2.7143999999999999</v>
      </c>
      <c r="D99" s="6">
        <f>References!AM8-References!AL8-References!AK8</f>
        <v>13.4</v>
      </c>
      <c r="E99" s="6">
        <v>22.5</v>
      </c>
      <c r="F99" s="6">
        <v>24</v>
      </c>
      <c r="G99" s="15">
        <f t="shared" si="0"/>
        <v>54.559439999999995</v>
      </c>
    </row>
    <row r="100" spans="1:7" ht="15.75" thickBot="1" x14ac:dyDescent="0.3">
      <c r="A100" s="83" t="s">
        <v>468</v>
      </c>
      <c r="B100" s="84" t="s">
        <v>64</v>
      </c>
      <c r="C100" s="6">
        <v>2.7143999999999999</v>
      </c>
      <c r="D100" s="6">
        <f>References!AM9-References!AL9-References!AK9</f>
        <v>5.4</v>
      </c>
      <c r="E100" s="6">
        <v>24</v>
      </c>
      <c r="F100" s="6">
        <v>28</v>
      </c>
      <c r="G100" s="15">
        <f t="shared" si="0"/>
        <v>58.631039999999999</v>
      </c>
    </row>
    <row r="101" spans="1:7" ht="15.75" thickBot="1" x14ac:dyDescent="0.3">
      <c r="A101" s="83" t="s">
        <v>467</v>
      </c>
      <c r="B101" s="84" t="s">
        <v>64</v>
      </c>
      <c r="C101" s="6">
        <v>2.7143999999999999</v>
      </c>
      <c r="D101" s="6">
        <f>References!AM10-References!AL10-References!AK10</f>
        <v>42.2</v>
      </c>
      <c r="E101" s="6">
        <v>22.5</v>
      </c>
      <c r="F101" s="6">
        <v>28</v>
      </c>
      <c r="G101" s="15">
        <f t="shared" si="0"/>
        <v>630.01224000000002</v>
      </c>
    </row>
    <row r="102" spans="1:7" ht="15.75" thickBot="1" x14ac:dyDescent="0.3">
      <c r="A102" s="83"/>
      <c r="B102" s="84" t="s">
        <v>468</v>
      </c>
      <c r="C102" s="6">
        <v>2.7143999999999999</v>
      </c>
      <c r="D102" s="6">
        <f>References!AM11-References!AL11-References!AK11</f>
        <v>13.4</v>
      </c>
      <c r="E102" s="6">
        <v>22.5</v>
      </c>
      <c r="F102" s="6">
        <v>24</v>
      </c>
      <c r="G102" s="15">
        <f t="shared" si="0"/>
        <v>54.559439999999995</v>
      </c>
    </row>
    <row r="103" spans="1:7" ht="15.75" thickBot="1" x14ac:dyDescent="0.3">
      <c r="A103" s="83" t="s">
        <v>468</v>
      </c>
      <c r="B103" s="84" t="s">
        <v>64</v>
      </c>
      <c r="C103" s="6">
        <v>2.7143999999999999</v>
      </c>
      <c r="D103" s="6">
        <f>References!AM12-References!AL12-References!AK12</f>
        <v>5.4</v>
      </c>
      <c r="E103" s="6">
        <v>24</v>
      </c>
      <c r="F103" s="6">
        <v>28</v>
      </c>
      <c r="G103" s="15">
        <f t="shared" si="0"/>
        <v>58.631039999999999</v>
      </c>
    </row>
    <row r="104" spans="1:7" ht="15.75" thickBot="1" x14ac:dyDescent="0.3">
      <c r="A104" s="83" t="s">
        <v>467</v>
      </c>
      <c r="B104" s="84" t="s">
        <v>64</v>
      </c>
      <c r="C104" s="6">
        <v>2.7143999999999999</v>
      </c>
      <c r="D104" s="6">
        <f>References!AM13-References!AL13-References!AK13</f>
        <v>16.400000000000002</v>
      </c>
      <c r="E104" s="6">
        <v>22.5</v>
      </c>
      <c r="F104" s="6">
        <v>28</v>
      </c>
      <c r="G104" s="15">
        <f t="shared" si="0"/>
        <v>244.83888000000005</v>
      </c>
    </row>
    <row r="105" spans="1:7" ht="15.75" thickBot="1" x14ac:dyDescent="0.3">
      <c r="A105" s="83"/>
      <c r="B105" s="84" t="s">
        <v>468</v>
      </c>
      <c r="C105" s="6">
        <v>2.7143999999999999</v>
      </c>
      <c r="D105" s="6">
        <f>References!AM14-References!AL14-References!AK14</f>
        <v>13.4</v>
      </c>
      <c r="E105" s="6">
        <v>22.5</v>
      </c>
      <c r="F105" s="6">
        <v>24</v>
      </c>
      <c r="G105" s="15">
        <f t="shared" si="0"/>
        <v>54.559439999999995</v>
      </c>
    </row>
    <row r="106" spans="1:7" ht="15.75" thickBot="1" x14ac:dyDescent="0.3">
      <c r="A106" s="83" t="s">
        <v>468</v>
      </c>
      <c r="B106" s="84" t="s">
        <v>64</v>
      </c>
      <c r="C106" s="6">
        <v>2.7143999999999999</v>
      </c>
      <c r="D106" s="6">
        <f>References!AM15-References!AL15-References!AK15</f>
        <v>5.4</v>
      </c>
      <c r="E106" s="6">
        <v>24</v>
      </c>
      <c r="F106" s="6">
        <v>28</v>
      </c>
      <c r="G106" s="15">
        <f t="shared" si="0"/>
        <v>58.631039999999999</v>
      </c>
    </row>
    <row r="107" spans="1:7" ht="15.75" thickBot="1" x14ac:dyDescent="0.3">
      <c r="A107" s="83" t="s">
        <v>66</v>
      </c>
      <c r="B107" s="84" t="s">
        <v>64</v>
      </c>
      <c r="C107" s="6">
        <v>2.7143999999999999</v>
      </c>
      <c r="D107" s="6">
        <f>References!AM16-References!AL16-References!AK16</f>
        <v>4.2799999999999994</v>
      </c>
      <c r="E107" s="6">
        <v>22.2</v>
      </c>
      <c r="F107" s="6">
        <v>28</v>
      </c>
      <c r="G107" s="15">
        <f t="shared" si="0"/>
        <v>67.382265599999997</v>
      </c>
    </row>
    <row r="108" spans="1:7" ht="15.75" thickBot="1" x14ac:dyDescent="0.3">
      <c r="A108" s="83"/>
      <c r="B108" s="84" t="s">
        <v>88</v>
      </c>
      <c r="C108" s="6">
        <v>2.7143999999999999</v>
      </c>
      <c r="D108" s="6">
        <f>References!AM17-References!AL17-References!AK17</f>
        <v>13.4</v>
      </c>
      <c r="E108" s="6">
        <v>22.5</v>
      </c>
      <c r="F108" s="6">
        <v>24</v>
      </c>
      <c r="G108" s="15">
        <f t="shared" si="0"/>
        <v>54.559439999999995</v>
      </c>
    </row>
    <row r="109" spans="1:7" ht="15.75" thickBot="1" x14ac:dyDescent="0.3">
      <c r="A109" s="83" t="s">
        <v>88</v>
      </c>
      <c r="B109" s="84" t="s">
        <v>64</v>
      </c>
      <c r="C109" s="6">
        <v>2.7143999999999999</v>
      </c>
      <c r="D109" s="6">
        <f>References!AM18-References!AL18-References!AK18</f>
        <v>5.4</v>
      </c>
      <c r="E109" s="6">
        <v>24</v>
      </c>
      <c r="F109" s="6">
        <v>28</v>
      </c>
      <c r="G109" s="15">
        <f t="shared" si="0"/>
        <v>58.631039999999999</v>
      </c>
    </row>
    <row r="110" spans="1:7" ht="15.75" thickBot="1" x14ac:dyDescent="0.3">
      <c r="A110" s="83" t="s">
        <v>70</v>
      </c>
      <c r="B110" s="84" t="s">
        <v>64</v>
      </c>
      <c r="C110" s="6">
        <v>2.7143999999999999</v>
      </c>
      <c r="D110" s="6">
        <f>References!AM19-References!AL19-References!AK19</f>
        <v>4.4000000000000004</v>
      </c>
      <c r="E110" s="6">
        <v>22.5</v>
      </c>
      <c r="F110" s="6">
        <v>28</v>
      </c>
      <c r="G110" s="15">
        <f t="shared" si="0"/>
        <v>65.688479999999998</v>
      </c>
    </row>
    <row r="111" spans="1:7" ht="15.75" thickBot="1" x14ac:dyDescent="0.3">
      <c r="A111" s="83"/>
      <c r="B111" s="84" t="s">
        <v>469</v>
      </c>
      <c r="C111" s="6">
        <v>2.7143999999999999</v>
      </c>
      <c r="D111" s="6">
        <f>References!AM20-References!AL20-References!AK20</f>
        <v>13.4</v>
      </c>
      <c r="E111" s="6">
        <v>22.5</v>
      </c>
      <c r="F111" s="6">
        <v>24</v>
      </c>
      <c r="G111" s="15">
        <f t="shared" si="0"/>
        <v>54.559439999999995</v>
      </c>
    </row>
    <row r="112" spans="1:7" ht="15.75" thickBot="1" x14ac:dyDescent="0.3">
      <c r="A112" s="83"/>
      <c r="B112" s="84" t="s">
        <v>217</v>
      </c>
      <c r="C112" s="6">
        <v>2.7143999999999999</v>
      </c>
      <c r="D112" s="6">
        <f>References!AM21-References!AL21-References!AK21</f>
        <v>3</v>
      </c>
      <c r="E112" s="6">
        <v>22.5</v>
      </c>
      <c r="F112" s="6">
        <v>24</v>
      </c>
      <c r="G112" s="15">
        <f t="shared" si="0"/>
        <v>12.2148</v>
      </c>
    </row>
    <row r="113" spans="1:7" ht="15.75" thickBot="1" x14ac:dyDescent="0.3">
      <c r="A113" s="83" t="s">
        <v>469</v>
      </c>
      <c r="B113" s="84" t="s">
        <v>64</v>
      </c>
      <c r="C113" s="6">
        <v>2.7143999999999999</v>
      </c>
      <c r="D113" s="6">
        <f>References!AM22-References!AL22-References!AK22</f>
        <v>5.4</v>
      </c>
      <c r="E113" s="6">
        <v>24</v>
      </c>
      <c r="F113" s="6">
        <v>28</v>
      </c>
      <c r="G113" s="15">
        <f t="shared" si="0"/>
        <v>58.631039999999999</v>
      </c>
    </row>
    <row r="114" spans="1:7" ht="15.75" thickBot="1" x14ac:dyDescent="0.3">
      <c r="A114" s="83" t="s">
        <v>70</v>
      </c>
      <c r="B114" s="84" t="s">
        <v>64</v>
      </c>
      <c r="C114" s="6">
        <v>2.7143999999999999</v>
      </c>
      <c r="D114" s="6">
        <f>References!AM23-References!AL23-References!AK23</f>
        <v>28.400000000000002</v>
      </c>
      <c r="E114" s="6">
        <v>22.5</v>
      </c>
      <c r="F114" s="6">
        <v>28</v>
      </c>
      <c r="G114" s="15">
        <f t="shared" si="0"/>
        <v>423.98928000000001</v>
      </c>
    </row>
    <row r="115" spans="1:7" ht="15.75" thickBot="1" x14ac:dyDescent="0.3">
      <c r="A115" s="83"/>
      <c r="B115" s="84" t="s">
        <v>469</v>
      </c>
      <c r="C115" s="6">
        <v>2.7143999999999999</v>
      </c>
      <c r="D115" s="6">
        <f>References!AM24-References!AL24-References!AK24</f>
        <v>13.4</v>
      </c>
      <c r="E115" s="6">
        <v>22.5</v>
      </c>
      <c r="F115" s="6">
        <v>24</v>
      </c>
      <c r="G115" s="15">
        <f t="shared" si="0"/>
        <v>54.559439999999995</v>
      </c>
    </row>
    <row r="116" spans="1:7" ht="15.75" thickBot="1" x14ac:dyDescent="0.3">
      <c r="A116" s="83" t="s">
        <v>469</v>
      </c>
      <c r="B116" s="84" t="s">
        <v>64</v>
      </c>
      <c r="C116" s="6">
        <v>2.7143999999999999</v>
      </c>
      <c r="D116" s="6">
        <f>References!AM25-References!AL25-References!AK25</f>
        <v>5.4</v>
      </c>
      <c r="E116" s="6">
        <v>24</v>
      </c>
      <c r="F116" s="6">
        <v>28</v>
      </c>
      <c r="G116" s="15">
        <f t="shared" si="0"/>
        <v>58.631039999999999</v>
      </c>
    </row>
    <row r="117" spans="1:7" ht="15.75" thickBot="1" x14ac:dyDescent="0.3">
      <c r="A117" s="83" t="s">
        <v>173</v>
      </c>
      <c r="B117" s="84" t="s">
        <v>64</v>
      </c>
      <c r="C117" s="6">
        <v>2.7143999999999999</v>
      </c>
      <c r="D117" s="6">
        <f>References!AM26-References!AL26-References!AK26</f>
        <v>63.600000000000009</v>
      </c>
      <c r="E117" s="6">
        <v>22.5</v>
      </c>
      <c r="F117" s="6">
        <v>28</v>
      </c>
      <c r="G117" s="15">
        <f t="shared" si="0"/>
        <v>949.49712000000022</v>
      </c>
    </row>
    <row r="118" spans="1:7" ht="15.75" thickBot="1" x14ac:dyDescent="0.3">
      <c r="A118" s="83"/>
      <c r="B118" s="84" t="s">
        <v>212</v>
      </c>
      <c r="C118" s="6">
        <v>2.7143999999999999</v>
      </c>
      <c r="D118" s="6">
        <f>References!AM27-References!AL27-References!AK27</f>
        <v>13.4</v>
      </c>
      <c r="E118" s="6">
        <v>22.5</v>
      </c>
      <c r="F118" s="6">
        <v>24</v>
      </c>
      <c r="G118" s="15">
        <f t="shared" si="0"/>
        <v>54.559439999999995</v>
      </c>
    </row>
    <row r="119" spans="1:7" ht="15.75" thickBot="1" x14ac:dyDescent="0.3">
      <c r="A119" s="83" t="s">
        <v>212</v>
      </c>
      <c r="B119" s="84" t="s">
        <v>64</v>
      </c>
      <c r="C119" s="6">
        <v>2.7143999999999999</v>
      </c>
      <c r="D119" s="6">
        <f>References!AM28-References!AL28-References!AK28</f>
        <v>14.8</v>
      </c>
      <c r="E119" s="6">
        <v>24</v>
      </c>
      <c r="F119" s="6">
        <v>28</v>
      </c>
      <c r="G119" s="15">
        <f t="shared" si="0"/>
        <v>160.69247999999999</v>
      </c>
    </row>
    <row r="120" spans="1:7" ht="15.75" thickBot="1" x14ac:dyDescent="0.3">
      <c r="A120" s="83" t="s">
        <v>174</v>
      </c>
      <c r="B120" s="84" t="s">
        <v>64</v>
      </c>
      <c r="C120" s="6">
        <v>2.7143999999999999</v>
      </c>
      <c r="D120" s="6">
        <f>References!AM29-References!AL29-References!AK29</f>
        <v>51.800000000000004</v>
      </c>
      <c r="E120" s="6">
        <v>22.5</v>
      </c>
      <c r="F120" s="6">
        <v>28</v>
      </c>
      <c r="G120" s="15">
        <f t="shared" si="0"/>
        <v>773.33255999999994</v>
      </c>
    </row>
    <row r="121" spans="1:7" ht="15.75" thickBot="1" x14ac:dyDescent="0.3">
      <c r="A121" s="83" t="s">
        <v>176</v>
      </c>
      <c r="B121" s="84" t="s">
        <v>64</v>
      </c>
      <c r="C121" s="6">
        <v>2.7143999999999999</v>
      </c>
      <c r="D121" s="6">
        <f>References!AM30-References!AL30-References!AK30</f>
        <v>29.76</v>
      </c>
      <c r="E121" s="6">
        <v>24</v>
      </c>
      <c r="F121" s="6">
        <v>28</v>
      </c>
      <c r="G121" s="15">
        <f t="shared" si="0"/>
        <v>323.12217600000002</v>
      </c>
    </row>
    <row r="122" spans="1:7" ht="15.75" thickBot="1" x14ac:dyDescent="0.3">
      <c r="A122" s="83" t="s">
        <v>177</v>
      </c>
      <c r="B122" s="84" t="s">
        <v>64</v>
      </c>
      <c r="C122" s="6">
        <v>2.7143999999999999</v>
      </c>
      <c r="D122" s="6">
        <f>References!AM31-References!AL31-References!AK31</f>
        <v>11.440000000000001</v>
      </c>
      <c r="E122" s="6">
        <v>24</v>
      </c>
      <c r="F122" s="6">
        <v>28</v>
      </c>
      <c r="G122" s="15">
        <f t="shared" si="0"/>
        <v>124.21094400000001</v>
      </c>
    </row>
    <row r="123" spans="1:7" ht="15.75" thickBot="1" x14ac:dyDescent="0.3">
      <c r="A123" s="83" t="s">
        <v>204</v>
      </c>
      <c r="B123" s="84" t="s">
        <v>64</v>
      </c>
      <c r="C123" s="6">
        <v>2.7143999999999999</v>
      </c>
      <c r="D123" s="6">
        <f>References!AM32-References!AL32-References!AK32</f>
        <v>18.720000000000002</v>
      </c>
      <c r="E123" s="6">
        <v>24</v>
      </c>
      <c r="F123" s="6">
        <v>28</v>
      </c>
      <c r="G123" s="15">
        <f t="shared" si="0"/>
        <v>203.25427200000001</v>
      </c>
    </row>
    <row r="124" spans="1:7" ht="15.75" thickBot="1" x14ac:dyDescent="0.3">
      <c r="A124" s="83" t="s">
        <v>70</v>
      </c>
      <c r="B124" s="84" t="s">
        <v>64</v>
      </c>
      <c r="C124" s="6">
        <v>2.7143999999999999</v>
      </c>
      <c r="D124" s="6">
        <f>References!AM33-References!AL33-References!AK33</f>
        <v>28.200000000000003</v>
      </c>
      <c r="E124" s="6">
        <v>22.5</v>
      </c>
      <c r="F124" s="6">
        <v>28</v>
      </c>
      <c r="G124" s="15">
        <f t="shared" si="0"/>
        <v>421.00344000000001</v>
      </c>
    </row>
    <row r="125" spans="1:7" ht="15.75" thickBot="1" x14ac:dyDescent="0.3">
      <c r="A125" s="83"/>
      <c r="B125" s="84" t="s">
        <v>469</v>
      </c>
      <c r="C125" s="6">
        <v>2.7143999999999999</v>
      </c>
      <c r="D125" s="6">
        <f>References!AM34-References!AL34-References!AK34</f>
        <v>13.4</v>
      </c>
      <c r="E125" s="6">
        <v>22.5</v>
      </c>
      <c r="F125" s="6">
        <v>24</v>
      </c>
      <c r="G125" s="15">
        <f t="shared" si="0"/>
        <v>54.559439999999995</v>
      </c>
    </row>
    <row r="126" spans="1:7" ht="15.75" thickBot="1" x14ac:dyDescent="0.3">
      <c r="A126" s="83" t="s">
        <v>469</v>
      </c>
      <c r="B126" s="84" t="s">
        <v>64</v>
      </c>
      <c r="C126" s="6">
        <v>2.7143999999999999</v>
      </c>
      <c r="D126" s="6">
        <f>References!AM35-References!AL35-References!AK35</f>
        <v>5.4</v>
      </c>
      <c r="E126" s="6">
        <v>24</v>
      </c>
      <c r="F126" s="6">
        <v>28</v>
      </c>
      <c r="G126" s="15">
        <f t="shared" si="0"/>
        <v>58.631039999999999</v>
      </c>
    </row>
    <row r="127" spans="1:7" ht="15.75" thickBot="1" x14ac:dyDescent="0.3">
      <c r="A127" s="83" t="s">
        <v>70</v>
      </c>
      <c r="B127" s="84" t="s">
        <v>64</v>
      </c>
      <c r="C127" s="6">
        <v>2.7143999999999999</v>
      </c>
      <c r="D127" s="6">
        <f>References!AM36-References!AL36-References!AK36</f>
        <v>4.4000000000000004</v>
      </c>
      <c r="E127" s="6">
        <v>22.5</v>
      </c>
      <c r="F127" s="6">
        <v>28</v>
      </c>
      <c r="G127" s="15">
        <f t="shared" si="0"/>
        <v>65.688479999999998</v>
      </c>
    </row>
    <row r="128" spans="1:7" ht="15.75" thickBot="1" x14ac:dyDescent="0.3">
      <c r="A128" s="83"/>
      <c r="B128" s="84" t="s">
        <v>469</v>
      </c>
      <c r="C128" s="6">
        <v>2.7143999999999999</v>
      </c>
      <c r="D128" s="6">
        <f>References!AM37-References!AL37-References!AK37</f>
        <v>13.4</v>
      </c>
      <c r="E128" s="6">
        <v>22.5</v>
      </c>
      <c r="F128" s="6">
        <v>24</v>
      </c>
      <c r="G128" s="15">
        <f t="shared" si="0"/>
        <v>54.559439999999995</v>
      </c>
    </row>
    <row r="129" spans="1:7" ht="15.75" thickBot="1" x14ac:dyDescent="0.3">
      <c r="A129" s="83" t="s">
        <v>469</v>
      </c>
      <c r="B129" s="84" t="s">
        <v>64</v>
      </c>
      <c r="C129" s="6">
        <v>2.7143999999999999</v>
      </c>
      <c r="D129" s="6">
        <f>References!AM38-References!AL38-References!AK38</f>
        <v>5.4</v>
      </c>
      <c r="E129" s="6">
        <v>24</v>
      </c>
      <c r="F129" s="6">
        <v>28</v>
      </c>
      <c r="G129" s="15">
        <f t="shared" si="0"/>
        <v>58.631039999999999</v>
      </c>
    </row>
    <row r="130" spans="1:7" ht="15.75" thickBot="1" x14ac:dyDescent="0.3">
      <c r="A130" s="83" t="s">
        <v>66</v>
      </c>
      <c r="B130" s="84" t="s">
        <v>64</v>
      </c>
      <c r="C130" s="6">
        <v>2.7143999999999999</v>
      </c>
      <c r="D130" s="6">
        <f>References!AM39-References!AL39-References!AK39</f>
        <v>4.32</v>
      </c>
      <c r="E130" s="6">
        <v>22.5</v>
      </c>
      <c r="F130" s="6">
        <v>28</v>
      </c>
      <c r="G130" s="15">
        <f t="shared" si="0"/>
        <v>64.494144000000006</v>
      </c>
    </row>
    <row r="131" spans="1:7" ht="15.75" thickBot="1" x14ac:dyDescent="0.3">
      <c r="A131" s="83"/>
      <c r="B131" s="84" t="s">
        <v>88</v>
      </c>
      <c r="C131" s="6">
        <v>2.7143999999999999</v>
      </c>
      <c r="D131" s="6">
        <f>References!AM40-References!AL40-References!AK40</f>
        <v>13.4</v>
      </c>
      <c r="E131" s="6">
        <v>22.5</v>
      </c>
      <c r="F131" s="6">
        <v>24</v>
      </c>
      <c r="G131" s="15">
        <f t="shared" si="0"/>
        <v>54.559439999999995</v>
      </c>
    </row>
    <row r="132" spans="1:7" ht="15.75" thickBot="1" x14ac:dyDescent="0.3">
      <c r="A132" s="83" t="s">
        <v>88</v>
      </c>
      <c r="B132" s="84" t="s">
        <v>64</v>
      </c>
      <c r="C132" s="6">
        <v>2.7143999999999999</v>
      </c>
      <c r="D132" s="6">
        <f>References!AM41-References!AL41-References!AK41</f>
        <v>5.4</v>
      </c>
      <c r="E132" s="6">
        <v>24</v>
      </c>
      <c r="F132" s="6">
        <v>28</v>
      </c>
      <c r="G132" s="15">
        <f t="shared" si="0"/>
        <v>58.631039999999999</v>
      </c>
    </row>
    <row r="133" spans="1:7" ht="15.75" thickBot="1" x14ac:dyDescent="0.3">
      <c r="A133" s="83" t="s">
        <v>181</v>
      </c>
      <c r="B133" s="84" t="s">
        <v>217</v>
      </c>
      <c r="C133" s="6">
        <v>2.7143999999999999</v>
      </c>
      <c r="D133" s="6">
        <f>References!AM42-References!AL42-References!AK42</f>
        <v>12</v>
      </c>
      <c r="E133" s="6">
        <v>22.5</v>
      </c>
      <c r="F133" s="6">
        <v>24</v>
      </c>
      <c r="G133" s="15">
        <f t="shared" si="0"/>
        <v>48.859200000000001</v>
      </c>
    </row>
    <row r="134" spans="1:7" ht="15.75" thickBot="1" x14ac:dyDescent="0.3">
      <c r="A134" s="83"/>
      <c r="B134" s="84" t="s">
        <v>64</v>
      </c>
      <c r="C134" s="6">
        <v>2.7143999999999999</v>
      </c>
      <c r="D134" s="6">
        <f>References!AM43-References!AL43-References!AK43</f>
        <v>10.4</v>
      </c>
      <c r="E134" s="6">
        <v>22.5</v>
      </c>
      <c r="F134" s="6">
        <v>28</v>
      </c>
      <c r="G134" s="15">
        <f t="shared" si="0"/>
        <v>155.26367999999999</v>
      </c>
    </row>
    <row r="135" spans="1:7" ht="15.75" thickBot="1" x14ac:dyDescent="0.3">
      <c r="A135" s="83" t="s">
        <v>142</v>
      </c>
      <c r="B135" s="84" t="s">
        <v>64</v>
      </c>
      <c r="C135" s="6">
        <v>2.7143999999999999</v>
      </c>
      <c r="D135" s="6">
        <f>References!AM44-References!AL44-References!AK44</f>
        <v>10.199999999999999</v>
      </c>
      <c r="E135" s="6">
        <v>22.5</v>
      </c>
      <c r="F135" s="6">
        <v>28</v>
      </c>
      <c r="G135" s="15">
        <f t="shared" si="0"/>
        <v>152.27784</v>
      </c>
    </row>
    <row r="136" spans="1:7" ht="15.75" thickBot="1" x14ac:dyDescent="0.3">
      <c r="A136" s="83"/>
      <c r="B136" s="84" t="s">
        <v>217</v>
      </c>
      <c r="C136" s="6">
        <v>2.7143999999999999</v>
      </c>
      <c r="D136" s="6">
        <f>References!AM45-References!AL45-References!AK45</f>
        <v>9.6000000000000014</v>
      </c>
      <c r="E136" s="6">
        <v>22.5</v>
      </c>
      <c r="F136" s="6">
        <v>24</v>
      </c>
      <c r="G136" s="15">
        <f t="shared" si="0"/>
        <v>39.087360000000004</v>
      </c>
    </row>
    <row r="137" spans="1:7" ht="15.75" thickBot="1" x14ac:dyDescent="0.3">
      <c r="A137" s="83" t="s">
        <v>141</v>
      </c>
      <c r="B137" s="84" t="s">
        <v>64</v>
      </c>
      <c r="C137" s="6">
        <v>2.7143999999999999</v>
      </c>
      <c r="D137" s="6">
        <f>References!AM46-References!AL46-References!AK46</f>
        <v>22</v>
      </c>
      <c r="E137" s="6">
        <v>22.5</v>
      </c>
      <c r="F137" s="6">
        <v>28</v>
      </c>
      <c r="G137" s="15">
        <f t="shared" si="0"/>
        <v>328.44240000000002</v>
      </c>
    </row>
    <row r="138" spans="1:7" ht="15.75" thickBot="1" x14ac:dyDescent="0.3">
      <c r="A138" s="83" t="s">
        <v>140</v>
      </c>
      <c r="B138" s="84" t="s">
        <v>64</v>
      </c>
      <c r="C138" s="6">
        <v>2.7143999999999999</v>
      </c>
      <c r="D138" s="6">
        <f>References!AM47-References!AL47-References!AK47</f>
        <v>13.2</v>
      </c>
      <c r="E138" s="6">
        <v>22.5</v>
      </c>
      <c r="F138" s="6">
        <v>28</v>
      </c>
      <c r="G138" s="15">
        <f t="shared" si="0"/>
        <v>197.06543999999997</v>
      </c>
    </row>
    <row r="139" spans="1:7" ht="15.75" thickBot="1" x14ac:dyDescent="0.3">
      <c r="A139" s="83"/>
      <c r="B139" s="84" t="s">
        <v>226</v>
      </c>
      <c r="C139" s="6">
        <v>2.7143999999999999</v>
      </c>
      <c r="D139" s="6">
        <f>References!AM48-References!AL48-References!AK48</f>
        <v>12</v>
      </c>
      <c r="E139" s="6">
        <v>22.5</v>
      </c>
      <c r="F139" s="6">
        <v>24</v>
      </c>
      <c r="G139" s="15">
        <f t="shared" si="0"/>
        <v>48.859200000000001</v>
      </c>
    </row>
    <row r="140" spans="1:7" ht="15.75" thickBot="1" x14ac:dyDescent="0.3">
      <c r="A140" s="83"/>
      <c r="B140" s="84" t="s">
        <v>225</v>
      </c>
      <c r="C140" s="6">
        <v>2.7143999999999999</v>
      </c>
      <c r="D140" s="6">
        <f>References!AM49-References!AL49-References!AK49</f>
        <v>10.4</v>
      </c>
      <c r="E140" s="6">
        <v>22.5</v>
      </c>
      <c r="F140" s="6">
        <v>24</v>
      </c>
      <c r="G140" s="15">
        <f t="shared" si="0"/>
        <v>42.344639999999998</v>
      </c>
    </row>
    <row r="141" spans="1:7" ht="15.75" thickBot="1" x14ac:dyDescent="0.3">
      <c r="A141" s="83"/>
      <c r="B141" s="84" t="s">
        <v>139</v>
      </c>
      <c r="C141" s="6">
        <v>2.7143999999999999</v>
      </c>
      <c r="D141" s="6">
        <f>References!AM50-References!AL50-References!AK50</f>
        <v>15.32</v>
      </c>
      <c r="E141" s="6">
        <v>22.5</v>
      </c>
      <c r="F141" s="6">
        <v>22</v>
      </c>
      <c r="G141" s="15">
        <f t="shared" si="0"/>
        <v>20.792304000000001</v>
      </c>
    </row>
    <row r="142" spans="1:7" ht="15.75" thickBot="1" x14ac:dyDescent="0.3">
      <c r="A142" s="83" t="s">
        <v>471</v>
      </c>
      <c r="B142" s="84" t="s">
        <v>472</v>
      </c>
      <c r="C142" s="6">
        <v>2.7143999999999999</v>
      </c>
      <c r="D142" s="6">
        <f>References!AM51-References!AL51-References!AK51</f>
        <v>13.4</v>
      </c>
      <c r="E142" s="6">
        <v>22.5</v>
      </c>
      <c r="F142" s="6">
        <v>24</v>
      </c>
      <c r="G142" s="15">
        <f t="shared" si="0"/>
        <v>54.559439999999995</v>
      </c>
    </row>
    <row r="143" spans="1:7" ht="15.75" thickBot="1" x14ac:dyDescent="0.3">
      <c r="A143" s="83"/>
      <c r="B143" s="84" t="s">
        <v>64</v>
      </c>
      <c r="C143" s="6">
        <v>2.7143999999999999</v>
      </c>
      <c r="D143" s="6">
        <f>References!AM52-References!AL52-References!AK52</f>
        <v>51.52</v>
      </c>
      <c r="E143" s="6">
        <v>22.5</v>
      </c>
      <c r="F143" s="6">
        <v>28</v>
      </c>
      <c r="G143" s="15">
        <f t="shared" si="0"/>
        <v>769.15238399999998</v>
      </c>
    </row>
    <row r="144" spans="1:7" ht="15.75" thickBot="1" x14ac:dyDescent="0.3">
      <c r="A144" s="83" t="s">
        <v>472</v>
      </c>
      <c r="B144" s="84" t="s">
        <v>64</v>
      </c>
      <c r="C144" s="6">
        <v>2.7143999999999999</v>
      </c>
      <c r="D144" s="6">
        <f>References!AM53-References!AL53-References!AK53</f>
        <v>5.4</v>
      </c>
      <c r="E144" s="6">
        <v>24</v>
      </c>
      <c r="F144" s="6">
        <v>28</v>
      </c>
      <c r="G144" s="15">
        <f t="shared" si="0"/>
        <v>58.631039999999999</v>
      </c>
    </row>
    <row r="145" spans="1:7" ht="15.75" thickBot="1" x14ac:dyDescent="0.3">
      <c r="A145" s="83" t="s">
        <v>471</v>
      </c>
      <c r="B145" s="84" t="s">
        <v>472</v>
      </c>
      <c r="C145" s="6">
        <v>2.7143999999999999</v>
      </c>
      <c r="D145" s="6">
        <f>References!AM54-References!AL54-References!AK54</f>
        <v>13.4</v>
      </c>
      <c r="E145" s="6">
        <v>22.5</v>
      </c>
      <c r="F145" s="6">
        <v>24</v>
      </c>
      <c r="G145" s="15">
        <f t="shared" si="0"/>
        <v>54.559439999999995</v>
      </c>
    </row>
    <row r="146" spans="1:7" ht="15.75" thickBot="1" x14ac:dyDescent="0.3">
      <c r="A146" s="83"/>
      <c r="B146" s="84" t="s">
        <v>64</v>
      </c>
      <c r="C146" s="6">
        <v>2.7143999999999999</v>
      </c>
      <c r="D146" s="6">
        <f>References!AM55-References!AL55-References!AK55</f>
        <v>54.68</v>
      </c>
      <c r="E146" s="6">
        <v>22.5</v>
      </c>
      <c r="F146" s="6">
        <v>28</v>
      </c>
      <c r="G146" s="15">
        <f t="shared" si="0"/>
        <v>816.32865600000002</v>
      </c>
    </row>
    <row r="147" spans="1:7" ht="15.75" thickBot="1" x14ac:dyDescent="0.3">
      <c r="A147" s="83" t="s">
        <v>472</v>
      </c>
      <c r="B147" s="84" t="s">
        <v>64</v>
      </c>
      <c r="C147" s="6">
        <v>2.7143999999999999</v>
      </c>
      <c r="D147" s="6">
        <f>References!AM56-References!AL56-References!AK56</f>
        <v>5.4</v>
      </c>
      <c r="E147" s="6">
        <v>24</v>
      </c>
      <c r="F147" s="6">
        <v>28</v>
      </c>
      <c r="G147" s="15">
        <f t="shared" si="0"/>
        <v>58.631039999999999</v>
      </c>
    </row>
    <row r="148" spans="1:7" ht="15.75" thickBot="1" x14ac:dyDescent="0.3">
      <c r="A148" s="83" t="s">
        <v>184</v>
      </c>
      <c r="B148" s="84" t="s">
        <v>64</v>
      </c>
      <c r="C148" s="6">
        <v>2.7143999999999999</v>
      </c>
      <c r="D148" s="6">
        <f>References!AM57-References!AL57-References!AK57</f>
        <v>36.159999999999997</v>
      </c>
      <c r="E148" s="6">
        <v>22.5</v>
      </c>
      <c r="F148" s="6">
        <v>28</v>
      </c>
      <c r="G148" s="15">
        <f t="shared" si="0"/>
        <v>539.8398719999999</v>
      </c>
    </row>
    <row r="149" spans="1:7" ht="15.75" thickBot="1" x14ac:dyDescent="0.3">
      <c r="A149" s="83" t="s">
        <v>471</v>
      </c>
      <c r="B149" s="84" t="s">
        <v>472</v>
      </c>
      <c r="C149" s="6">
        <v>2.7143999999999999</v>
      </c>
      <c r="D149" s="6">
        <f>References!AM58-References!AL58-References!AK58</f>
        <v>13.4</v>
      </c>
      <c r="E149" s="6">
        <v>22.5</v>
      </c>
      <c r="F149" s="6">
        <v>24</v>
      </c>
      <c r="G149" s="15">
        <f t="shared" si="0"/>
        <v>54.559439999999995</v>
      </c>
    </row>
    <row r="150" spans="1:7" ht="15.75" thickBot="1" x14ac:dyDescent="0.3">
      <c r="A150" s="83"/>
      <c r="B150" s="84" t="s">
        <v>64</v>
      </c>
      <c r="C150" s="6">
        <v>2.7143999999999999</v>
      </c>
      <c r="D150" s="6">
        <f>References!AM59-References!AL59-References!AK59</f>
        <v>47</v>
      </c>
      <c r="E150" s="6">
        <v>22.5</v>
      </c>
      <c r="F150" s="6">
        <v>28</v>
      </c>
      <c r="G150" s="15">
        <f t="shared" si="0"/>
        <v>701.67239999999993</v>
      </c>
    </row>
    <row r="151" spans="1:7" ht="15.75" thickBot="1" x14ac:dyDescent="0.3">
      <c r="A151" s="83" t="s">
        <v>472</v>
      </c>
      <c r="B151" s="84" t="s">
        <v>64</v>
      </c>
      <c r="C151" s="6">
        <v>2.7143999999999999</v>
      </c>
      <c r="D151" s="6">
        <f>References!AM60-References!AL60-References!AK60</f>
        <v>5.4</v>
      </c>
      <c r="E151" s="6">
        <v>24</v>
      </c>
      <c r="F151" s="6">
        <v>28</v>
      </c>
      <c r="G151" s="15">
        <f t="shared" si="0"/>
        <v>58.631039999999999</v>
      </c>
    </row>
    <row r="152" spans="1:7" ht="15.75" thickBot="1" x14ac:dyDescent="0.3">
      <c r="A152" s="83" t="s">
        <v>471</v>
      </c>
      <c r="B152" s="84" t="s">
        <v>472</v>
      </c>
      <c r="C152" s="6">
        <v>2.7143999999999999</v>
      </c>
      <c r="D152" s="6">
        <f>References!AM61-References!AL61-References!AK61</f>
        <v>13.4</v>
      </c>
      <c r="E152" s="6">
        <v>22.5</v>
      </c>
      <c r="F152" s="6">
        <v>24</v>
      </c>
      <c r="G152" s="15">
        <f t="shared" si="0"/>
        <v>54.559439999999995</v>
      </c>
    </row>
    <row r="153" spans="1:7" ht="15.75" thickBot="1" x14ac:dyDescent="0.3">
      <c r="A153" s="83"/>
      <c r="B153" s="84" t="s">
        <v>64</v>
      </c>
      <c r="C153" s="6">
        <v>2.7143999999999999</v>
      </c>
      <c r="D153" s="6">
        <f>References!AM62-References!AL62-References!AK62</f>
        <v>56.08</v>
      </c>
      <c r="E153" s="6">
        <v>22.5</v>
      </c>
      <c r="F153" s="6">
        <v>28</v>
      </c>
      <c r="G153" s="15">
        <f t="shared" si="0"/>
        <v>837.22953599999994</v>
      </c>
    </row>
    <row r="154" spans="1:7" ht="15.75" thickBot="1" x14ac:dyDescent="0.3">
      <c r="A154" s="83" t="s">
        <v>472</v>
      </c>
      <c r="B154" s="84" t="s">
        <v>64</v>
      </c>
      <c r="C154" s="6">
        <v>2.7143999999999999</v>
      </c>
      <c r="D154" s="6">
        <f>References!AM63-References!AL63-References!AK63</f>
        <v>5.4</v>
      </c>
      <c r="E154" s="6">
        <v>24</v>
      </c>
      <c r="F154" s="6">
        <v>28</v>
      </c>
      <c r="G154" s="15">
        <f t="shared" si="0"/>
        <v>58.631039999999999</v>
      </c>
    </row>
    <row r="155" spans="1:7" ht="15.75" thickBot="1" x14ac:dyDescent="0.3">
      <c r="A155" s="83" t="s">
        <v>70</v>
      </c>
      <c r="B155" s="84" t="s">
        <v>64</v>
      </c>
      <c r="C155" s="6">
        <v>2.7143999999999999</v>
      </c>
      <c r="D155" s="6">
        <f>References!AM64-References!AL64-References!AK64</f>
        <v>4.4000000000000004</v>
      </c>
      <c r="E155" s="6">
        <v>22.5</v>
      </c>
      <c r="F155" s="6">
        <v>28</v>
      </c>
      <c r="G155" s="15">
        <f t="shared" si="0"/>
        <v>65.688479999999998</v>
      </c>
    </row>
    <row r="156" spans="1:7" ht="15.75" thickBot="1" x14ac:dyDescent="0.3">
      <c r="A156" s="83"/>
      <c r="B156" s="84" t="s">
        <v>469</v>
      </c>
      <c r="C156" s="6">
        <v>2.7143999999999999</v>
      </c>
      <c r="D156" s="6">
        <f>References!AM65-References!AL65-References!AK65</f>
        <v>13.4</v>
      </c>
      <c r="E156" s="6">
        <v>22.5</v>
      </c>
      <c r="F156" s="6">
        <v>24</v>
      </c>
      <c r="G156" s="15">
        <f t="shared" si="0"/>
        <v>54.559439999999995</v>
      </c>
    </row>
    <row r="157" spans="1:7" ht="15.75" thickBot="1" x14ac:dyDescent="0.3">
      <c r="A157" s="83" t="s">
        <v>469</v>
      </c>
      <c r="B157" s="84" t="s">
        <v>64</v>
      </c>
      <c r="C157" s="6">
        <v>2.7143999999999999</v>
      </c>
      <c r="D157" s="6">
        <f>References!AM66-References!AL66-References!AK66</f>
        <v>5.4</v>
      </c>
      <c r="E157" s="6">
        <v>24</v>
      </c>
      <c r="F157" s="6">
        <v>28</v>
      </c>
      <c r="G157" s="15">
        <f t="shared" si="0"/>
        <v>58.631039999999999</v>
      </c>
    </row>
    <row r="158" spans="1:7" ht="15.75" thickBot="1" x14ac:dyDescent="0.3">
      <c r="A158" s="83" t="s">
        <v>70</v>
      </c>
      <c r="B158" s="84" t="s">
        <v>64</v>
      </c>
      <c r="C158" s="6">
        <v>2.7143999999999999</v>
      </c>
      <c r="D158" s="6">
        <f>References!AM67-References!AL67-References!AK67</f>
        <v>4.4000000000000004</v>
      </c>
      <c r="E158" s="6">
        <v>22.5</v>
      </c>
      <c r="F158" s="6">
        <v>28</v>
      </c>
      <c r="G158" s="15">
        <f t="shared" si="0"/>
        <v>65.688479999999998</v>
      </c>
    </row>
    <row r="159" spans="1:7" ht="15.75" thickBot="1" x14ac:dyDescent="0.3">
      <c r="A159" s="83"/>
      <c r="B159" s="84" t="s">
        <v>469</v>
      </c>
      <c r="C159" s="6">
        <v>2.7143999999999999</v>
      </c>
      <c r="D159" s="6">
        <f>References!AM68-References!AL68-References!AK68</f>
        <v>13.4</v>
      </c>
      <c r="E159" s="6">
        <v>22.5</v>
      </c>
      <c r="F159" s="6">
        <v>24</v>
      </c>
      <c r="G159" s="15">
        <f t="shared" si="0"/>
        <v>54.559439999999995</v>
      </c>
    </row>
    <row r="160" spans="1:7" ht="15.75" thickBot="1" x14ac:dyDescent="0.3">
      <c r="A160" s="83" t="s">
        <v>469</v>
      </c>
      <c r="B160" s="84" t="s">
        <v>64</v>
      </c>
      <c r="C160" s="6">
        <v>2.7143999999999999</v>
      </c>
      <c r="D160" s="6">
        <f>References!AM69-References!AL69-References!AK69</f>
        <v>5.4</v>
      </c>
      <c r="E160" s="6">
        <v>24</v>
      </c>
      <c r="F160" s="6">
        <v>28</v>
      </c>
      <c r="G160" s="15">
        <f t="shared" ref="G160:G197" si="1">ABS(C160*D160*(F160-E160))</f>
        <v>58.631039999999999</v>
      </c>
    </row>
    <row r="161" spans="1:7" ht="15.75" thickBot="1" x14ac:dyDescent="0.3">
      <c r="A161" s="83" t="s">
        <v>70</v>
      </c>
      <c r="B161" s="84" t="s">
        <v>64</v>
      </c>
      <c r="C161" s="6">
        <v>2.7143999999999999</v>
      </c>
      <c r="D161" s="6">
        <f>References!AM70-References!AL70-References!AK70</f>
        <v>4.4000000000000004</v>
      </c>
      <c r="E161" s="6">
        <v>22.5</v>
      </c>
      <c r="F161" s="6">
        <v>28</v>
      </c>
      <c r="G161" s="15">
        <f t="shared" si="1"/>
        <v>65.688479999999998</v>
      </c>
    </row>
    <row r="162" spans="1:7" ht="15.75" thickBot="1" x14ac:dyDescent="0.3">
      <c r="A162" s="83"/>
      <c r="B162" s="84" t="s">
        <v>469</v>
      </c>
      <c r="C162" s="6">
        <v>2.7143999999999999</v>
      </c>
      <c r="D162" s="6">
        <f>References!AM71-References!AL71-References!AK71</f>
        <v>13.4</v>
      </c>
      <c r="E162" s="6">
        <v>22.5</v>
      </c>
      <c r="F162" s="6">
        <v>24</v>
      </c>
      <c r="G162" s="15">
        <f t="shared" si="1"/>
        <v>54.559439999999995</v>
      </c>
    </row>
    <row r="163" spans="1:7" ht="15.75" thickBot="1" x14ac:dyDescent="0.3">
      <c r="A163" s="83" t="s">
        <v>469</v>
      </c>
      <c r="B163" s="84" t="s">
        <v>64</v>
      </c>
      <c r="C163" s="6">
        <v>2.7143999999999999</v>
      </c>
      <c r="D163" s="6">
        <f>References!AM72-References!AL72-References!AK72</f>
        <v>5.4</v>
      </c>
      <c r="E163" s="6">
        <v>24</v>
      </c>
      <c r="F163" s="6">
        <v>28</v>
      </c>
      <c r="G163" s="15">
        <f t="shared" si="1"/>
        <v>58.631039999999999</v>
      </c>
    </row>
    <row r="164" spans="1:7" ht="15.75" thickBot="1" x14ac:dyDescent="0.3">
      <c r="A164" s="83" t="s">
        <v>70</v>
      </c>
      <c r="B164" s="84" t="s">
        <v>64</v>
      </c>
      <c r="C164" s="6">
        <v>2.7143999999999999</v>
      </c>
      <c r="D164" s="6">
        <f>References!AM73-References!AL73-References!AK73</f>
        <v>4.4000000000000004</v>
      </c>
      <c r="E164" s="6">
        <v>22.5</v>
      </c>
      <c r="F164" s="6">
        <v>28</v>
      </c>
      <c r="G164" s="15">
        <f t="shared" si="1"/>
        <v>65.688479999999998</v>
      </c>
    </row>
    <row r="165" spans="1:7" ht="15.75" thickBot="1" x14ac:dyDescent="0.3">
      <c r="A165" s="83"/>
      <c r="B165" s="84" t="s">
        <v>469</v>
      </c>
      <c r="C165" s="6">
        <v>2.7143999999999999</v>
      </c>
      <c r="D165" s="6">
        <f>References!AM74-References!AL74-References!AK74</f>
        <v>13.4</v>
      </c>
      <c r="E165" s="6">
        <v>22.5</v>
      </c>
      <c r="F165" s="6">
        <v>24</v>
      </c>
      <c r="G165" s="15">
        <f t="shared" si="1"/>
        <v>54.559439999999995</v>
      </c>
    </row>
    <row r="166" spans="1:7" ht="15.75" thickBot="1" x14ac:dyDescent="0.3">
      <c r="A166" s="83" t="s">
        <v>469</v>
      </c>
      <c r="B166" s="84" t="s">
        <v>64</v>
      </c>
      <c r="C166" s="6">
        <v>2.7143999999999999</v>
      </c>
      <c r="D166" s="6">
        <f>References!AM75-References!AL75-References!AK75</f>
        <v>5.4</v>
      </c>
      <c r="E166" s="6">
        <v>24</v>
      </c>
      <c r="F166" s="6">
        <v>28</v>
      </c>
      <c r="G166" s="15">
        <f t="shared" si="1"/>
        <v>58.631039999999999</v>
      </c>
    </row>
    <row r="167" spans="1:7" ht="15.75" thickBot="1" x14ac:dyDescent="0.3">
      <c r="A167" s="83" t="s">
        <v>139</v>
      </c>
      <c r="B167" s="84" t="s">
        <v>226</v>
      </c>
      <c r="C167" s="6">
        <v>2.7143999999999999</v>
      </c>
      <c r="D167" s="6">
        <f>References!AM76-References!AL76-References!AK76</f>
        <v>6.2</v>
      </c>
      <c r="E167" s="6">
        <v>22</v>
      </c>
      <c r="F167" s="6">
        <v>24</v>
      </c>
      <c r="G167" s="15">
        <f t="shared" si="1"/>
        <v>33.658560000000001</v>
      </c>
    </row>
    <row r="168" spans="1:7" ht="15.75" thickBot="1" x14ac:dyDescent="0.3">
      <c r="A168" s="83"/>
      <c r="B168" s="84" t="s">
        <v>473</v>
      </c>
      <c r="C168" s="6">
        <v>2.7143999999999999</v>
      </c>
      <c r="D168" s="6">
        <f>References!AM77-References!AL77-References!AK77</f>
        <v>6.6000000000000005</v>
      </c>
      <c r="E168" s="6">
        <v>22</v>
      </c>
      <c r="F168" s="6">
        <v>22.5</v>
      </c>
      <c r="G168" s="15">
        <f t="shared" si="1"/>
        <v>8.9575200000000006</v>
      </c>
    </row>
    <row r="169" spans="1:7" ht="15.75" thickBot="1" x14ac:dyDescent="0.3">
      <c r="A169" s="83"/>
      <c r="B169" s="84" t="s">
        <v>64</v>
      </c>
      <c r="C169" s="6">
        <v>2.7143999999999999</v>
      </c>
      <c r="D169" s="6">
        <f>References!AM78-References!AL78-References!AK78</f>
        <v>30.599999999999998</v>
      </c>
      <c r="E169" s="6">
        <v>22</v>
      </c>
      <c r="F169" s="6">
        <v>28</v>
      </c>
      <c r="G169" s="15">
        <f t="shared" si="1"/>
        <v>498.36383999999998</v>
      </c>
    </row>
    <row r="170" spans="1:7" ht="15.75" thickBot="1" x14ac:dyDescent="0.3">
      <c r="A170" s="83" t="s">
        <v>473</v>
      </c>
      <c r="B170" s="84" t="s">
        <v>226</v>
      </c>
      <c r="C170" s="6">
        <v>2.7143999999999999</v>
      </c>
      <c r="D170" s="6">
        <f>References!AM79-References!AL79-References!AK79</f>
        <v>12</v>
      </c>
      <c r="E170" s="6">
        <v>22.5</v>
      </c>
      <c r="F170" s="6">
        <v>24</v>
      </c>
      <c r="G170" s="15">
        <f t="shared" si="1"/>
        <v>48.859200000000001</v>
      </c>
    </row>
    <row r="171" spans="1:7" ht="15.75" thickBot="1" x14ac:dyDescent="0.3">
      <c r="A171" s="83"/>
      <c r="B171" s="84" t="s">
        <v>64</v>
      </c>
      <c r="C171" s="6">
        <v>2.7143999999999999</v>
      </c>
      <c r="D171" s="6">
        <f>References!AM80-References!AL80-References!AK80</f>
        <v>11.2</v>
      </c>
      <c r="E171" s="6">
        <v>22.5</v>
      </c>
      <c r="F171" s="6">
        <v>28</v>
      </c>
      <c r="G171" s="15">
        <f t="shared" si="1"/>
        <v>167.20703999999998</v>
      </c>
    </row>
    <row r="172" spans="1:7" ht="15.75" thickBot="1" x14ac:dyDescent="0.3">
      <c r="A172" s="83" t="s">
        <v>192</v>
      </c>
      <c r="B172" s="84" t="s">
        <v>64</v>
      </c>
      <c r="C172" s="6">
        <v>2.7143999999999999</v>
      </c>
      <c r="D172" s="6">
        <f>References!AM81-References!AL81-References!AK81</f>
        <v>38.999999999999993</v>
      </c>
      <c r="E172" s="6">
        <v>22.5</v>
      </c>
      <c r="F172" s="6">
        <v>28</v>
      </c>
      <c r="G172" s="15">
        <f t="shared" si="1"/>
        <v>582.23879999999986</v>
      </c>
    </row>
    <row r="173" spans="1:7" ht="15.75" thickBot="1" x14ac:dyDescent="0.3">
      <c r="A173" s="83" t="s">
        <v>193</v>
      </c>
      <c r="B173" s="84" t="s">
        <v>64</v>
      </c>
      <c r="C173" s="6">
        <v>2.7143999999999999</v>
      </c>
      <c r="D173" s="6">
        <f>References!AM82-References!AL82-References!AK82</f>
        <v>15.6</v>
      </c>
      <c r="E173" s="6">
        <v>22.5</v>
      </c>
      <c r="F173" s="6">
        <v>28</v>
      </c>
      <c r="G173" s="15">
        <f t="shared" si="1"/>
        <v>232.89551999999998</v>
      </c>
    </row>
    <row r="174" spans="1:7" ht="15.75" thickBot="1" x14ac:dyDescent="0.3">
      <c r="A174" s="83" t="s">
        <v>474</v>
      </c>
      <c r="B174" s="84" t="s">
        <v>64</v>
      </c>
      <c r="C174" s="6">
        <v>2.7143999999999999</v>
      </c>
      <c r="D174" s="6">
        <f>References!AM83-References!AL83-References!AK83</f>
        <v>15.92</v>
      </c>
      <c r="E174" s="6">
        <v>22.5</v>
      </c>
      <c r="F174" s="6">
        <v>28</v>
      </c>
      <c r="G174" s="15">
        <f t="shared" si="1"/>
        <v>237.672864</v>
      </c>
    </row>
    <row r="175" spans="1:7" ht="15.75" thickBot="1" x14ac:dyDescent="0.3">
      <c r="A175" s="83" t="s">
        <v>475</v>
      </c>
      <c r="B175" s="84" t="s">
        <v>64</v>
      </c>
      <c r="C175" s="6">
        <v>2.7143999999999999</v>
      </c>
      <c r="D175" s="6">
        <f>References!AM84-References!AL84-References!AK84</f>
        <v>9</v>
      </c>
      <c r="E175" s="6">
        <v>22.5</v>
      </c>
      <c r="F175" s="6">
        <v>28</v>
      </c>
      <c r="G175" s="15">
        <f t="shared" si="1"/>
        <v>134.36279999999999</v>
      </c>
    </row>
    <row r="176" spans="1:7" ht="15.75" thickBot="1" x14ac:dyDescent="0.3">
      <c r="A176" s="83"/>
      <c r="B176" s="84" t="s">
        <v>476</v>
      </c>
      <c r="C176" s="6">
        <v>2.7143999999999999</v>
      </c>
      <c r="D176" s="6">
        <f>References!AM85-References!AL85-References!AK85</f>
        <v>15.6</v>
      </c>
      <c r="E176" s="6">
        <v>22.5</v>
      </c>
      <c r="F176" s="6">
        <v>22</v>
      </c>
      <c r="G176" s="15">
        <f t="shared" si="1"/>
        <v>21.172319999999999</v>
      </c>
    </row>
    <row r="177" spans="1:7" ht="15.75" thickBot="1" x14ac:dyDescent="0.3">
      <c r="A177" s="83" t="s">
        <v>431</v>
      </c>
      <c r="B177" s="84" t="s">
        <v>64</v>
      </c>
      <c r="C177" s="6">
        <v>2.7143999999999999</v>
      </c>
      <c r="D177" s="6">
        <f>References!AM86-References!AL86-References!AK86</f>
        <v>48</v>
      </c>
      <c r="E177" s="6">
        <v>22.5</v>
      </c>
      <c r="F177" s="6">
        <v>28</v>
      </c>
      <c r="G177" s="15">
        <f t="shared" si="1"/>
        <v>716.60159999999996</v>
      </c>
    </row>
    <row r="178" spans="1:7" ht="15.75" thickBot="1" x14ac:dyDescent="0.3">
      <c r="A178" s="83"/>
      <c r="B178" s="84" t="s">
        <v>476</v>
      </c>
      <c r="C178" s="6">
        <v>2.7143999999999999</v>
      </c>
      <c r="D178" s="6">
        <f>References!AM87-References!AL87-References!AK87</f>
        <v>5.4</v>
      </c>
      <c r="E178" s="6">
        <v>22.5</v>
      </c>
      <c r="F178" s="6">
        <v>22</v>
      </c>
      <c r="G178" s="15">
        <f t="shared" si="1"/>
        <v>7.3288799999999998</v>
      </c>
    </row>
    <row r="179" spans="1:7" ht="15.75" thickBot="1" x14ac:dyDescent="0.3">
      <c r="A179" s="83" t="s">
        <v>477</v>
      </c>
      <c r="B179" s="84" t="s">
        <v>64</v>
      </c>
      <c r="C179" s="6">
        <v>2.7143999999999999</v>
      </c>
      <c r="D179" s="6">
        <f>References!AM88-References!AL88-References!AK88</f>
        <v>48.800000000000004</v>
      </c>
      <c r="E179" s="6">
        <v>22</v>
      </c>
      <c r="F179" s="6">
        <v>28</v>
      </c>
      <c r="G179" s="15">
        <f t="shared" si="1"/>
        <v>794.77632000000017</v>
      </c>
    </row>
    <row r="180" spans="1:7" ht="15.75" thickBot="1" x14ac:dyDescent="0.3">
      <c r="A180" s="83" t="s">
        <v>127</v>
      </c>
      <c r="B180" s="84" t="s">
        <v>64</v>
      </c>
      <c r="C180" s="6">
        <v>2.7143999999999999</v>
      </c>
      <c r="D180" s="6">
        <f>References!AM89-References!AL89-References!AK89</f>
        <v>52.720000000000006</v>
      </c>
      <c r="E180" s="6">
        <v>22.5</v>
      </c>
      <c r="F180" s="6">
        <v>28</v>
      </c>
      <c r="G180" s="15">
        <f t="shared" si="1"/>
        <v>787.06742400000007</v>
      </c>
    </row>
    <row r="181" spans="1:7" ht="15.75" thickBot="1" x14ac:dyDescent="0.3">
      <c r="A181" s="83"/>
      <c r="B181" s="84" t="s">
        <v>478</v>
      </c>
      <c r="C181" s="6">
        <v>2.7143999999999999</v>
      </c>
      <c r="D181" s="6">
        <f>References!AM90-References!AL90-References!AK90</f>
        <v>17</v>
      </c>
      <c r="E181" s="6">
        <v>22.5</v>
      </c>
      <c r="F181" s="6">
        <v>24</v>
      </c>
      <c r="G181" s="15">
        <f t="shared" si="1"/>
        <v>69.217199999999991</v>
      </c>
    </row>
    <row r="182" spans="1:7" ht="15.75" thickBot="1" x14ac:dyDescent="0.3">
      <c r="A182" s="83"/>
      <c r="B182" s="84" t="s">
        <v>128</v>
      </c>
      <c r="C182" s="6">
        <v>2.7143999999999999</v>
      </c>
      <c r="D182" s="6">
        <f>References!AM91-References!AL91-References!AK91</f>
        <v>24.12</v>
      </c>
      <c r="E182" s="6">
        <v>22.5</v>
      </c>
      <c r="F182" s="6">
        <v>24</v>
      </c>
      <c r="G182" s="15">
        <f t="shared" si="1"/>
        <v>98.206992</v>
      </c>
    </row>
    <row r="183" spans="1:7" ht="15.75" thickBot="1" x14ac:dyDescent="0.3">
      <c r="A183" s="83" t="s">
        <v>128</v>
      </c>
      <c r="B183" s="84" t="s">
        <v>129</v>
      </c>
      <c r="C183" s="6">
        <v>2.7143999999999999</v>
      </c>
      <c r="D183" s="6">
        <f>References!AM92-References!AL92-References!AK92</f>
        <v>12</v>
      </c>
      <c r="E183" s="6">
        <v>24</v>
      </c>
      <c r="F183" s="6">
        <v>22.5</v>
      </c>
      <c r="G183" s="15">
        <f t="shared" si="1"/>
        <v>48.859200000000001</v>
      </c>
    </row>
    <row r="184" spans="1:7" ht="15.75" thickBot="1" x14ac:dyDescent="0.3">
      <c r="A184" s="83" t="s">
        <v>129</v>
      </c>
      <c r="B184" s="84" t="s">
        <v>64</v>
      </c>
      <c r="C184" s="6">
        <v>2.7143999999999999</v>
      </c>
      <c r="D184" s="6">
        <f>References!AM93-References!AL93-References!AK93</f>
        <v>24.6</v>
      </c>
      <c r="E184" s="6">
        <v>22.5</v>
      </c>
      <c r="F184" s="6">
        <v>28</v>
      </c>
      <c r="G184" s="15">
        <f t="shared" si="1"/>
        <v>367.25832000000003</v>
      </c>
    </row>
    <row r="185" spans="1:7" ht="15.75" thickBot="1" x14ac:dyDescent="0.3">
      <c r="A185" s="83"/>
      <c r="B185" s="84" t="s">
        <v>155</v>
      </c>
      <c r="C185" s="6">
        <v>2.7143999999999999</v>
      </c>
      <c r="D185" s="6">
        <f>References!AM94-References!AL94-References!AK94</f>
        <v>11.96</v>
      </c>
      <c r="E185" s="6">
        <v>22.5</v>
      </c>
      <c r="F185" s="6">
        <v>24</v>
      </c>
      <c r="G185" s="15">
        <f t="shared" si="1"/>
        <v>48.696336000000002</v>
      </c>
    </row>
    <row r="186" spans="1:7" ht="15.75" thickBot="1" x14ac:dyDescent="0.3">
      <c r="A186" s="83" t="s">
        <v>412</v>
      </c>
      <c r="B186" s="84" t="s">
        <v>64</v>
      </c>
      <c r="C186" s="6">
        <v>2.7143999999999999</v>
      </c>
      <c r="D186" s="6">
        <f>References!AM95-References!AL95-References!AK95</f>
        <v>36.199999999999996</v>
      </c>
      <c r="E186" s="6">
        <v>22</v>
      </c>
      <c r="F186" s="6">
        <v>28</v>
      </c>
      <c r="G186" s="15">
        <f t="shared" si="1"/>
        <v>589.56767999999988</v>
      </c>
    </row>
    <row r="187" spans="1:7" ht="15.75" thickBot="1" x14ac:dyDescent="0.3">
      <c r="A187" s="83"/>
      <c r="B187" s="84" t="s">
        <v>473</v>
      </c>
      <c r="C187" s="6">
        <v>2.7143999999999999</v>
      </c>
      <c r="D187" s="6">
        <f>References!AM96-References!AL96-References!AK96</f>
        <v>7.2</v>
      </c>
      <c r="E187" s="6">
        <v>22</v>
      </c>
      <c r="F187" s="6">
        <v>22.5</v>
      </c>
      <c r="G187" s="15">
        <f t="shared" si="1"/>
        <v>9.7718399999999992</v>
      </c>
    </row>
    <row r="188" spans="1:7" ht="15.75" thickBot="1" x14ac:dyDescent="0.3">
      <c r="A188" s="83" t="s">
        <v>473</v>
      </c>
      <c r="B188" s="84" t="s">
        <v>479</v>
      </c>
      <c r="C188" s="6">
        <v>2.7143999999999999</v>
      </c>
      <c r="D188" s="6">
        <f>References!AM97-References!AL97-References!AK97</f>
        <v>9</v>
      </c>
      <c r="E188" s="6">
        <v>22.5</v>
      </c>
      <c r="F188" s="6">
        <v>24</v>
      </c>
      <c r="G188" s="15">
        <f t="shared" si="1"/>
        <v>36.644400000000005</v>
      </c>
    </row>
    <row r="189" spans="1:7" ht="15.75" thickBot="1" x14ac:dyDescent="0.3">
      <c r="A189" s="83"/>
      <c r="B189" s="84" t="s">
        <v>64</v>
      </c>
      <c r="C189" s="6">
        <v>2.7143999999999999</v>
      </c>
      <c r="D189" s="6">
        <f>References!AM98-References!AL98-References!AK98</f>
        <v>10.719999999999999</v>
      </c>
      <c r="E189" s="6">
        <v>22.5</v>
      </c>
      <c r="F189" s="6">
        <v>28</v>
      </c>
      <c r="G189" s="15">
        <f t="shared" si="1"/>
        <v>160.04102399999999</v>
      </c>
    </row>
    <row r="190" spans="1:7" ht="15.75" thickBot="1" x14ac:dyDescent="0.3">
      <c r="A190" s="83" t="s">
        <v>479</v>
      </c>
      <c r="B190" s="84" t="s">
        <v>64</v>
      </c>
      <c r="C190" s="6">
        <v>2.7143999999999999</v>
      </c>
      <c r="D190" s="6">
        <f>References!AM99-References!AL99-References!AK99</f>
        <v>7</v>
      </c>
      <c r="E190" s="6">
        <v>24</v>
      </c>
      <c r="F190" s="6">
        <v>28</v>
      </c>
      <c r="G190" s="15">
        <f t="shared" si="1"/>
        <v>76.003199999999993</v>
      </c>
    </row>
    <row r="191" spans="1:7" ht="15.75" thickBot="1" x14ac:dyDescent="0.3">
      <c r="A191" s="83" t="s">
        <v>480</v>
      </c>
      <c r="B191" s="84" t="s">
        <v>64</v>
      </c>
      <c r="C191" s="6">
        <v>2.7143999999999999</v>
      </c>
      <c r="D191" s="6">
        <f>References!AM100-References!AL100-References!AK100</f>
        <v>16.8</v>
      </c>
      <c r="E191" s="6">
        <v>24</v>
      </c>
      <c r="F191" s="6">
        <v>28</v>
      </c>
      <c r="G191" s="15">
        <f t="shared" si="1"/>
        <v>182.40768</v>
      </c>
    </row>
    <row r="192" spans="1:7" ht="15.75" thickBot="1" x14ac:dyDescent="0.3">
      <c r="A192" s="83" t="s">
        <v>481</v>
      </c>
      <c r="B192" s="84" t="s">
        <v>64</v>
      </c>
      <c r="C192" s="6">
        <v>2.7143999999999999</v>
      </c>
      <c r="D192" s="6">
        <f>References!AM101-References!AL101-References!AK101</f>
        <v>9.92</v>
      </c>
      <c r="E192" s="6">
        <v>24</v>
      </c>
      <c r="F192" s="6">
        <v>28</v>
      </c>
      <c r="G192" s="15">
        <f t="shared" si="1"/>
        <v>107.707392</v>
      </c>
    </row>
    <row r="193" spans="1:9" ht="15.75" thickBot="1" x14ac:dyDescent="0.3">
      <c r="A193" s="83" t="s">
        <v>229</v>
      </c>
      <c r="B193" s="84" t="s">
        <v>64</v>
      </c>
      <c r="C193" s="6">
        <v>2.7143999999999999</v>
      </c>
      <c r="D193" s="6">
        <f>References!AM102-References!AL102-References!AK102</f>
        <v>22.52</v>
      </c>
      <c r="E193" s="6">
        <v>24</v>
      </c>
      <c r="F193" s="6">
        <v>28</v>
      </c>
      <c r="G193" s="15">
        <f t="shared" si="1"/>
        <v>244.51315199999999</v>
      </c>
    </row>
    <row r="194" spans="1:9" ht="15.75" thickBot="1" x14ac:dyDescent="0.3">
      <c r="A194" s="83" t="s">
        <v>162</v>
      </c>
      <c r="B194" s="84" t="s">
        <v>131</v>
      </c>
      <c r="C194" s="6">
        <v>2.7143999999999999</v>
      </c>
      <c r="D194" s="6">
        <f>References!AM103-References!AL103-References!AK103</f>
        <v>5</v>
      </c>
      <c r="E194" s="6">
        <v>24</v>
      </c>
      <c r="F194" s="6">
        <v>22.5</v>
      </c>
      <c r="G194" s="15">
        <f t="shared" si="1"/>
        <v>20.357999999999997</v>
      </c>
    </row>
    <row r="195" spans="1:9" ht="15.75" thickBot="1" x14ac:dyDescent="0.3">
      <c r="A195" s="83" t="s">
        <v>163</v>
      </c>
      <c r="B195" s="84" t="s">
        <v>131</v>
      </c>
      <c r="C195" s="6">
        <v>2.7143999999999999</v>
      </c>
      <c r="D195" s="6">
        <f>References!AM104-References!AL104-References!AK104</f>
        <v>5</v>
      </c>
      <c r="E195" s="6">
        <v>24</v>
      </c>
      <c r="F195" s="6">
        <v>22.5</v>
      </c>
      <c r="G195" s="15">
        <f t="shared" si="1"/>
        <v>20.357999999999997</v>
      </c>
    </row>
    <row r="196" spans="1:9" ht="15.75" thickBot="1" x14ac:dyDescent="0.3">
      <c r="A196" s="83" t="s">
        <v>164</v>
      </c>
      <c r="B196" s="84" t="s">
        <v>131</v>
      </c>
      <c r="C196" s="6">
        <v>2.7143999999999999</v>
      </c>
      <c r="D196" s="6">
        <f>References!AM105-References!AL105-References!AK105</f>
        <v>23</v>
      </c>
      <c r="E196" s="6">
        <v>24</v>
      </c>
      <c r="F196" s="6">
        <v>22.5</v>
      </c>
      <c r="G196" s="15">
        <f t="shared" si="1"/>
        <v>93.646799999999999</v>
      </c>
    </row>
    <row r="197" spans="1:9" ht="15.75" thickBot="1" x14ac:dyDescent="0.3">
      <c r="A197" s="85" t="s">
        <v>131</v>
      </c>
      <c r="B197" s="86" t="s">
        <v>64</v>
      </c>
      <c r="C197" s="21">
        <v>2.7143999999999999</v>
      </c>
      <c r="D197" s="21">
        <f>References!AM106-References!AL106-References!AK106</f>
        <v>60.6</v>
      </c>
      <c r="E197" s="21">
        <v>22</v>
      </c>
      <c r="F197" s="21">
        <v>28</v>
      </c>
      <c r="G197" s="22">
        <f t="shared" si="1"/>
        <v>986.95583999999997</v>
      </c>
    </row>
    <row r="198" spans="1:9" ht="15.75" thickBot="1" x14ac:dyDescent="0.3">
      <c r="F198" s="43" t="s">
        <v>333</v>
      </c>
      <c r="G198" s="43">
        <f>SUM(G95:G197)</f>
        <v>19890.591177600007</v>
      </c>
    </row>
    <row r="200" spans="1:9" s="121" customFormat="1" ht="23.25" x14ac:dyDescent="0.35">
      <c r="A200" s="158" t="s">
        <v>59</v>
      </c>
      <c r="B200" s="158"/>
      <c r="C200" s="158"/>
      <c r="D200" s="158"/>
      <c r="E200" s="158"/>
      <c r="F200" s="158"/>
      <c r="G200" s="158"/>
      <c r="H200" s="108"/>
      <c r="I200" s="108"/>
    </row>
    <row r="201" spans="1:9" ht="15.75" thickBot="1" x14ac:dyDescent="0.3">
      <c r="A201" s="81" t="s">
        <v>0</v>
      </c>
      <c r="B201" s="82" t="s">
        <v>428</v>
      </c>
      <c r="C201" s="35" t="s">
        <v>2</v>
      </c>
      <c r="D201" s="35" t="s">
        <v>429</v>
      </c>
      <c r="E201" s="35" t="s">
        <v>7</v>
      </c>
      <c r="F201" s="35" t="s">
        <v>470</v>
      </c>
      <c r="G201" s="24" t="s">
        <v>430</v>
      </c>
    </row>
    <row r="202" spans="1:9" ht="15.75" thickBot="1" x14ac:dyDescent="0.3">
      <c r="A202" s="83" t="s">
        <v>60</v>
      </c>
      <c r="B202" s="84" t="s">
        <v>64</v>
      </c>
      <c r="C202" s="6">
        <v>2.7143999999999999</v>
      </c>
      <c r="D202" s="6">
        <f>References!AQ4-References!AP4-References!AO4</f>
        <v>16.400000000000002</v>
      </c>
      <c r="E202" s="6">
        <v>22.5</v>
      </c>
      <c r="F202" s="6">
        <v>28</v>
      </c>
      <c r="G202" s="15">
        <f>ABS(C202*D202*(F202-E202))</f>
        <v>244.83888000000005</v>
      </c>
    </row>
    <row r="203" spans="1:9" ht="15.75" thickBot="1" x14ac:dyDescent="0.3">
      <c r="A203" s="83"/>
      <c r="B203" s="84" t="s">
        <v>482</v>
      </c>
      <c r="C203" s="6">
        <v>2.7143999999999999</v>
      </c>
      <c r="D203" s="6">
        <f>References!AQ5-References!AP5-References!AO5</f>
        <v>13.4</v>
      </c>
      <c r="E203" s="6">
        <v>22.5</v>
      </c>
      <c r="F203" s="6">
        <v>24</v>
      </c>
      <c r="G203" s="15">
        <f t="shared" ref="G203:G266" si="2">ABS(C203*D203*(F203-E203))</f>
        <v>54.559439999999995</v>
      </c>
    </row>
    <row r="204" spans="1:9" ht="15.75" thickBot="1" x14ac:dyDescent="0.3">
      <c r="A204" s="83" t="s">
        <v>482</v>
      </c>
      <c r="B204" s="84" t="s">
        <v>64</v>
      </c>
      <c r="C204" s="6">
        <v>2.7143999999999999</v>
      </c>
      <c r="D204" s="6">
        <f>References!AQ6-References!AP6-References!AO6</f>
        <v>5.4</v>
      </c>
      <c r="E204" s="6">
        <v>24</v>
      </c>
      <c r="F204" s="6">
        <v>28</v>
      </c>
      <c r="G204" s="15">
        <f t="shared" si="2"/>
        <v>58.631039999999999</v>
      </c>
    </row>
    <row r="205" spans="1:9" ht="15.75" thickBot="1" x14ac:dyDescent="0.3">
      <c r="A205" s="83" t="s">
        <v>60</v>
      </c>
      <c r="B205" s="84" t="s">
        <v>64</v>
      </c>
      <c r="C205" s="6">
        <v>2.7143999999999999</v>
      </c>
      <c r="D205" s="6">
        <f>References!AQ7-References!AP7-References!AO7</f>
        <v>42.4</v>
      </c>
      <c r="E205" s="6">
        <v>22.5</v>
      </c>
      <c r="F205" s="6">
        <v>28</v>
      </c>
      <c r="G205" s="15">
        <f t="shared" si="2"/>
        <v>632.99807999999996</v>
      </c>
    </row>
    <row r="206" spans="1:9" ht="15.75" thickBot="1" x14ac:dyDescent="0.3">
      <c r="A206" s="83"/>
      <c r="B206" s="84" t="s">
        <v>482</v>
      </c>
      <c r="C206" s="6">
        <v>2.7143999999999999</v>
      </c>
      <c r="D206" s="6">
        <f>References!AQ8-References!AP8-References!AO8</f>
        <v>13.4</v>
      </c>
      <c r="E206" s="6">
        <v>22.5</v>
      </c>
      <c r="F206" s="6">
        <v>24</v>
      </c>
      <c r="G206" s="15">
        <f t="shared" si="2"/>
        <v>54.559439999999995</v>
      </c>
    </row>
    <row r="207" spans="1:9" ht="15.75" thickBot="1" x14ac:dyDescent="0.3">
      <c r="A207" s="83" t="s">
        <v>482</v>
      </c>
      <c r="B207" s="84" t="s">
        <v>64</v>
      </c>
      <c r="C207" s="6">
        <v>2.7143999999999999</v>
      </c>
      <c r="D207" s="6">
        <f>References!AQ9-References!AP9-References!AO9</f>
        <v>5.4</v>
      </c>
      <c r="E207" s="6">
        <v>24</v>
      </c>
      <c r="F207" s="6">
        <v>28</v>
      </c>
      <c r="G207" s="15">
        <f t="shared" si="2"/>
        <v>58.631039999999999</v>
      </c>
    </row>
    <row r="208" spans="1:9" ht="15.75" thickBot="1" x14ac:dyDescent="0.3">
      <c r="A208" s="83" t="s">
        <v>60</v>
      </c>
      <c r="B208" s="84" t="s">
        <v>64</v>
      </c>
      <c r="C208" s="6">
        <v>2.7143999999999999</v>
      </c>
      <c r="D208" s="6">
        <f>References!AQ10-References!AP10-References!AO10</f>
        <v>42.4</v>
      </c>
      <c r="E208" s="6">
        <v>22.5</v>
      </c>
      <c r="F208" s="6">
        <v>28</v>
      </c>
      <c r="G208" s="15">
        <f t="shared" si="2"/>
        <v>632.99807999999996</v>
      </c>
    </row>
    <row r="209" spans="1:7" ht="15.75" thickBot="1" x14ac:dyDescent="0.3">
      <c r="A209" s="83"/>
      <c r="B209" s="84" t="s">
        <v>482</v>
      </c>
      <c r="C209" s="6">
        <v>2.7143999999999999</v>
      </c>
      <c r="D209" s="6">
        <f>References!AQ11-References!AP11-References!AO11</f>
        <v>13.4</v>
      </c>
      <c r="E209" s="6">
        <v>22.5</v>
      </c>
      <c r="F209" s="6">
        <v>24</v>
      </c>
      <c r="G209" s="15">
        <f t="shared" si="2"/>
        <v>54.559439999999995</v>
      </c>
    </row>
    <row r="210" spans="1:7" ht="15.75" thickBot="1" x14ac:dyDescent="0.3">
      <c r="A210" s="83" t="s">
        <v>482</v>
      </c>
      <c r="B210" s="84" t="s">
        <v>64</v>
      </c>
      <c r="C210" s="6">
        <v>2.7143999999999999</v>
      </c>
      <c r="D210" s="6">
        <f>References!AQ12-References!AP12-References!AO12</f>
        <v>5.4</v>
      </c>
      <c r="E210" s="6">
        <v>24</v>
      </c>
      <c r="F210" s="6">
        <v>28</v>
      </c>
      <c r="G210" s="15">
        <f t="shared" si="2"/>
        <v>58.631039999999999</v>
      </c>
    </row>
    <row r="211" spans="1:7" ht="15.75" thickBot="1" x14ac:dyDescent="0.3">
      <c r="A211" s="83" t="s">
        <v>60</v>
      </c>
      <c r="B211" s="84" t="s">
        <v>64</v>
      </c>
      <c r="C211" s="6">
        <v>2.7143999999999999</v>
      </c>
      <c r="D211" s="6">
        <f>References!AQ13-References!AP13-References!AO13</f>
        <v>16.400000000000002</v>
      </c>
      <c r="E211" s="6">
        <v>22.5</v>
      </c>
      <c r="F211" s="6">
        <v>28</v>
      </c>
      <c r="G211" s="15">
        <f t="shared" si="2"/>
        <v>244.83888000000005</v>
      </c>
    </row>
    <row r="212" spans="1:7" ht="15.75" thickBot="1" x14ac:dyDescent="0.3">
      <c r="A212" s="83"/>
      <c r="B212" s="84" t="s">
        <v>482</v>
      </c>
      <c r="C212" s="6">
        <v>2.7143999999999999</v>
      </c>
      <c r="D212" s="6">
        <f>References!AQ14-References!AP14-References!AO14</f>
        <v>13.4</v>
      </c>
      <c r="E212" s="6">
        <v>22.5</v>
      </c>
      <c r="F212" s="6">
        <v>24</v>
      </c>
      <c r="G212" s="15">
        <f t="shared" si="2"/>
        <v>54.559439999999995</v>
      </c>
    </row>
    <row r="213" spans="1:7" ht="15.75" thickBot="1" x14ac:dyDescent="0.3">
      <c r="A213" s="83" t="s">
        <v>482</v>
      </c>
      <c r="B213" s="84" t="s">
        <v>64</v>
      </c>
      <c r="C213" s="6">
        <v>2.7143999999999999</v>
      </c>
      <c r="D213" s="6">
        <f>References!AQ15-References!AP15-References!AO15</f>
        <v>5.4</v>
      </c>
      <c r="E213" s="6">
        <v>24</v>
      </c>
      <c r="F213" s="6">
        <v>28</v>
      </c>
      <c r="G213" s="15">
        <f t="shared" si="2"/>
        <v>58.631039999999999</v>
      </c>
    </row>
    <row r="214" spans="1:7" ht="15.75" thickBot="1" x14ac:dyDescent="0.3">
      <c r="A214" s="83" t="s">
        <v>66</v>
      </c>
      <c r="B214" s="84" t="s">
        <v>64</v>
      </c>
      <c r="C214" s="6">
        <v>2.7143999999999999</v>
      </c>
      <c r="D214" s="6">
        <f>References!AQ16-References!AP16-References!AO16</f>
        <v>4.2799999999999994</v>
      </c>
      <c r="E214" s="6">
        <v>22.5</v>
      </c>
      <c r="F214" s="6">
        <v>28</v>
      </c>
      <c r="G214" s="15">
        <f t="shared" si="2"/>
        <v>63.896975999999995</v>
      </c>
    </row>
    <row r="215" spans="1:7" ht="15.75" thickBot="1" x14ac:dyDescent="0.3">
      <c r="A215" s="83"/>
      <c r="B215" s="84" t="s">
        <v>88</v>
      </c>
      <c r="C215" s="6">
        <v>2.7143999999999999</v>
      </c>
      <c r="D215" s="6">
        <f>References!AQ17-References!AP17-References!AO17</f>
        <v>13.4</v>
      </c>
      <c r="E215" s="6">
        <v>22.5</v>
      </c>
      <c r="F215" s="6">
        <v>24</v>
      </c>
      <c r="G215" s="15">
        <f t="shared" si="2"/>
        <v>54.559439999999995</v>
      </c>
    </row>
    <row r="216" spans="1:7" ht="15.75" thickBot="1" x14ac:dyDescent="0.3">
      <c r="A216" s="83" t="s">
        <v>88</v>
      </c>
      <c r="B216" s="84" t="s">
        <v>64</v>
      </c>
      <c r="C216" s="6">
        <v>2.7143999999999999</v>
      </c>
      <c r="D216" s="6">
        <f>References!AQ18-References!AP18-References!AO18</f>
        <v>5.4</v>
      </c>
      <c r="E216" s="6">
        <v>24</v>
      </c>
      <c r="F216" s="6">
        <v>28</v>
      </c>
      <c r="G216" s="15">
        <f t="shared" si="2"/>
        <v>58.631039999999999</v>
      </c>
    </row>
    <row r="217" spans="1:7" ht="15.75" thickBot="1" x14ac:dyDescent="0.3">
      <c r="A217" s="83" t="s">
        <v>70</v>
      </c>
      <c r="B217" s="84" t="s">
        <v>64</v>
      </c>
      <c r="C217" s="6">
        <v>2.7143999999999999</v>
      </c>
      <c r="D217" s="6">
        <f>References!AQ19-References!AP19-References!AO19</f>
        <v>4.4000000000000004</v>
      </c>
      <c r="E217" s="6">
        <v>22.5</v>
      </c>
      <c r="F217" s="6">
        <v>28</v>
      </c>
      <c r="G217" s="15">
        <f t="shared" si="2"/>
        <v>65.688479999999998</v>
      </c>
    </row>
    <row r="218" spans="1:7" ht="15.75" thickBot="1" x14ac:dyDescent="0.3">
      <c r="A218" s="83"/>
      <c r="B218" s="84" t="s">
        <v>469</v>
      </c>
      <c r="C218" s="6">
        <v>2.7143999999999999</v>
      </c>
      <c r="D218" s="6">
        <f>References!AQ20-References!AP20-References!AO20</f>
        <v>13.4</v>
      </c>
      <c r="E218" s="6">
        <v>22.5</v>
      </c>
      <c r="F218" s="6">
        <v>24</v>
      </c>
      <c r="G218" s="15">
        <f t="shared" si="2"/>
        <v>54.559439999999995</v>
      </c>
    </row>
    <row r="219" spans="1:7" ht="15.75" thickBot="1" x14ac:dyDescent="0.3">
      <c r="A219" s="83" t="s">
        <v>469</v>
      </c>
      <c r="B219" s="84" t="s">
        <v>64</v>
      </c>
      <c r="C219" s="6">
        <v>2.7143999999999999</v>
      </c>
      <c r="D219" s="6">
        <f>References!AQ21-References!AP21-References!AO21</f>
        <v>5.4</v>
      </c>
      <c r="E219" s="6">
        <v>24</v>
      </c>
      <c r="F219" s="6">
        <v>28</v>
      </c>
      <c r="G219" s="15">
        <f t="shared" si="2"/>
        <v>58.631039999999999</v>
      </c>
    </row>
    <row r="220" spans="1:7" ht="15.75" thickBot="1" x14ac:dyDescent="0.3">
      <c r="A220" s="83" t="s">
        <v>70</v>
      </c>
      <c r="B220" s="84" t="s">
        <v>64</v>
      </c>
      <c r="C220" s="6">
        <v>2.7143999999999999</v>
      </c>
      <c r="D220" s="6">
        <f>References!AQ22-References!AP22-References!AO22</f>
        <v>30.8</v>
      </c>
      <c r="E220" s="6">
        <v>22.5</v>
      </c>
      <c r="F220" s="6">
        <v>28</v>
      </c>
      <c r="G220" s="15">
        <f t="shared" si="2"/>
        <v>459.81936000000002</v>
      </c>
    </row>
    <row r="221" spans="1:7" ht="15.75" thickBot="1" x14ac:dyDescent="0.3">
      <c r="A221" s="83"/>
      <c r="B221" s="84" t="s">
        <v>469</v>
      </c>
      <c r="C221" s="6">
        <v>2.7143999999999999</v>
      </c>
      <c r="D221" s="6">
        <f>References!AQ23-References!AP23-References!AO23</f>
        <v>14.8</v>
      </c>
      <c r="E221" s="6">
        <v>22.5</v>
      </c>
      <c r="F221" s="6">
        <v>24</v>
      </c>
      <c r="G221" s="15">
        <f t="shared" si="2"/>
        <v>60.259679999999996</v>
      </c>
    </row>
    <row r="222" spans="1:7" ht="15.75" thickBot="1" x14ac:dyDescent="0.3">
      <c r="A222" s="83" t="s">
        <v>469</v>
      </c>
      <c r="B222" s="84" t="s">
        <v>64</v>
      </c>
      <c r="C222" s="6">
        <v>2.7143999999999999</v>
      </c>
      <c r="D222" s="6">
        <f>References!AQ24-References!AP24-References!AO24</f>
        <v>5.4</v>
      </c>
      <c r="E222" s="6">
        <v>24</v>
      </c>
      <c r="F222" s="6">
        <v>28</v>
      </c>
      <c r="G222" s="15">
        <f t="shared" si="2"/>
        <v>58.631039999999999</v>
      </c>
    </row>
    <row r="223" spans="1:7" ht="15.75" thickBot="1" x14ac:dyDescent="0.3">
      <c r="A223" s="83" t="s">
        <v>173</v>
      </c>
      <c r="B223" s="84" t="s">
        <v>64</v>
      </c>
      <c r="C223" s="6">
        <v>2.7143999999999999</v>
      </c>
      <c r="D223" s="6">
        <f>References!AQ25-References!AP25-References!AO25</f>
        <v>62.400000000000006</v>
      </c>
      <c r="E223" s="6">
        <v>22.5</v>
      </c>
      <c r="F223" s="6">
        <v>28</v>
      </c>
      <c r="G223" s="15">
        <f t="shared" si="2"/>
        <v>931.58208000000013</v>
      </c>
    </row>
    <row r="224" spans="1:7" ht="15.75" thickBot="1" x14ac:dyDescent="0.3">
      <c r="A224" s="83"/>
      <c r="B224" s="84" t="s">
        <v>212</v>
      </c>
      <c r="C224" s="6">
        <v>2.7143999999999999</v>
      </c>
      <c r="D224" s="6">
        <f>References!AQ26-References!AP26-References!AO26</f>
        <v>13.4</v>
      </c>
      <c r="E224" s="6">
        <v>22.5</v>
      </c>
      <c r="F224" s="6">
        <v>24</v>
      </c>
      <c r="G224" s="15">
        <f t="shared" si="2"/>
        <v>54.559439999999995</v>
      </c>
    </row>
    <row r="225" spans="1:7" ht="15.75" thickBot="1" x14ac:dyDescent="0.3">
      <c r="A225" s="83" t="s">
        <v>212</v>
      </c>
      <c r="B225" s="84" t="s">
        <v>64</v>
      </c>
      <c r="C225" s="6">
        <v>2.7143999999999999</v>
      </c>
      <c r="D225" s="6">
        <f>References!AQ27-References!AP27-References!AO27</f>
        <v>14.8</v>
      </c>
      <c r="E225" s="6">
        <v>24</v>
      </c>
      <c r="F225" s="6">
        <v>28</v>
      </c>
      <c r="G225" s="15">
        <f t="shared" si="2"/>
        <v>160.69247999999999</v>
      </c>
    </row>
    <row r="226" spans="1:7" ht="15.75" thickBot="1" x14ac:dyDescent="0.3">
      <c r="A226" s="83" t="s">
        <v>174</v>
      </c>
      <c r="B226" s="84" t="s">
        <v>64</v>
      </c>
      <c r="C226" s="6">
        <v>2.7143999999999999</v>
      </c>
      <c r="D226" s="6">
        <f>References!AQ28-References!AP28-References!AO28</f>
        <v>60.199999999999996</v>
      </c>
      <c r="E226" s="6">
        <v>22.5</v>
      </c>
      <c r="F226" s="6">
        <v>28</v>
      </c>
      <c r="G226" s="15">
        <f t="shared" si="2"/>
        <v>898.73783999999989</v>
      </c>
    </row>
    <row r="227" spans="1:7" ht="15.75" thickBot="1" x14ac:dyDescent="0.3">
      <c r="A227" s="83" t="s">
        <v>176</v>
      </c>
      <c r="B227" s="84" t="s">
        <v>64</v>
      </c>
      <c r="C227" s="6">
        <v>2.7143999999999999</v>
      </c>
      <c r="D227" s="6">
        <f>References!AQ29-References!AP29-References!AO29</f>
        <v>29.76</v>
      </c>
      <c r="E227" s="6">
        <v>24</v>
      </c>
      <c r="F227" s="6">
        <v>28</v>
      </c>
      <c r="G227" s="15">
        <f t="shared" si="2"/>
        <v>323.12217600000002</v>
      </c>
    </row>
    <row r="228" spans="1:7" ht="15.75" thickBot="1" x14ac:dyDescent="0.3">
      <c r="A228" s="83" t="s">
        <v>483</v>
      </c>
      <c r="B228" s="84" t="s">
        <v>64</v>
      </c>
      <c r="C228" s="6">
        <v>2.7143999999999999</v>
      </c>
      <c r="D228" s="6">
        <f>References!AQ30-References!AP30-References!AO30</f>
        <v>11.440000000000001</v>
      </c>
      <c r="E228" s="6">
        <v>24</v>
      </c>
      <c r="F228" s="6">
        <v>28</v>
      </c>
      <c r="G228" s="15">
        <f t="shared" si="2"/>
        <v>124.21094400000001</v>
      </c>
    </row>
    <row r="229" spans="1:7" ht="15.75" thickBot="1" x14ac:dyDescent="0.3">
      <c r="A229" s="83" t="s">
        <v>204</v>
      </c>
      <c r="B229" s="84" t="s">
        <v>64</v>
      </c>
      <c r="C229" s="6">
        <v>2.7143999999999999</v>
      </c>
      <c r="D229" s="6">
        <f>References!AQ31-References!AP31-References!AO31</f>
        <v>18.720000000000002</v>
      </c>
      <c r="E229" s="6">
        <v>24</v>
      </c>
      <c r="F229" s="6">
        <v>28</v>
      </c>
      <c r="G229" s="15">
        <f>ABS(C229*D229*(F229-E229))</f>
        <v>203.25427200000001</v>
      </c>
    </row>
    <row r="230" spans="1:7" ht="15.75" thickBot="1" x14ac:dyDescent="0.3">
      <c r="A230" s="83" t="s">
        <v>70</v>
      </c>
      <c r="B230" s="84" t="s">
        <v>64</v>
      </c>
      <c r="C230" s="6">
        <v>2.7143999999999999</v>
      </c>
      <c r="D230" s="6">
        <f>References!AQ32-References!AP32-References!AO32</f>
        <v>28.400000000000002</v>
      </c>
      <c r="E230" s="6">
        <v>22.5</v>
      </c>
      <c r="F230" s="6">
        <v>28</v>
      </c>
      <c r="G230" s="15">
        <f t="shared" si="2"/>
        <v>423.98928000000001</v>
      </c>
    </row>
    <row r="231" spans="1:7" ht="15.75" thickBot="1" x14ac:dyDescent="0.3">
      <c r="A231" s="83"/>
      <c r="B231" s="84" t="s">
        <v>469</v>
      </c>
      <c r="C231" s="6">
        <v>2.7143999999999999</v>
      </c>
      <c r="D231" s="6">
        <f>References!AQ33-References!AP33-References!AO33</f>
        <v>13.4</v>
      </c>
      <c r="E231" s="6">
        <v>22.5</v>
      </c>
      <c r="F231" s="6">
        <v>24</v>
      </c>
      <c r="G231" s="15">
        <f t="shared" si="2"/>
        <v>54.559439999999995</v>
      </c>
    </row>
    <row r="232" spans="1:7" ht="15.75" thickBot="1" x14ac:dyDescent="0.3">
      <c r="A232" s="83" t="s">
        <v>469</v>
      </c>
      <c r="B232" s="84" t="s">
        <v>64</v>
      </c>
      <c r="C232" s="6">
        <v>2.7143999999999999</v>
      </c>
      <c r="D232" s="6">
        <f>References!AQ34-References!AP34-References!AO34</f>
        <v>5.4</v>
      </c>
      <c r="E232" s="6">
        <v>24</v>
      </c>
      <c r="F232" s="6">
        <v>28</v>
      </c>
      <c r="G232" s="15">
        <f t="shared" si="2"/>
        <v>58.631039999999999</v>
      </c>
    </row>
    <row r="233" spans="1:7" ht="15.75" thickBot="1" x14ac:dyDescent="0.3">
      <c r="A233" s="83" t="s">
        <v>70</v>
      </c>
      <c r="B233" s="84" t="s">
        <v>64</v>
      </c>
      <c r="C233" s="6">
        <v>2.7143999999999999</v>
      </c>
      <c r="D233" s="6">
        <f>References!AQ35-References!AP35-References!AO35</f>
        <v>4.4000000000000004</v>
      </c>
      <c r="E233" s="6">
        <v>22.5</v>
      </c>
      <c r="F233" s="6">
        <v>28</v>
      </c>
      <c r="G233" s="15">
        <f t="shared" si="2"/>
        <v>65.688479999999998</v>
      </c>
    </row>
    <row r="234" spans="1:7" ht="15.75" thickBot="1" x14ac:dyDescent="0.3">
      <c r="A234" s="83"/>
      <c r="B234" s="84" t="s">
        <v>469</v>
      </c>
      <c r="C234" s="6">
        <v>2.7143999999999999</v>
      </c>
      <c r="D234" s="6">
        <f>References!AQ36-References!AP36-References!AO36</f>
        <v>13.4</v>
      </c>
      <c r="E234" s="6">
        <v>22.5</v>
      </c>
      <c r="F234" s="6">
        <v>24</v>
      </c>
      <c r="G234" s="15">
        <f t="shared" si="2"/>
        <v>54.559439999999995</v>
      </c>
    </row>
    <row r="235" spans="1:7" ht="15.75" thickBot="1" x14ac:dyDescent="0.3">
      <c r="A235" s="83" t="s">
        <v>469</v>
      </c>
      <c r="B235" s="84" t="s">
        <v>64</v>
      </c>
      <c r="C235" s="6">
        <v>2.7143999999999999</v>
      </c>
      <c r="D235" s="6">
        <f>References!AQ37-References!AP37-References!AO37</f>
        <v>5.4</v>
      </c>
      <c r="E235" s="6">
        <v>24</v>
      </c>
      <c r="F235" s="6">
        <v>28</v>
      </c>
      <c r="G235" s="15">
        <f t="shared" si="2"/>
        <v>58.631039999999999</v>
      </c>
    </row>
    <row r="236" spans="1:7" ht="15.75" thickBot="1" x14ac:dyDescent="0.3">
      <c r="A236" s="83" t="s">
        <v>66</v>
      </c>
      <c r="B236" s="84" t="s">
        <v>64</v>
      </c>
      <c r="C236" s="6">
        <v>2.7143999999999999</v>
      </c>
      <c r="D236" s="6">
        <f>References!AQ38-References!AP38-References!AO38</f>
        <v>4.32</v>
      </c>
      <c r="E236" s="6">
        <v>22.5</v>
      </c>
      <c r="F236" s="6">
        <v>28</v>
      </c>
      <c r="G236" s="15">
        <f t="shared" si="2"/>
        <v>64.494144000000006</v>
      </c>
    </row>
    <row r="237" spans="1:7" ht="15.75" thickBot="1" x14ac:dyDescent="0.3">
      <c r="A237" s="83"/>
      <c r="B237" s="84" t="s">
        <v>88</v>
      </c>
      <c r="C237" s="6">
        <v>2.7143999999999999</v>
      </c>
      <c r="D237" s="6">
        <f>References!AQ39-References!AP39-References!AO39</f>
        <v>13.4</v>
      </c>
      <c r="E237" s="6">
        <v>22.5</v>
      </c>
      <c r="F237" s="6">
        <v>24</v>
      </c>
      <c r="G237" s="15">
        <f t="shared" si="2"/>
        <v>54.559439999999995</v>
      </c>
    </row>
    <row r="238" spans="1:7" ht="15.75" thickBot="1" x14ac:dyDescent="0.3">
      <c r="A238" s="83" t="s">
        <v>88</v>
      </c>
      <c r="B238" s="84" t="s">
        <v>64</v>
      </c>
      <c r="C238" s="6">
        <v>2.7143999999999999</v>
      </c>
      <c r="D238" s="6">
        <f>References!AQ40-References!AP40-References!AO40</f>
        <v>5.4</v>
      </c>
      <c r="E238" s="6">
        <v>24</v>
      </c>
      <c r="F238" s="6">
        <v>28</v>
      </c>
      <c r="G238" s="15">
        <f t="shared" si="2"/>
        <v>58.631039999999999</v>
      </c>
    </row>
    <row r="239" spans="1:7" ht="15.75" thickBot="1" x14ac:dyDescent="0.3">
      <c r="A239" s="83" t="s">
        <v>70</v>
      </c>
      <c r="B239" s="84" t="s">
        <v>64</v>
      </c>
      <c r="C239" s="6">
        <v>2.7143999999999999</v>
      </c>
      <c r="D239" s="6">
        <f>References!AQ41-References!AP41-References!AO41</f>
        <v>4.4000000000000004</v>
      </c>
      <c r="E239" s="6">
        <v>22.5</v>
      </c>
      <c r="F239" s="6">
        <v>28</v>
      </c>
      <c r="G239" s="15">
        <f t="shared" si="2"/>
        <v>65.688479999999998</v>
      </c>
    </row>
    <row r="240" spans="1:7" ht="15.75" thickBot="1" x14ac:dyDescent="0.3">
      <c r="A240" s="83"/>
      <c r="B240" s="84" t="s">
        <v>469</v>
      </c>
      <c r="C240" s="6">
        <v>2.7143999999999999</v>
      </c>
      <c r="D240" s="6">
        <f>References!AQ42-References!AP42-References!AO42</f>
        <v>13.4</v>
      </c>
      <c r="E240" s="6">
        <v>22.5</v>
      </c>
      <c r="F240" s="6">
        <v>24</v>
      </c>
      <c r="G240" s="15">
        <f t="shared" si="2"/>
        <v>54.559439999999995</v>
      </c>
    </row>
    <row r="241" spans="1:7" ht="15.75" thickBot="1" x14ac:dyDescent="0.3">
      <c r="A241" s="83" t="s">
        <v>469</v>
      </c>
      <c r="B241" s="84" t="s">
        <v>64</v>
      </c>
      <c r="C241" s="6">
        <v>2.7143999999999999</v>
      </c>
      <c r="D241" s="6">
        <f>References!AQ43-References!AP43-References!AO43</f>
        <v>5.4</v>
      </c>
      <c r="E241" s="6">
        <v>24</v>
      </c>
      <c r="F241" s="6">
        <v>28</v>
      </c>
      <c r="G241" s="15">
        <f t="shared" si="2"/>
        <v>58.631039999999999</v>
      </c>
    </row>
    <row r="242" spans="1:7" ht="15.75" thickBot="1" x14ac:dyDescent="0.3">
      <c r="A242" s="83" t="s">
        <v>70</v>
      </c>
      <c r="B242" s="84" t="s">
        <v>64</v>
      </c>
      <c r="C242" s="6">
        <v>2.7143999999999999</v>
      </c>
      <c r="D242" s="6">
        <f>References!AQ44-References!AP44-References!AO44</f>
        <v>4.4000000000000004</v>
      </c>
      <c r="E242" s="6">
        <v>22.5</v>
      </c>
      <c r="F242" s="6">
        <v>28</v>
      </c>
      <c r="G242" s="15">
        <f t="shared" si="2"/>
        <v>65.688479999999998</v>
      </c>
    </row>
    <row r="243" spans="1:7" ht="15.75" thickBot="1" x14ac:dyDescent="0.3">
      <c r="A243" s="83"/>
      <c r="B243" s="84" t="s">
        <v>469</v>
      </c>
      <c r="C243" s="6">
        <v>2.7143999999999999</v>
      </c>
      <c r="D243" s="6">
        <f>References!AQ45-References!AP45-References!AO45</f>
        <v>13.4</v>
      </c>
      <c r="E243" s="6">
        <v>22.5</v>
      </c>
      <c r="F243" s="6">
        <v>24</v>
      </c>
      <c r="G243" s="15">
        <f t="shared" si="2"/>
        <v>54.559439999999995</v>
      </c>
    </row>
    <row r="244" spans="1:7" ht="15.75" thickBot="1" x14ac:dyDescent="0.3">
      <c r="A244" s="83" t="s">
        <v>469</v>
      </c>
      <c r="B244" s="84" t="s">
        <v>64</v>
      </c>
      <c r="C244" s="6">
        <v>2.7143999999999999</v>
      </c>
      <c r="D244" s="6">
        <f>References!AQ46-References!AP46-References!AO46</f>
        <v>5.4</v>
      </c>
      <c r="E244" s="6">
        <v>24</v>
      </c>
      <c r="F244" s="6">
        <v>28</v>
      </c>
      <c r="G244" s="15">
        <f t="shared" si="2"/>
        <v>58.631039999999999</v>
      </c>
    </row>
    <row r="245" spans="1:7" ht="15.75" thickBot="1" x14ac:dyDescent="0.3">
      <c r="A245" s="83" t="s">
        <v>70</v>
      </c>
      <c r="B245" s="84" t="s">
        <v>64</v>
      </c>
      <c r="C245" s="6">
        <v>2.7143999999999999</v>
      </c>
      <c r="D245" s="6">
        <f>References!AQ47-References!AP47-References!AO47</f>
        <v>4.4000000000000004</v>
      </c>
      <c r="E245" s="6">
        <v>22.5</v>
      </c>
      <c r="F245" s="6">
        <v>28</v>
      </c>
      <c r="G245" s="15">
        <f t="shared" si="2"/>
        <v>65.688479999999998</v>
      </c>
    </row>
    <row r="246" spans="1:7" ht="15.75" thickBot="1" x14ac:dyDescent="0.3">
      <c r="A246" s="83"/>
      <c r="B246" s="84" t="s">
        <v>469</v>
      </c>
      <c r="C246" s="6">
        <v>2.7143999999999999</v>
      </c>
      <c r="D246" s="6">
        <f>References!AQ48-References!AP48-References!AO48</f>
        <v>13.4</v>
      </c>
      <c r="E246" s="6">
        <v>22.5</v>
      </c>
      <c r="F246" s="6">
        <v>24</v>
      </c>
      <c r="G246" s="15">
        <f t="shared" si="2"/>
        <v>54.559439999999995</v>
      </c>
    </row>
    <row r="247" spans="1:7" ht="15.75" thickBot="1" x14ac:dyDescent="0.3">
      <c r="A247" s="83" t="s">
        <v>469</v>
      </c>
      <c r="B247" s="84" t="s">
        <v>64</v>
      </c>
      <c r="C247" s="6">
        <v>2.7143999999999999</v>
      </c>
      <c r="D247" s="6">
        <f>References!AQ49-References!AP49-References!AO49</f>
        <v>5.4</v>
      </c>
      <c r="E247" s="6">
        <v>24</v>
      </c>
      <c r="F247" s="6">
        <v>28</v>
      </c>
      <c r="G247" s="15">
        <f t="shared" si="2"/>
        <v>58.631039999999999</v>
      </c>
    </row>
    <row r="248" spans="1:7" ht="15.75" thickBot="1" x14ac:dyDescent="0.3">
      <c r="A248" s="83" t="s">
        <v>70</v>
      </c>
      <c r="B248" s="84" t="s">
        <v>64</v>
      </c>
      <c r="C248" s="6">
        <v>2.7143999999999999</v>
      </c>
      <c r="D248" s="6">
        <f>References!AQ50-References!AP50-References!AO50</f>
        <v>4.4000000000000004</v>
      </c>
      <c r="E248" s="6">
        <v>22.5</v>
      </c>
      <c r="F248" s="6">
        <v>28</v>
      </c>
      <c r="G248" s="15">
        <f t="shared" si="2"/>
        <v>65.688479999999998</v>
      </c>
    </row>
    <row r="249" spans="1:7" ht="15.75" thickBot="1" x14ac:dyDescent="0.3">
      <c r="A249" s="83"/>
      <c r="B249" s="84" t="s">
        <v>469</v>
      </c>
      <c r="C249" s="6">
        <v>2.7143999999999999</v>
      </c>
      <c r="D249" s="6">
        <f>References!AQ51-References!AP51-References!AO51</f>
        <v>13.4</v>
      </c>
      <c r="E249" s="6">
        <v>22.5</v>
      </c>
      <c r="F249" s="6">
        <v>24</v>
      </c>
      <c r="G249" s="15">
        <f t="shared" si="2"/>
        <v>54.559439999999995</v>
      </c>
    </row>
    <row r="250" spans="1:7" ht="15.75" thickBot="1" x14ac:dyDescent="0.3">
      <c r="A250" s="83" t="s">
        <v>469</v>
      </c>
      <c r="B250" s="84" t="s">
        <v>64</v>
      </c>
      <c r="C250" s="6">
        <v>2.7143999999999999</v>
      </c>
      <c r="D250" s="6">
        <f>References!AQ52-References!AP52-References!AO52</f>
        <v>5.4</v>
      </c>
      <c r="E250" s="6">
        <v>24</v>
      </c>
      <c r="F250" s="6">
        <v>28</v>
      </c>
      <c r="G250" s="15">
        <f t="shared" si="2"/>
        <v>58.631039999999999</v>
      </c>
    </row>
    <row r="251" spans="1:7" ht="15.75" thickBot="1" x14ac:dyDescent="0.3">
      <c r="A251" s="83" t="s">
        <v>71</v>
      </c>
      <c r="B251" s="84" t="s">
        <v>64</v>
      </c>
      <c r="C251" s="6">
        <v>2.7143999999999999</v>
      </c>
      <c r="D251" s="6">
        <f>References!AQ53-References!AP53-References!AO53</f>
        <v>11.799999999999999</v>
      </c>
      <c r="E251" s="6">
        <v>22.5</v>
      </c>
      <c r="F251" s="6">
        <v>28</v>
      </c>
      <c r="G251" s="15">
        <f t="shared" si="2"/>
        <v>176.16455999999999</v>
      </c>
    </row>
    <row r="252" spans="1:7" ht="15.75" thickBot="1" x14ac:dyDescent="0.3">
      <c r="A252" s="83"/>
      <c r="B252" s="84" t="s">
        <v>484</v>
      </c>
      <c r="C252" s="6">
        <v>2.7143999999999999</v>
      </c>
      <c r="D252" s="6">
        <f>References!AQ54-References!AP54-References!AO54</f>
        <v>15.2</v>
      </c>
      <c r="E252" s="6">
        <v>22.5</v>
      </c>
      <c r="F252" s="6">
        <v>24</v>
      </c>
      <c r="G252" s="15">
        <f t="shared" si="2"/>
        <v>61.888319999999993</v>
      </c>
    </row>
    <row r="253" spans="1:7" ht="15.75" thickBot="1" x14ac:dyDescent="0.3">
      <c r="A253" s="83" t="s">
        <v>471</v>
      </c>
      <c r="B253" s="84" t="s">
        <v>64</v>
      </c>
      <c r="C253" s="6">
        <v>2.7143999999999999</v>
      </c>
      <c r="D253" s="6">
        <f>References!AQ55-References!AP55-References!AO55</f>
        <v>42.08</v>
      </c>
      <c r="E253" s="6">
        <v>22.5</v>
      </c>
      <c r="F253" s="6">
        <v>28</v>
      </c>
      <c r="G253" s="15">
        <f t="shared" si="2"/>
        <v>628.22073599999999</v>
      </c>
    </row>
    <row r="254" spans="1:7" ht="15.75" thickBot="1" x14ac:dyDescent="0.3">
      <c r="A254" s="83"/>
      <c r="B254" s="84" t="s">
        <v>472</v>
      </c>
      <c r="C254" s="6">
        <v>2.7143999999999999</v>
      </c>
      <c r="D254" s="6">
        <f>References!AQ56-References!AP56-References!AO56</f>
        <v>13.4</v>
      </c>
      <c r="E254" s="6">
        <v>22.5</v>
      </c>
      <c r="F254" s="6">
        <v>24</v>
      </c>
      <c r="G254" s="15">
        <f t="shared" si="2"/>
        <v>54.559439999999995</v>
      </c>
    </row>
    <row r="255" spans="1:7" ht="15.75" thickBot="1" x14ac:dyDescent="0.3">
      <c r="A255" s="83"/>
      <c r="B255" s="84" t="s">
        <v>184</v>
      </c>
      <c r="C255" s="6">
        <v>2.7143999999999999</v>
      </c>
      <c r="D255" s="6">
        <f>References!AQ57-References!AP57-References!AO57</f>
        <v>9.4</v>
      </c>
      <c r="E255" s="6">
        <v>22.5</v>
      </c>
      <c r="F255" s="6"/>
      <c r="G255" s="15">
        <f>ABS(C255*D255*(F255-E255))</f>
        <v>574.09559999999999</v>
      </c>
    </row>
    <row r="256" spans="1:7" ht="15.75" thickBot="1" x14ac:dyDescent="0.3">
      <c r="A256" s="83" t="s">
        <v>472</v>
      </c>
      <c r="B256" s="84" t="s">
        <v>64</v>
      </c>
      <c r="C256" s="6">
        <v>2.7143999999999999</v>
      </c>
      <c r="D256" s="6">
        <f>References!AQ58-References!AP58-References!AO58</f>
        <v>9.4</v>
      </c>
      <c r="E256" s="6">
        <v>24</v>
      </c>
      <c r="F256" s="6">
        <v>28</v>
      </c>
      <c r="G256" s="15">
        <f t="shared" si="2"/>
        <v>102.06144</v>
      </c>
    </row>
    <row r="257" spans="1:7" ht="15.75" thickBot="1" x14ac:dyDescent="0.3">
      <c r="A257" s="83"/>
      <c r="B257" s="84" t="s">
        <v>70</v>
      </c>
      <c r="C257" s="6">
        <v>2.7143999999999999</v>
      </c>
      <c r="D257" s="6">
        <f>References!AQ59-References!AP59-References!AO59</f>
        <v>5.4</v>
      </c>
      <c r="E257" s="6">
        <v>24</v>
      </c>
      <c r="F257" s="6">
        <v>22.5</v>
      </c>
      <c r="G257" s="15">
        <f t="shared" si="2"/>
        <v>21.986640000000001</v>
      </c>
    </row>
    <row r="258" spans="1:7" ht="15.75" thickBot="1" x14ac:dyDescent="0.3">
      <c r="A258" s="83" t="s">
        <v>70</v>
      </c>
      <c r="B258" s="84" t="s">
        <v>64</v>
      </c>
      <c r="C258" s="6">
        <v>2.7143999999999999</v>
      </c>
      <c r="D258" s="6">
        <f>References!AQ60-References!AP60-References!AO60</f>
        <v>24.76</v>
      </c>
      <c r="E258" s="6">
        <v>22.5</v>
      </c>
      <c r="F258" s="6">
        <v>28</v>
      </c>
      <c r="G258" s="15">
        <f t="shared" si="2"/>
        <v>369.64699200000001</v>
      </c>
    </row>
    <row r="259" spans="1:7" ht="15.75" thickBot="1" x14ac:dyDescent="0.3">
      <c r="A259" s="83"/>
      <c r="B259" s="84" t="s">
        <v>469</v>
      </c>
      <c r="C259" s="6">
        <v>2.7143999999999999</v>
      </c>
      <c r="D259" s="6">
        <f>References!AQ61-References!AP61-References!AO61</f>
        <v>13.44</v>
      </c>
      <c r="E259" s="6">
        <v>22.5</v>
      </c>
      <c r="F259" s="6">
        <v>24</v>
      </c>
      <c r="G259" s="15">
        <f t="shared" si="2"/>
        <v>54.722303999999994</v>
      </c>
    </row>
    <row r="260" spans="1:7" ht="15.75" thickBot="1" x14ac:dyDescent="0.3">
      <c r="A260" s="83" t="s">
        <v>469</v>
      </c>
      <c r="B260" s="84" t="s">
        <v>64</v>
      </c>
      <c r="C260" s="6">
        <v>2.7143999999999999</v>
      </c>
      <c r="D260" s="6">
        <f>References!AQ62-References!AP62-References!AO62</f>
        <v>5.44</v>
      </c>
      <c r="E260" s="6">
        <v>24</v>
      </c>
      <c r="F260" s="6">
        <v>28</v>
      </c>
      <c r="G260" s="15">
        <f t="shared" si="2"/>
        <v>59.065344000000003</v>
      </c>
    </row>
    <row r="261" spans="1:7" ht="15.75" thickBot="1" x14ac:dyDescent="0.3">
      <c r="A261" s="83" t="s">
        <v>70</v>
      </c>
      <c r="B261" s="84" t="s">
        <v>64</v>
      </c>
      <c r="C261" s="6">
        <v>2.7143999999999999</v>
      </c>
      <c r="D261" s="6">
        <f>References!AQ63-References!AP63-References!AO63</f>
        <v>24.360000000000003</v>
      </c>
      <c r="E261" s="6">
        <v>22.5</v>
      </c>
      <c r="F261" s="6">
        <v>28</v>
      </c>
      <c r="G261" s="15">
        <f t="shared" si="2"/>
        <v>363.67531200000008</v>
      </c>
    </row>
    <row r="262" spans="1:7" ht="15.75" thickBot="1" x14ac:dyDescent="0.3">
      <c r="A262" s="83"/>
      <c r="B262" s="84" t="s">
        <v>469</v>
      </c>
      <c r="C262" s="6">
        <v>2.7143999999999999</v>
      </c>
      <c r="D262" s="6">
        <f>References!AQ64-References!AP64-References!AO64</f>
        <v>13.36</v>
      </c>
      <c r="E262" s="6">
        <v>22.5</v>
      </c>
      <c r="F262" s="6">
        <v>24</v>
      </c>
      <c r="G262" s="15">
        <f t="shared" si="2"/>
        <v>54.396575999999996</v>
      </c>
    </row>
    <row r="263" spans="1:7" ht="15.75" thickBot="1" x14ac:dyDescent="0.3">
      <c r="A263" s="83" t="s">
        <v>469</v>
      </c>
      <c r="B263" s="84" t="s">
        <v>64</v>
      </c>
      <c r="C263" s="6">
        <v>2.7143999999999999</v>
      </c>
      <c r="D263" s="6">
        <f>References!AQ65-References!AP65-References!AO65</f>
        <v>5.36</v>
      </c>
      <c r="E263" s="6">
        <v>24</v>
      </c>
      <c r="F263" s="6">
        <v>28</v>
      </c>
      <c r="G263" s="15">
        <f t="shared" si="2"/>
        <v>58.196736000000001</v>
      </c>
    </row>
    <row r="264" spans="1:7" ht="15.75" thickBot="1" x14ac:dyDescent="0.3">
      <c r="A264" s="83" t="s">
        <v>184</v>
      </c>
      <c r="B264" s="84" t="s">
        <v>64</v>
      </c>
      <c r="C264" s="6">
        <v>2.7143999999999999</v>
      </c>
      <c r="D264" s="6">
        <f>References!AQ66-References!AP66-References!AO66</f>
        <v>27.04</v>
      </c>
      <c r="E264" s="6"/>
      <c r="F264" s="6">
        <v>28</v>
      </c>
      <c r="G264" s="15">
        <f t="shared" si="2"/>
        <v>2055.1265279999998</v>
      </c>
    </row>
    <row r="265" spans="1:7" ht="15.75" thickBot="1" x14ac:dyDescent="0.3">
      <c r="A265" s="83"/>
      <c r="B265" s="84" t="s">
        <v>471</v>
      </c>
      <c r="C265" s="6">
        <v>2.7143999999999999</v>
      </c>
      <c r="D265" s="6">
        <f>References!AQ67-References!AP67-References!AO67</f>
        <v>9.4</v>
      </c>
      <c r="E265" s="6"/>
      <c r="F265" s="6">
        <v>22.5</v>
      </c>
      <c r="G265" s="15">
        <f t="shared" si="2"/>
        <v>574.09559999999999</v>
      </c>
    </row>
    <row r="266" spans="1:7" ht="15.75" thickBot="1" x14ac:dyDescent="0.3">
      <c r="A266" s="83" t="s">
        <v>471</v>
      </c>
      <c r="B266" s="84" t="s">
        <v>64</v>
      </c>
      <c r="C266" s="6">
        <v>2.7143999999999999</v>
      </c>
      <c r="D266" s="6">
        <f>References!AQ68-References!AP68-References!AO68</f>
        <v>42.2</v>
      </c>
      <c r="E266" s="6">
        <v>22.5</v>
      </c>
      <c r="F266" s="6">
        <v>28</v>
      </c>
      <c r="G266" s="15">
        <f t="shared" si="2"/>
        <v>630.01224000000002</v>
      </c>
    </row>
    <row r="267" spans="1:7" ht="15.75" thickBot="1" x14ac:dyDescent="0.3">
      <c r="A267" s="83"/>
      <c r="B267" s="84" t="s">
        <v>472</v>
      </c>
      <c r="C267" s="6">
        <v>2.7143999999999999</v>
      </c>
      <c r="D267" s="6">
        <f>References!AQ69-References!AP69-References!AO69</f>
        <v>13.4</v>
      </c>
      <c r="E267" s="6">
        <v>22.5</v>
      </c>
      <c r="F267" s="6">
        <v>24</v>
      </c>
      <c r="G267" s="15">
        <f t="shared" ref="G267:G277" si="3">ABS(C267*D267*(F267-E267))</f>
        <v>54.559439999999995</v>
      </c>
    </row>
    <row r="268" spans="1:7" ht="15.75" thickBot="1" x14ac:dyDescent="0.3">
      <c r="A268" s="83" t="s">
        <v>472</v>
      </c>
      <c r="B268" s="84" t="s">
        <v>64</v>
      </c>
      <c r="C268" s="6">
        <v>2.7143999999999999</v>
      </c>
      <c r="D268" s="6">
        <f>References!AQ70-References!AP70-References!AO70</f>
        <v>9.4</v>
      </c>
      <c r="E268" s="6">
        <v>24</v>
      </c>
      <c r="F268" s="6">
        <v>28</v>
      </c>
      <c r="G268" s="15">
        <f t="shared" si="3"/>
        <v>102.06144</v>
      </c>
    </row>
    <row r="269" spans="1:7" ht="15.75" thickBot="1" x14ac:dyDescent="0.3">
      <c r="A269" s="83"/>
      <c r="B269" s="84" t="s">
        <v>70</v>
      </c>
      <c r="C269" s="6">
        <v>2.7143999999999999</v>
      </c>
      <c r="D269" s="6">
        <f>References!AQ71-References!AP71-References!AO71</f>
        <v>5.4</v>
      </c>
      <c r="E269" s="6">
        <v>24</v>
      </c>
      <c r="F269" s="6">
        <v>22.5</v>
      </c>
      <c r="G269" s="15">
        <f t="shared" si="3"/>
        <v>21.986640000000001</v>
      </c>
    </row>
    <row r="270" spans="1:7" ht="15.75" thickBot="1" x14ac:dyDescent="0.3">
      <c r="A270" s="83" t="s">
        <v>70</v>
      </c>
      <c r="B270" s="84" t="s">
        <v>64</v>
      </c>
      <c r="C270" s="6">
        <v>2.7143999999999999</v>
      </c>
      <c r="D270" s="6">
        <f>References!AQ72-References!AP72-References!AO72</f>
        <v>24.360000000000003</v>
      </c>
      <c r="E270" s="6">
        <v>22.5</v>
      </c>
      <c r="F270" s="6">
        <v>28</v>
      </c>
      <c r="G270" s="15">
        <f t="shared" si="3"/>
        <v>363.67531200000008</v>
      </c>
    </row>
    <row r="271" spans="1:7" ht="15.75" thickBot="1" x14ac:dyDescent="0.3">
      <c r="A271" s="83"/>
      <c r="B271" s="84" t="s">
        <v>469</v>
      </c>
      <c r="C271" s="6">
        <v>2.7143999999999999</v>
      </c>
      <c r="D271" s="6">
        <f>References!AQ73-References!AP73-References!AO73</f>
        <v>13.4</v>
      </c>
      <c r="E271" s="6">
        <v>22.5</v>
      </c>
      <c r="F271" s="6">
        <v>24</v>
      </c>
      <c r="G271" s="15">
        <f t="shared" si="3"/>
        <v>54.559439999999995</v>
      </c>
    </row>
    <row r="272" spans="1:7" ht="15.75" thickBot="1" x14ac:dyDescent="0.3">
      <c r="A272" s="83" t="s">
        <v>469</v>
      </c>
      <c r="B272" s="84" t="s">
        <v>64</v>
      </c>
      <c r="C272" s="6">
        <v>2.7143999999999999</v>
      </c>
      <c r="D272" s="6">
        <f>References!AQ74-References!AP74-References!AO74</f>
        <v>5.4</v>
      </c>
      <c r="E272" s="6">
        <v>24</v>
      </c>
      <c r="F272" s="6">
        <v>28</v>
      </c>
      <c r="G272" s="15">
        <f t="shared" si="3"/>
        <v>58.631039999999999</v>
      </c>
    </row>
    <row r="273" spans="1:7" ht="15.75" thickBot="1" x14ac:dyDescent="0.3">
      <c r="A273" s="83" t="s">
        <v>70</v>
      </c>
      <c r="B273" s="84" t="s">
        <v>64</v>
      </c>
      <c r="C273" s="6">
        <v>2.7143999999999999</v>
      </c>
      <c r="D273" s="6">
        <f>References!AQ75-References!AP75-References!AO75</f>
        <v>24.84</v>
      </c>
      <c r="E273" s="6">
        <v>22.5</v>
      </c>
      <c r="F273" s="6">
        <v>28</v>
      </c>
      <c r="G273" s="15">
        <f t="shared" si="3"/>
        <v>370.84132800000003</v>
      </c>
    </row>
    <row r="274" spans="1:7" ht="15.75" thickBot="1" x14ac:dyDescent="0.3">
      <c r="A274" s="83"/>
      <c r="B274" s="84" t="s">
        <v>469</v>
      </c>
      <c r="C274" s="6">
        <v>2.7143999999999999</v>
      </c>
      <c r="D274" s="6">
        <f>References!AQ76-References!AP76-References!AO76</f>
        <v>13.4</v>
      </c>
      <c r="E274" s="6">
        <v>22.5</v>
      </c>
      <c r="F274" s="6">
        <v>24</v>
      </c>
      <c r="G274" s="15">
        <f t="shared" si="3"/>
        <v>54.559439999999995</v>
      </c>
    </row>
    <row r="275" spans="1:7" ht="15.75" thickBot="1" x14ac:dyDescent="0.3">
      <c r="A275" s="83" t="s">
        <v>469</v>
      </c>
      <c r="B275" s="84" t="s">
        <v>64</v>
      </c>
      <c r="C275" s="6">
        <v>2.7143999999999999</v>
      </c>
      <c r="D275" s="6">
        <f>References!AQ77-References!AP77-References!AO77</f>
        <v>5.4</v>
      </c>
      <c r="E275" s="6">
        <v>24</v>
      </c>
      <c r="F275" s="6">
        <v>28</v>
      </c>
      <c r="G275" s="15">
        <f t="shared" si="3"/>
        <v>58.631039999999999</v>
      </c>
    </row>
    <row r="276" spans="1:7" ht="15.75" thickBot="1" x14ac:dyDescent="0.3">
      <c r="A276" s="83" t="s">
        <v>70</v>
      </c>
      <c r="B276" s="84" t="s">
        <v>64</v>
      </c>
      <c r="C276" s="6">
        <v>2.7143999999999999</v>
      </c>
      <c r="D276" s="6">
        <f>References!AQ78-References!AP78-References!AO78</f>
        <v>4.4000000000000004</v>
      </c>
      <c r="E276" s="6">
        <v>22.5</v>
      </c>
      <c r="F276" s="6">
        <v>28</v>
      </c>
      <c r="G276" s="15">
        <f t="shared" si="3"/>
        <v>65.688479999999998</v>
      </c>
    </row>
    <row r="277" spans="1:7" ht="15.75" thickBot="1" x14ac:dyDescent="0.3">
      <c r="A277" s="83"/>
      <c r="B277" s="84" t="s">
        <v>469</v>
      </c>
      <c r="C277" s="6">
        <v>2.7143999999999999</v>
      </c>
      <c r="D277" s="6">
        <f>References!AQ79-References!AP79-References!AO79</f>
        <v>13.4</v>
      </c>
      <c r="E277" s="6">
        <v>22.5</v>
      </c>
      <c r="F277" s="6">
        <v>24</v>
      </c>
      <c r="G277" s="15">
        <f t="shared" si="3"/>
        <v>54.559439999999995</v>
      </c>
    </row>
    <row r="278" spans="1:7" ht="15.75" thickBot="1" x14ac:dyDescent="0.3">
      <c r="A278" s="83" t="s">
        <v>469</v>
      </c>
      <c r="B278" s="84" t="s">
        <v>64</v>
      </c>
      <c r="C278" s="6">
        <v>2.7143999999999999</v>
      </c>
      <c r="D278" s="6">
        <f>References!AQ80-References!AP80-References!AO80</f>
        <v>5.4</v>
      </c>
      <c r="E278" s="6">
        <v>24</v>
      </c>
      <c r="F278" s="6">
        <v>28</v>
      </c>
      <c r="G278" s="15">
        <f>ABS(C278*D278*(F278-E278))</f>
        <v>58.631039999999999</v>
      </c>
    </row>
    <row r="279" spans="1:7" ht="15.75" thickBot="1" x14ac:dyDescent="0.3">
      <c r="A279" s="83" t="s">
        <v>70</v>
      </c>
      <c r="B279" s="84" t="s">
        <v>64</v>
      </c>
      <c r="C279" s="6">
        <v>2.7143999999999999</v>
      </c>
      <c r="D279" s="6">
        <f>References!AQ81-References!AP81-References!AO81</f>
        <v>4.4000000000000004</v>
      </c>
      <c r="E279" s="6">
        <v>22.5</v>
      </c>
      <c r="F279" s="6">
        <v>28</v>
      </c>
      <c r="G279" s="15">
        <f t="shared" ref="G279:G295" si="4">ABS(C279*D279*(F279-E279))</f>
        <v>65.688479999999998</v>
      </c>
    </row>
    <row r="280" spans="1:7" ht="15.75" thickBot="1" x14ac:dyDescent="0.3">
      <c r="A280" s="83"/>
      <c r="B280" s="84" t="s">
        <v>469</v>
      </c>
      <c r="C280" s="6">
        <v>2.7143999999999999</v>
      </c>
      <c r="D280" s="6">
        <f>References!AQ82-References!AP82-References!AO82</f>
        <v>13.4</v>
      </c>
      <c r="E280" s="6">
        <v>22.5</v>
      </c>
      <c r="F280" s="6">
        <v>24</v>
      </c>
      <c r="G280" s="15">
        <f t="shared" si="4"/>
        <v>54.559439999999995</v>
      </c>
    </row>
    <row r="281" spans="1:7" ht="15.75" thickBot="1" x14ac:dyDescent="0.3">
      <c r="A281" s="83" t="s">
        <v>469</v>
      </c>
      <c r="B281" s="84" t="s">
        <v>64</v>
      </c>
      <c r="C281" s="6">
        <v>2.7143999999999999</v>
      </c>
      <c r="D281" s="6">
        <f>References!AQ83-References!AP83-References!AO83</f>
        <v>5.4</v>
      </c>
      <c r="E281" s="6">
        <v>24</v>
      </c>
      <c r="F281" s="6">
        <v>28</v>
      </c>
      <c r="G281" s="15">
        <f t="shared" si="4"/>
        <v>58.631039999999999</v>
      </c>
    </row>
    <row r="282" spans="1:7" ht="15.75" thickBot="1" x14ac:dyDescent="0.3">
      <c r="A282" s="83" t="s">
        <v>70</v>
      </c>
      <c r="B282" s="84" t="s">
        <v>64</v>
      </c>
      <c r="C282" s="6">
        <v>2.7143999999999999</v>
      </c>
      <c r="D282" s="6">
        <f>References!AQ84-References!AP84-References!AO84</f>
        <v>4.4000000000000004</v>
      </c>
      <c r="E282" s="6">
        <v>22.5</v>
      </c>
      <c r="F282" s="6">
        <v>28</v>
      </c>
      <c r="G282" s="15">
        <f t="shared" si="4"/>
        <v>65.688479999999998</v>
      </c>
    </row>
    <row r="283" spans="1:7" ht="15.75" thickBot="1" x14ac:dyDescent="0.3">
      <c r="A283" s="83"/>
      <c r="B283" s="84" t="s">
        <v>469</v>
      </c>
      <c r="C283" s="6">
        <v>2.7143999999999999</v>
      </c>
      <c r="D283" s="6">
        <f>References!AQ85-References!AP85-References!AO85</f>
        <v>13.4</v>
      </c>
      <c r="E283" s="6">
        <v>22.5</v>
      </c>
      <c r="F283" s="6">
        <v>24</v>
      </c>
      <c r="G283" s="15">
        <f t="shared" si="4"/>
        <v>54.559439999999995</v>
      </c>
    </row>
    <row r="284" spans="1:7" ht="15.75" thickBot="1" x14ac:dyDescent="0.3">
      <c r="A284" s="83" t="s">
        <v>469</v>
      </c>
      <c r="B284" s="84" t="s">
        <v>64</v>
      </c>
      <c r="C284" s="6">
        <v>2.7143999999999999</v>
      </c>
      <c r="D284" s="6">
        <f>References!AQ86-References!AP86-References!AO86</f>
        <v>5.4</v>
      </c>
      <c r="E284" s="6">
        <v>24</v>
      </c>
      <c r="F284" s="6">
        <v>28</v>
      </c>
      <c r="G284" s="15">
        <f t="shared" si="4"/>
        <v>58.631039999999999</v>
      </c>
    </row>
    <row r="285" spans="1:7" ht="15.75" thickBot="1" x14ac:dyDescent="0.3">
      <c r="A285" s="83" t="s">
        <v>70</v>
      </c>
      <c r="B285" s="84" t="s">
        <v>64</v>
      </c>
      <c r="C285" s="6">
        <v>2.7143999999999999</v>
      </c>
      <c r="D285" s="6">
        <f>References!AQ87-References!AP87-References!AO87</f>
        <v>4.4000000000000004</v>
      </c>
      <c r="E285" s="6">
        <v>22.5</v>
      </c>
      <c r="F285" s="6">
        <v>28</v>
      </c>
      <c r="G285" s="15">
        <f t="shared" si="4"/>
        <v>65.688479999999998</v>
      </c>
    </row>
    <row r="286" spans="1:7" ht="15.75" thickBot="1" x14ac:dyDescent="0.3">
      <c r="A286" s="83"/>
      <c r="B286" s="84" t="s">
        <v>469</v>
      </c>
      <c r="C286" s="6">
        <v>2.7143999999999999</v>
      </c>
      <c r="D286" s="6">
        <f>References!AQ88-References!AP88-References!AO88</f>
        <v>13.4</v>
      </c>
      <c r="E286" s="6">
        <v>22.5</v>
      </c>
      <c r="F286" s="6">
        <v>24</v>
      </c>
      <c r="G286" s="15">
        <f t="shared" si="4"/>
        <v>54.559439999999995</v>
      </c>
    </row>
    <row r="287" spans="1:7" ht="15.75" thickBot="1" x14ac:dyDescent="0.3">
      <c r="A287" s="83" t="s">
        <v>469</v>
      </c>
      <c r="B287" s="84" t="s">
        <v>64</v>
      </c>
      <c r="C287" s="6">
        <v>2.7143999999999999</v>
      </c>
      <c r="D287" s="6">
        <f>References!AQ89-References!AP89-References!AO89</f>
        <v>5.4</v>
      </c>
      <c r="E287" s="6">
        <v>24</v>
      </c>
      <c r="F287" s="6">
        <v>28</v>
      </c>
      <c r="G287" s="15">
        <f t="shared" si="4"/>
        <v>58.631039999999999</v>
      </c>
    </row>
    <row r="288" spans="1:7" ht="15.75" thickBot="1" x14ac:dyDescent="0.3">
      <c r="A288" s="83" t="s">
        <v>71</v>
      </c>
      <c r="B288" s="84" t="s">
        <v>64</v>
      </c>
      <c r="C288" s="6">
        <v>2.7143999999999999</v>
      </c>
      <c r="D288" s="6">
        <f>References!AQ90-References!AP90-References!AO90</f>
        <v>11.799999999999999</v>
      </c>
      <c r="E288" s="6">
        <v>22.5</v>
      </c>
      <c r="F288" s="6">
        <v>28</v>
      </c>
      <c r="G288" s="15">
        <f t="shared" si="4"/>
        <v>176.16455999999999</v>
      </c>
    </row>
    <row r="289" spans="1:7" ht="15.75" thickBot="1" x14ac:dyDescent="0.3">
      <c r="A289" s="83" t="s">
        <v>308</v>
      </c>
      <c r="B289" s="84" t="s">
        <v>64</v>
      </c>
      <c r="C289" s="6">
        <v>2.7143999999999999</v>
      </c>
      <c r="D289" s="6">
        <f>References!AQ91-References!AP91-References!AO91</f>
        <v>52.8</v>
      </c>
      <c r="E289" s="6">
        <v>22.5</v>
      </c>
      <c r="F289" s="6">
        <v>28</v>
      </c>
      <c r="G289" s="15">
        <f t="shared" si="4"/>
        <v>788.26175999999987</v>
      </c>
    </row>
    <row r="290" spans="1:7" ht="15.75" thickBot="1" x14ac:dyDescent="0.3">
      <c r="A290" s="83"/>
      <c r="B290" s="84" t="s">
        <v>421</v>
      </c>
      <c r="C290" s="6">
        <v>2.7143999999999999</v>
      </c>
      <c r="D290" s="6">
        <f>References!AQ92-References!AP92-References!AO92</f>
        <v>8.8000000000000007</v>
      </c>
      <c r="E290" s="6">
        <v>22.5</v>
      </c>
      <c r="F290" s="6">
        <v>24</v>
      </c>
      <c r="G290" s="15">
        <f t="shared" si="4"/>
        <v>35.830080000000002</v>
      </c>
    </row>
    <row r="291" spans="1:7" ht="15.75" thickBot="1" x14ac:dyDescent="0.3">
      <c r="A291" s="83" t="s">
        <v>76</v>
      </c>
      <c r="B291" s="84" t="s">
        <v>421</v>
      </c>
      <c r="C291" s="6">
        <v>2.7143999999999999</v>
      </c>
      <c r="D291" s="6">
        <f>References!AQ93-References!AP93-References!AO93</f>
        <v>12</v>
      </c>
      <c r="E291" s="6">
        <v>22.5</v>
      </c>
      <c r="F291" s="6">
        <v>24</v>
      </c>
      <c r="G291" s="15">
        <f t="shared" si="4"/>
        <v>48.859200000000001</v>
      </c>
    </row>
    <row r="292" spans="1:7" ht="15.75" thickBot="1" x14ac:dyDescent="0.3">
      <c r="A292" s="83" t="s">
        <v>421</v>
      </c>
      <c r="B292" s="84" t="s">
        <v>64</v>
      </c>
      <c r="C292" s="6">
        <v>2.7143999999999999</v>
      </c>
      <c r="D292" s="6">
        <f>References!AQ94-References!AP94-References!AO94</f>
        <v>22.4</v>
      </c>
      <c r="E292" s="6">
        <v>24</v>
      </c>
      <c r="F292" s="6">
        <v>28</v>
      </c>
      <c r="G292" s="15">
        <f t="shared" si="4"/>
        <v>243.21023999999997</v>
      </c>
    </row>
    <row r="293" spans="1:7" ht="15.75" thickBot="1" x14ac:dyDescent="0.3">
      <c r="A293" s="83" t="s">
        <v>57</v>
      </c>
      <c r="B293" s="84" t="s">
        <v>64</v>
      </c>
      <c r="C293" s="6">
        <v>2.7143999999999999</v>
      </c>
      <c r="D293" s="6">
        <f>References!AQ95-References!AP95-References!AO95</f>
        <v>34.92</v>
      </c>
      <c r="E293" s="6">
        <v>24</v>
      </c>
      <c r="F293" s="6">
        <v>28</v>
      </c>
      <c r="G293" s="15">
        <f t="shared" si="4"/>
        <v>379.14739200000002</v>
      </c>
    </row>
    <row r="294" spans="1:7" ht="15.75" thickBot="1" x14ac:dyDescent="0.3">
      <c r="A294" s="83" t="s">
        <v>58</v>
      </c>
      <c r="B294" s="84" t="s">
        <v>64</v>
      </c>
      <c r="C294" s="6">
        <v>2.7143999999999999</v>
      </c>
      <c r="D294" s="6">
        <f>References!AQ96-References!AP96-References!AO96</f>
        <v>10.719999999999999</v>
      </c>
      <c r="E294" s="6">
        <v>24</v>
      </c>
      <c r="F294" s="6">
        <v>28</v>
      </c>
      <c r="G294" s="15">
        <f t="shared" si="4"/>
        <v>116.39347199999999</v>
      </c>
    </row>
    <row r="295" spans="1:7" ht="15.75" thickBot="1" x14ac:dyDescent="0.3">
      <c r="A295" s="85" t="s">
        <v>484</v>
      </c>
      <c r="B295" s="86" t="s">
        <v>64</v>
      </c>
      <c r="C295" s="21">
        <v>2.7143999999999999</v>
      </c>
      <c r="D295" s="21">
        <f>References!AQ97-References!AP97-References!AO97</f>
        <v>16.399999999999999</v>
      </c>
      <c r="E295" s="21">
        <v>24</v>
      </c>
      <c r="F295" s="21">
        <v>28</v>
      </c>
      <c r="G295" s="22">
        <f t="shared" si="4"/>
        <v>178.06463999999997</v>
      </c>
    </row>
    <row r="296" spans="1:7" ht="15.75" thickBot="1" x14ac:dyDescent="0.3">
      <c r="F296" s="43" t="s">
        <v>333</v>
      </c>
      <c r="G296" s="43">
        <f>SUM(Table16[Q])</f>
        <v>17107.397424000003</v>
      </c>
    </row>
  </sheetData>
  <mergeCells count="15">
    <mergeCell ref="A2:G2"/>
    <mergeCell ref="A1:G1"/>
    <mergeCell ref="A93:G93"/>
    <mergeCell ref="A200:G200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E4:F89">
    <cfRule type="cellIs" dxfId="204" priority="8" operator="equal">
      <formula>$H$4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26"/>
  <sheetViews>
    <sheetView topLeftCell="A109" zoomScaleNormal="100" workbookViewId="0">
      <selection activeCell="A29" sqref="A29"/>
    </sheetView>
  </sheetViews>
  <sheetFormatPr defaultRowHeight="15" x14ac:dyDescent="0.25"/>
  <cols>
    <col min="1" max="1" width="36.85546875" style="79" customWidth="1"/>
    <col min="2" max="2" width="6.85546875" style="79" customWidth="1"/>
    <col min="3" max="3" width="7" style="79" customWidth="1"/>
    <col min="4" max="4" width="5.5703125" style="79" customWidth="1"/>
    <col min="5" max="5" width="6.85546875" style="79" customWidth="1"/>
    <col min="6" max="6" width="10.140625" style="79" customWidth="1"/>
    <col min="7" max="7" width="12.140625" style="79" customWidth="1"/>
    <col min="8" max="8" width="9.28515625" style="79" customWidth="1"/>
    <col min="9" max="9" width="10" style="79" customWidth="1"/>
    <col min="10" max="11" width="9.140625" style="79"/>
  </cols>
  <sheetData>
    <row r="1" spans="1:20" ht="24.75" customHeight="1" x14ac:dyDescent="0.25">
      <c r="A1" s="159" t="s">
        <v>504</v>
      </c>
      <c r="B1" s="159"/>
      <c r="C1" s="159"/>
      <c r="D1" s="159"/>
      <c r="E1" s="159"/>
      <c r="F1" s="159"/>
      <c r="G1" s="159"/>
      <c r="H1" s="159"/>
      <c r="I1" s="159"/>
      <c r="J1" s="106"/>
      <c r="K1" s="106"/>
    </row>
    <row r="2" spans="1:20" ht="24" thickBot="1" x14ac:dyDescent="0.4">
      <c r="A2" s="157" t="s">
        <v>160</v>
      </c>
      <c r="B2" s="157"/>
      <c r="C2" s="157"/>
      <c r="D2" s="157"/>
      <c r="E2" s="157"/>
      <c r="F2" s="157"/>
      <c r="G2" s="157"/>
      <c r="H2" s="157"/>
      <c r="I2" s="157"/>
      <c r="J2" s="105"/>
      <c r="K2" s="105"/>
    </row>
    <row r="3" spans="1:20" ht="15.75" thickBot="1" x14ac:dyDescent="0.3">
      <c r="A3" s="94" t="s">
        <v>19</v>
      </c>
      <c r="B3" s="73" t="s">
        <v>485</v>
      </c>
      <c r="C3" s="73" t="s">
        <v>20</v>
      </c>
      <c r="D3" s="73" t="s">
        <v>12</v>
      </c>
      <c r="E3" s="73" t="s">
        <v>7</v>
      </c>
      <c r="F3" s="73" t="s">
        <v>21</v>
      </c>
      <c r="G3" s="73" t="s">
        <v>22</v>
      </c>
      <c r="H3" s="73" t="s">
        <v>23</v>
      </c>
      <c r="I3" s="95" t="s">
        <v>416</v>
      </c>
      <c r="O3" s="173" t="s">
        <v>539</v>
      </c>
      <c r="P3" s="173"/>
      <c r="Q3" s="173"/>
      <c r="R3" s="173"/>
      <c r="S3" s="173"/>
      <c r="T3" s="173"/>
    </row>
    <row r="4" spans="1:20" ht="15.75" thickBot="1" x14ac:dyDescent="0.3">
      <c r="A4" s="96" t="s">
        <v>55</v>
      </c>
      <c r="B4" s="84">
        <v>2</v>
      </c>
      <c r="C4" s="97">
        <f>B4*References!AS4</f>
        <v>16</v>
      </c>
      <c r="D4" s="97">
        <v>34.5</v>
      </c>
      <c r="E4" s="97">
        <v>22.5</v>
      </c>
      <c r="F4" s="97">
        <v>1.8136751999999999E-2</v>
      </c>
      <c r="G4" s="97">
        <v>8.4806099999999995E-3</v>
      </c>
      <c r="H4" s="97">
        <f t="shared" ref="H4:H40" si="0">1.232*C4*(D4-E4)</f>
        <v>236.54399999999998</v>
      </c>
      <c r="I4" s="98">
        <f t="shared" ref="I4:I40" si="1">3000*C4*(F4-G4)</f>
        <v>463.49481599999996</v>
      </c>
      <c r="J4" s="91"/>
      <c r="O4" s="174"/>
      <c r="P4" s="174"/>
      <c r="Q4" s="174"/>
      <c r="R4" s="136" t="s">
        <v>541</v>
      </c>
      <c r="S4" s="136" t="s">
        <v>542</v>
      </c>
      <c r="T4" s="136" t="s">
        <v>430</v>
      </c>
    </row>
    <row r="5" spans="1:20" ht="15.75" thickBot="1" x14ac:dyDescent="0.3">
      <c r="A5" s="96" t="s">
        <v>102</v>
      </c>
      <c r="B5" s="84">
        <v>3</v>
      </c>
      <c r="C5" s="97">
        <f>B5*References!AS5</f>
        <v>45</v>
      </c>
      <c r="D5" s="97">
        <v>34.5</v>
      </c>
      <c r="E5" s="97">
        <v>22</v>
      </c>
      <c r="F5" s="97">
        <v>1.8136751999999999E-2</v>
      </c>
      <c r="G5" s="97">
        <v>8.2197599999999996E-3</v>
      </c>
      <c r="H5" s="97">
        <f t="shared" si="0"/>
        <v>693</v>
      </c>
      <c r="I5" s="98">
        <f t="shared" si="1"/>
        <v>1338.7939199999998</v>
      </c>
      <c r="J5" s="91"/>
      <c r="O5" s="175" t="s">
        <v>160</v>
      </c>
      <c r="P5" s="175"/>
      <c r="Q5" s="175"/>
      <c r="R5" s="84">
        <f>H41</f>
        <v>9262.7920000000013</v>
      </c>
      <c r="S5" s="84">
        <f>I41</f>
        <v>18303.154668000006</v>
      </c>
      <c r="T5" s="84">
        <f>R5+S5</f>
        <v>27565.946668000008</v>
      </c>
    </row>
    <row r="6" spans="1:20" ht="15.75" thickBot="1" x14ac:dyDescent="0.3">
      <c r="A6" s="96" t="s">
        <v>487</v>
      </c>
      <c r="B6" s="84">
        <v>5</v>
      </c>
      <c r="C6" s="97">
        <f>B6*References!AS6</f>
        <v>40</v>
      </c>
      <c r="D6" s="97">
        <v>34.5</v>
      </c>
      <c r="E6" s="97">
        <v>22.5</v>
      </c>
      <c r="F6" s="97">
        <v>1.8136751999999999E-2</v>
      </c>
      <c r="G6" s="97">
        <v>8.4806099999999995E-3</v>
      </c>
      <c r="H6" s="97">
        <f t="shared" si="0"/>
        <v>591.36</v>
      </c>
      <c r="I6" s="98">
        <f t="shared" si="1"/>
        <v>1158.73704</v>
      </c>
      <c r="J6" s="91"/>
      <c r="O6" s="175" t="s">
        <v>41</v>
      </c>
      <c r="P6" s="175"/>
      <c r="Q6" s="175"/>
      <c r="R6" s="84">
        <f>H90</f>
        <v>20168.763999999999</v>
      </c>
      <c r="S6" s="84">
        <f>I90</f>
        <v>39472.195050000002</v>
      </c>
      <c r="T6" s="84">
        <f>R6+S6</f>
        <v>59640.959050000005</v>
      </c>
    </row>
    <row r="7" spans="1:20" ht="15.75" thickBot="1" x14ac:dyDescent="0.3">
      <c r="A7" s="96" t="s">
        <v>345</v>
      </c>
      <c r="B7" s="84">
        <v>3</v>
      </c>
      <c r="C7" s="97">
        <f>B7*References!AS7</f>
        <v>7.5</v>
      </c>
      <c r="D7" s="97">
        <v>34.5</v>
      </c>
      <c r="E7" s="97">
        <v>22.5</v>
      </c>
      <c r="F7" s="97">
        <v>1.8136751999999999E-2</v>
      </c>
      <c r="G7" s="97">
        <v>8.4806099999999995E-3</v>
      </c>
      <c r="H7" s="97">
        <f t="shared" si="0"/>
        <v>110.88</v>
      </c>
      <c r="I7" s="98">
        <f t="shared" si="1"/>
        <v>217.263195</v>
      </c>
      <c r="J7" s="91"/>
      <c r="O7" s="175" t="s">
        <v>59</v>
      </c>
      <c r="P7" s="175"/>
      <c r="Q7" s="175"/>
      <c r="R7" s="84">
        <f>H125</f>
        <v>12337.248</v>
      </c>
      <c r="S7" s="84">
        <f>I125</f>
        <v>24174.897540000009</v>
      </c>
      <c r="T7" s="84">
        <f>R7+S7</f>
        <v>36512.145540000012</v>
      </c>
    </row>
    <row r="8" spans="1:20" ht="15.75" thickBot="1" x14ac:dyDescent="0.3">
      <c r="A8" s="96" t="s">
        <v>347</v>
      </c>
      <c r="B8" s="84">
        <v>2</v>
      </c>
      <c r="C8" s="97">
        <f>B8*References!AS8</f>
        <v>16</v>
      </c>
      <c r="D8" s="97">
        <v>34.5</v>
      </c>
      <c r="E8" s="97">
        <v>22.5</v>
      </c>
      <c r="F8" s="97">
        <v>1.8136751999999999E-2</v>
      </c>
      <c r="G8" s="97">
        <v>8.4806099999999995E-3</v>
      </c>
      <c r="H8" s="97">
        <f t="shared" si="0"/>
        <v>236.54399999999998</v>
      </c>
      <c r="I8" s="98">
        <f t="shared" si="1"/>
        <v>463.49481599999996</v>
      </c>
      <c r="J8" s="91"/>
      <c r="O8" s="163" t="s">
        <v>540</v>
      </c>
      <c r="P8" s="163"/>
      <c r="Q8" s="163"/>
      <c r="R8" s="167">
        <f>SUM(R5:R7)</f>
        <v>41768.804000000004</v>
      </c>
      <c r="S8" s="167">
        <f>SUM(S5:S7)</f>
        <v>81950.247258000018</v>
      </c>
      <c r="T8" s="167">
        <f>T5+T6+T7</f>
        <v>123719.05125800002</v>
      </c>
    </row>
    <row r="9" spans="1:20" ht="15.75" thickBot="1" x14ac:dyDescent="0.3">
      <c r="A9" s="96" t="s">
        <v>488</v>
      </c>
      <c r="B9" s="84">
        <v>2</v>
      </c>
      <c r="C9" s="97">
        <f>B9*References!AS9</f>
        <v>5</v>
      </c>
      <c r="D9" s="97">
        <v>34.5</v>
      </c>
      <c r="E9" s="97">
        <v>22.5</v>
      </c>
      <c r="F9" s="97">
        <v>1.8136751999999999E-2</v>
      </c>
      <c r="G9" s="97">
        <v>8.4806099999999995E-3</v>
      </c>
      <c r="H9" s="97">
        <f t="shared" si="0"/>
        <v>73.92</v>
      </c>
      <c r="I9" s="98">
        <f t="shared" si="1"/>
        <v>144.84213</v>
      </c>
      <c r="J9" s="91"/>
      <c r="O9" s="163"/>
      <c r="P9" s="163"/>
      <c r="Q9" s="163"/>
      <c r="R9" s="168"/>
      <c r="S9" s="168"/>
      <c r="T9" s="168"/>
    </row>
    <row r="10" spans="1:20" ht="15.75" thickBot="1" x14ac:dyDescent="0.3">
      <c r="A10" s="96" t="s">
        <v>489</v>
      </c>
      <c r="B10" s="84">
        <v>2</v>
      </c>
      <c r="C10" s="97">
        <f>B10*References!AS10</f>
        <v>16</v>
      </c>
      <c r="D10" s="97">
        <v>34.5</v>
      </c>
      <c r="E10" s="97">
        <v>22.5</v>
      </c>
      <c r="F10" s="97">
        <v>1.8136751999999999E-2</v>
      </c>
      <c r="G10" s="97">
        <v>8.4806099999999995E-3</v>
      </c>
      <c r="H10" s="97">
        <f t="shared" si="0"/>
        <v>236.54399999999998</v>
      </c>
      <c r="I10" s="98">
        <f t="shared" si="1"/>
        <v>463.49481599999996</v>
      </c>
      <c r="J10" s="91"/>
    </row>
    <row r="11" spans="1:20" ht="15.75" thickBot="1" x14ac:dyDescent="0.3">
      <c r="A11" s="96" t="s">
        <v>490</v>
      </c>
      <c r="B11" s="84">
        <v>1</v>
      </c>
      <c r="C11" s="97">
        <f>B11*References!AS11</f>
        <v>2.5</v>
      </c>
      <c r="D11" s="97">
        <v>34.5</v>
      </c>
      <c r="E11" s="97">
        <v>22.5</v>
      </c>
      <c r="F11" s="97">
        <v>1.8136751999999999E-2</v>
      </c>
      <c r="G11" s="97">
        <v>8.4806099999999995E-3</v>
      </c>
      <c r="H11" s="97">
        <f t="shared" si="0"/>
        <v>36.96</v>
      </c>
      <c r="I11" s="98">
        <f t="shared" si="1"/>
        <v>72.421064999999999</v>
      </c>
      <c r="J11" s="91"/>
    </row>
    <row r="12" spans="1:20" ht="15.75" thickBot="1" x14ac:dyDescent="0.3">
      <c r="A12" s="96" t="s">
        <v>175</v>
      </c>
      <c r="B12" s="84">
        <v>14</v>
      </c>
      <c r="C12" s="97">
        <f>B12*References!AS12</f>
        <v>112</v>
      </c>
      <c r="D12" s="97">
        <v>34.5</v>
      </c>
      <c r="E12" s="97">
        <v>22.5</v>
      </c>
      <c r="F12" s="97">
        <v>1.8136751999999999E-2</v>
      </c>
      <c r="G12" s="97">
        <v>8.4806099999999995E-3</v>
      </c>
      <c r="H12" s="97">
        <f t="shared" si="0"/>
        <v>1655.808</v>
      </c>
      <c r="I12" s="98">
        <f>3000*C12*(F12-G12)</f>
        <v>3244.4637119999998</v>
      </c>
      <c r="J12" s="91"/>
    </row>
    <row r="13" spans="1:20" ht="15.75" thickBot="1" x14ac:dyDescent="0.3">
      <c r="A13" s="96" t="s">
        <v>120</v>
      </c>
      <c r="B13" s="84">
        <v>4</v>
      </c>
      <c r="C13" s="97">
        <f>B13*References!AS13</f>
        <v>40</v>
      </c>
      <c r="D13" s="97">
        <v>34.5</v>
      </c>
      <c r="E13" s="97">
        <v>22</v>
      </c>
      <c r="F13" s="97">
        <v>1.8136751999999999E-2</v>
      </c>
      <c r="G13" s="97">
        <v>8.2197599999999996E-3</v>
      </c>
      <c r="H13" s="97">
        <f t="shared" si="0"/>
        <v>616</v>
      </c>
      <c r="I13" s="98">
        <f t="shared" si="1"/>
        <v>1190.0390399999999</v>
      </c>
      <c r="J13" s="91"/>
    </row>
    <row r="14" spans="1:20" ht="15.75" thickBot="1" x14ac:dyDescent="0.3">
      <c r="A14" s="96" t="s">
        <v>451</v>
      </c>
      <c r="B14" s="84">
        <v>2</v>
      </c>
      <c r="C14" s="97">
        <f>B14*References!AS14</f>
        <v>5</v>
      </c>
      <c r="D14" s="97">
        <v>34.5</v>
      </c>
      <c r="E14" s="97">
        <v>22.5</v>
      </c>
      <c r="F14" s="97">
        <v>1.8136751999999999E-2</v>
      </c>
      <c r="G14" s="97">
        <v>8.4806099999999995E-3</v>
      </c>
      <c r="H14" s="97">
        <f t="shared" si="0"/>
        <v>73.92</v>
      </c>
      <c r="I14" s="98">
        <f t="shared" si="1"/>
        <v>144.84213</v>
      </c>
      <c r="J14" s="91"/>
    </row>
    <row r="15" spans="1:20" ht="15.75" thickBot="1" x14ac:dyDescent="0.3">
      <c r="A15" s="96" t="s">
        <v>451</v>
      </c>
      <c r="B15" s="84">
        <v>2</v>
      </c>
      <c r="C15" s="97">
        <f>B15*References!AS15</f>
        <v>5</v>
      </c>
      <c r="D15" s="97">
        <v>34.5</v>
      </c>
      <c r="E15" s="97">
        <v>22.5</v>
      </c>
      <c r="F15" s="97">
        <v>1.8136751999999999E-2</v>
      </c>
      <c r="G15" s="97">
        <v>8.4806099999999995E-3</v>
      </c>
      <c r="H15" s="97">
        <f t="shared" si="0"/>
        <v>73.92</v>
      </c>
      <c r="I15" s="98">
        <f t="shared" si="1"/>
        <v>144.84213</v>
      </c>
      <c r="J15" s="91"/>
    </row>
    <row r="16" spans="1:20" ht="15.75" thickBot="1" x14ac:dyDescent="0.3">
      <c r="A16" s="96" t="s">
        <v>455</v>
      </c>
      <c r="B16" s="84">
        <v>2</v>
      </c>
      <c r="C16" s="97">
        <f>B16*References!AS16</f>
        <v>5</v>
      </c>
      <c r="D16" s="97">
        <v>34.5</v>
      </c>
      <c r="E16" s="97">
        <v>22.5</v>
      </c>
      <c r="F16" s="97">
        <v>1.8136751999999999E-2</v>
      </c>
      <c r="G16" s="97">
        <v>8.4806099999999995E-3</v>
      </c>
      <c r="H16" s="97">
        <f t="shared" si="0"/>
        <v>73.92</v>
      </c>
      <c r="I16" s="98">
        <f>3000*C16*(F16-G16)</f>
        <v>144.84213</v>
      </c>
      <c r="J16" s="91"/>
    </row>
    <row r="17" spans="1:10" ht="15.75" thickBot="1" x14ac:dyDescent="0.3">
      <c r="A17" s="96" t="s">
        <v>455</v>
      </c>
      <c r="B17" s="84">
        <v>2</v>
      </c>
      <c r="C17" s="97">
        <f>B17*References!AS17</f>
        <v>5</v>
      </c>
      <c r="D17" s="97">
        <v>34.5</v>
      </c>
      <c r="E17" s="97">
        <v>22.5</v>
      </c>
      <c r="F17" s="97">
        <v>1.8136751999999999E-2</v>
      </c>
      <c r="G17" s="97">
        <v>8.4806099999999995E-3</v>
      </c>
      <c r="H17" s="97">
        <f t="shared" si="0"/>
        <v>73.92</v>
      </c>
      <c r="I17" s="98">
        <f t="shared" si="1"/>
        <v>144.84213</v>
      </c>
      <c r="J17" s="91"/>
    </row>
    <row r="18" spans="1:10" ht="15.75" thickBot="1" x14ac:dyDescent="0.3">
      <c r="A18" s="96" t="s">
        <v>76</v>
      </c>
      <c r="B18" s="84">
        <v>1</v>
      </c>
      <c r="C18" s="97">
        <f>B18*References!AS18</f>
        <v>2.5</v>
      </c>
      <c r="D18" s="97">
        <v>34.5</v>
      </c>
      <c r="E18" s="97">
        <v>22.5</v>
      </c>
      <c r="F18" s="97">
        <v>1.8136751999999999E-2</v>
      </c>
      <c r="G18" s="97">
        <v>8.4806099999999995E-3</v>
      </c>
      <c r="H18" s="97">
        <f t="shared" si="0"/>
        <v>36.96</v>
      </c>
      <c r="I18" s="98">
        <f t="shared" si="1"/>
        <v>72.421064999999999</v>
      </c>
      <c r="J18" s="91"/>
    </row>
    <row r="19" spans="1:10" ht="15.75" thickBot="1" x14ac:dyDescent="0.3">
      <c r="A19" s="96" t="s">
        <v>75</v>
      </c>
      <c r="B19" s="84">
        <v>1</v>
      </c>
      <c r="C19" s="97">
        <f>B19*References!AS19</f>
        <v>2.5</v>
      </c>
      <c r="D19" s="97">
        <v>34.5</v>
      </c>
      <c r="E19" s="97">
        <v>22.5</v>
      </c>
      <c r="F19" s="97">
        <v>1.8136751999999999E-2</v>
      </c>
      <c r="G19" s="97">
        <v>8.4806099999999995E-3</v>
      </c>
      <c r="H19" s="97">
        <f t="shared" si="0"/>
        <v>36.96</v>
      </c>
      <c r="I19" s="98">
        <f t="shared" si="1"/>
        <v>72.421064999999999</v>
      </c>
      <c r="J19" s="91"/>
    </row>
    <row r="20" spans="1:10" ht="15.75" thickBot="1" x14ac:dyDescent="0.3">
      <c r="A20" s="96" t="s">
        <v>72</v>
      </c>
      <c r="B20" s="84">
        <v>1</v>
      </c>
      <c r="C20" s="97">
        <f>B20*References!AS20</f>
        <v>2.5</v>
      </c>
      <c r="D20" s="97">
        <v>34.5</v>
      </c>
      <c r="E20" s="97">
        <v>22.5</v>
      </c>
      <c r="F20" s="97">
        <v>1.8136751999999999E-2</v>
      </c>
      <c r="G20" s="97">
        <v>8.4806099999999995E-3</v>
      </c>
      <c r="H20" s="97">
        <f t="shared" si="0"/>
        <v>36.96</v>
      </c>
      <c r="I20" s="98">
        <f t="shared" si="1"/>
        <v>72.421064999999999</v>
      </c>
      <c r="J20" s="91"/>
    </row>
    <row r="21" spans="1:10" ht="15.75" thickBot="1" x14ac:dyDescent="0.3">
      <c r="A21" s="96" t="s">
        <v>444</v>
      </c>
      <c r="B21" s="84">
        <v>1</v>
      </c>
      <c r="C21" s="97">
        <f>B21*References!AS21</f>
        <v>2.5</v>
      </c>
      <c r="D21" s="97">
        <v>34.5</v>
      </c>
      <c r="E21" s="97">
        <v>22.5</v>
      </c>
      <c r="F21" s="97">
        <v>1.8136751999999999E-2</v>
      </c>
      <c r="G21" s="97">
        <v>8.4806099999999995E-3</v>
      </c>
      <c r="H21" s="97">
        <f t="shared" si="0"/>
        <v>36.96</v>
      </c>
      <c r="I21" s="98">
        <f t="shared" si="1"/>
        <v>72.421064999999999</v>
      </c>
      <c r="J21" s="91"/>
    </row>
    <row r="22" spans="1:10" ht="15.75" thickBot="1" x14ac:dyDescent="0.3">
      <c r="A22" s="96" t="s">
        <v>443</v>
      </c>
      <c r="B22" s="84">
        <v>1</v>
      </c>
      <c r="C22" s="97">
        <f>B22*References!AS22</f>
        <v>8</v>
      </c>
      <c r="D22" s="97">
        <v>34.5</v>
      </c>
      <c r="E22" s="97">
        <v>22.5</v>
      </c>
      <c r="F22" s="97">
        <v>1.8136751999999999E-2</v>
      </c>
      <c r="G22" s="97">
        <v>8.4806099999999995E-3</v>
      </c>
      <c r="H22" s="97">
        <f t="shared" si="0"/>
        <v>118.27199999999999</v>
      </c>
      <c r="I22" s="98">
        <f t="shared" si="1"/>
        <v>231.74740799999998</v>
      </c>
      <c r="J22" s="91"/>
    </row>
    <row r="23" spans="1:10" ht="15.75" thickBot="1" x14ac:dyDescent="0.3">
      <c r="A23" s="96" t="s">
        <v>491</v>
      </c>
      <c r="B23" s="84">
        <v>3</v>
      </c>
      <c r="C23" s="97">
        <f>B23*References!AS23</f>
        <v>24</v>
      </c>
      <c r="D23" s="97">
        <v>34.5</v>
      </c>
      <c r="E23" s="97">
        <v>22.5</v>
      </c>
      <c r="F23" s="97">
        <v>1.8136751999999999E-2</v>
      </c>
      <c r="G23" s="97">
        <v>8.4806099999999995E-3</v>
      </c>
      <c r="H23" s="97">
        <f t="shared" si="0"/>
        <v>354.81599999999997</v>
      </c>
      <c r="I23" s="98">
        <f t="shared" si="1"/>
        <v>695.24222399999996</v>
      </c>
      <c r="J23" s="91"/>
    </row>
    <row r="24" spans="1:10" ht="15.75" thickBot="1" x14ac:dyDescent="0.3">
      <c r="A24" s="96" t="s">
        <v>452</v>
      </c>
      <c r="B24" s="84">
        <v>2</v>
      </c>
      <c r="C24" s="97">
        <f>B24*References!AS24</f>
        <v>5</v>
      </c>
      <c r="D24" s="97">
        <v>34.5</v>
      </c>
      <c r="E24" s="97">
        <v>22.5</v>
      </c>
      <c r="F24" s="97">
        <v>1.8136751999999999E-2</v>
      </c>
      <c r="G24" s="97">
        <v>8.4806099999999995E-3</v>
      </c>
      <c r="H24" s="97">
        <f t="shared" si="0"/>
        <v>73.92</v>
      </c>
      <c r="I24" s="98">
        <f t="shared" si="1"/>
        <v>144.84213</v>
      </c>
      <c r="J24" s="91"/>
    </row>
    <row r="25" spans="1:10" ht="15.75" thickBot="1" x14ac:dyDescent="0.3">
      <c r="A25" s="96" t="s">
        <v>452</v>
      </c>
      <c r="B25" s="84">
        <v>2</v>
      </c>
      <c r="C25" s="97">
        <f>B25*References!AS25</f>
        <v>5</v>
      </c>
      <c r="D25" s="97">
        <v>34.5</v>
      </c>
      <c r="E25" s="97">
        <v>22.5</v>
      </c>
      <c r="F25" s="97">
        <v>1.8136751999999999E-2</v>
      </c>
      <c r="G25" s="97">
        <v>8.4806099999999995E-3</v>
      </c>
      <c r="H25" s="97">
        <f t="shared" si="0"/>
        <v>73.92</v>
      </c>
      <c r="I25" s="98">
        <f t="shared" si="1"/>
        <v>144.84213</v>
      </c>
      <c r="J25" s="91"/>
    </row>
    <row r="26" spans="1:10" ht="15.75" thickBot="1" x14ac:dyDescent="0.3">
      <c r="A26" s="96" t="s">
        <v>495</v>
      </c>
      <c r="B26" s="84">
        <v>1</v>
      </c>
      <c r="C26" s="97">
        <f>B26*References!AS26</f>
        <v>2.5</v>
      </c>
      <c r="D26" s="97">
        <v>34.5</v>
      </c>
      <c r="E26" s="97">
        <v>22.5</v>
      </c>
      <c r="F26" s="97">
        <v>1.8136751999999999E-2</v>
      </c>
      <c r="G26" s="97">
        <v>8.4806099999999995E-3</v>
      </c>
      <c r="H26" s="97">
        <f t="shared" si="0"/>
        <v>36.96</v>
      </c>
      <c r="I26" s="98">
        <f>3000*C26*(F26-G26)</f>
        <v>72.421064999999999</v>
      </c>
      <c r="J26" s="91"/>
    </row>
    <row r="27" spans="1:10" ht="15.75" thickBot="1" x14ac:dyDescent="0.3">
      <c r="A27" s="96" t="s">
        <v>456</v>
      </c>
      <c r="B27" s="84">
        <v>2</v>
      </c>
      <c r="C27" s="97">
        <f>B27*References!AS27</f>
        <v>5</v>
      </c>
      <c r="D27" s="97">
        <v>34.5</v>
      </c>
      <c r="E27" s="97">
        <v>22.5</v>
      </c>
      <c r="F27" s="97">
        <v>1.8136751999999999E-2</v>
      </c>
      <c r="G27" s="97">
        <v>8.4806099999999995E-3</v>
      </c>
      <c r="H27" s="97">
        <f t="shared" si="0"/>
        <v>73.92</v>
      </c>
      <c r="I27" s="98">
        <f t="shared" si="1"/>
        <v>144.84213</v>
      </c>
      <c r="J27" s="91"/>
    </row>
    <row r="28" spans="1:10" ht="15.75" thickBot="1" x14ac:dyDescent="0.3">
      <c r="A28" s="96" t="s">
        <v>456</v>
      </c>
      <c r="B28" s="84">
        <v>2</v>
      </c>
      <c r="C28" s="97">
        <f>B28*References!AS28</f>
        <v>5</v>
      </c>
      <c r="D28" s="97">
        <v>34.5</v>
      </c>
      <c r="E28" s="97">
        <v>22.5</v>
      </c>
      <c r="F28" s="97">
        <v>1.8136751999999999E-2</v>
      </c>
      <c r="G28" s="97">
        <v>8.4806099999999995E-3</v>
      </c>
      <c r="H28" s="97">
        <f t="shared" si="0"/>
        <v>73.92</v>
      </c>
      <c r="I28" s="98">
        <f t="shared" si="1"/>
        <v>144.84213</v>
      </c>
      <c r="J28" s="91"/>
    </row>
    <row r="29" spans="1:10" ht="15.75" thickBot="1" x14ac:dyDescent="0.3">
      <c r="A29" s="96" t="s">
        <v>369</v>
      </c>
      <c r="B29" s="84">
        <v>1</v>
      </c>
      <c r="C29" s="97">
        <f>B29*References!AS29</f>
        <v>2.5</v>
      </c>
      <c r="D29" s="97">
        <v>34.5</v>
      </c>
      <c r="E29" s="97">
        <v>22.5</v>
      </c>
      <c r="F29" s="97">
        <v>1.8136751999999999E-2</v>
      </c>
      <c r="G29" s="97">
        <v>8.4806099999999995E-3</v>
      </c>
      <c r="H29" s="97">
        <f t="shared" si="0"/>
        <v>36.96</v>
      </c>
      <c r="I29" s="98">
        <f t="shared" si="1"/>
        <v>72.421064999999999</v>
      </c>
      <c r="J29" s="91"/>
    </row>
    <row r="30" spans="1:10" ht="15.75" thickBot="1" x14ac:dyDescent="0.3">
      <c r="A30" s="96" t="s">
        <v>367</v>
      </c>
      <c r="B30" s="84">
        <v>4</v>
      </c>
      <c r="C30" s="97">
        <f>B30*References!AS30</f>
        <v>10</v>
      </c>
      <c r="D30" s="97">
        <v>34.5</v>
      </c>
      <c r="E30" s="97">
        <v>22.5</v>
      </c>
      <c r="F30" s="97">
        <v>1.8136751999999999E-2</v>
      </c>
      <c r="G30" s="97">
        <v>8.4806099999999995E-3</v>
      </c>
      <c r="H30" s="97">
        <f t="shared" si="0"/>
        <v>147.84</v>
      </c>
      <c r="I30" s="98">
        <f t="shared" si="1"/>
        <v>289.68425999999999</v>
      </c>
      <c r="J30" s="91"/>
    </row>
    <row r="31" spans="1:10" ht="15.75" thickBot="1" x14ac:dyDescent="0.3">
      <c r="A31" s="96" t="s">
        <v>370</v>
      </c>
      <c r="B31" s="84">
        <v>1</v>
      </c>
      <c r="C31" s="97">
        <f>B31*References!AS31</f>
        <v>2.5</v>
      </c>
      <c r="D31" s="97">
        <v>34.5</v>
      </c>
      <c r="E31" s="97">
        <v>22.5</v>
      </c>
      <c r="F31" s="97">
        <v>1.8136751999999999E-2</v>
      </c>
      <c r="G31" s="97">
        <v>8.4806099999999995E-3</v>
      </c>
      <c r="H31" s="97">
        <f t="shared" si="0"/>
        <v>36.96</v>
      </c>
      <c r="I31" s="98">
        <f t="shared" si="1"/>
        <v>72.421064999999999</v>
      </c>
      <c r="J31" s="91"/>
    </row>
    <row r="32" spans="1:10" ht="15.75" thickBot="1" x14ac:dyDescent="0.3">
      <c r="A32" s="96" t="s">
        <v>494</v>
      </c>
      <c r="B32" s="84">
        <v>1</v>
      </c>
      <c r="C32" s="97">
        <f>B32*References!AS32</f>
        <v>2.5</v>
      </c>
      <c r="D32" s="97">
        <v>34.5</v>
      </c>
      <c r="E32" s="97">
        <v>22.5</v>
      </c>
      <c r="F32" s="97">
        <v>1.8136751999999999E-2</v>
      </c>
      <c r="G32" s="97">
        <v>8.4806099999999995E-3</v>
      </c>
      <c r="H32" s="97">
        <f t="shared" si="0"/>
        <v>36.96</v>
      </c>
      <c r="I32" s="98">
        <f t="shared" si="1"/>
        <v>72.421064999999999</v>
      </c>
      <c r="J32" s="91"/>
    </row>
    <row r="33" spans="1:11" ht="15.75" thickBot="1" x14ac:dyDescent="0.3">
      <c r="A33" s="96" t="s">
        <v>453</v>
      </c>
      <c r="B33" s="84">
        <v>1</v>
      </c>
      <c r="C33" s="97">
        <f>B33*References!AS33</f>
        <v>2.5</v>
      </c>
      <c r="D33" s="97">
        <v>34.5</v>
      </c>
      <c r="E33" s="97">
        <v>22.5</v>
      </c>
      <c r="F33" s="97">
        <v>1.8136751999999999E-2</v>
      </c>
      <c r="G33" s="97">
        <v>8.4806099999999995E-3</v>
      </c>
      <c r="H33" s="97">
        <f t="shared" si="0"/>
        <v>36.96</v>
      </c>
      <c r="I33" s="98">
        <f t="shared" si="1"/>
        <v>72.421064999999999</v>
      </c>
      <c r="J33" s="91"/>
    </row>
    <row r="34" spans="1:11" ht="15.75" thickBot="1" x14ac:dyDescent="0.3">
      <c r="A34" s="96" t="s">
        <v>35</v>
      </c>
      <c r="B34" s="84">
        <v>2</v>
      </c>
      <c r="C34" s="97">
        <f>B34*References!AS34</f>
        <v>16</v>
      </c>
      <c r="D34" s="97">
        <v>34.5</v>
      </c>
      <c r="E34" s="97">
        <v>22.5</v>
      </c>
      <c r="F34" s="97">
        <v>1.8136751999999999E-2</v>
      </c>
      <c r="G34" s="97">
        <v>8.4806099999999995E-3</v>
      </c>
      <c r="H34" s="97">
        <f t="shared" si="0"/>
        <v>236.54399999999998</v>
      </c>
      <c r="I34" s="98">
        <f t="shared" si="1"/>
        <v>463.49481599999996</v>
      </c>
      <c r="J34" s="91"/>
    </row>
    <row r="35" spans="1:11" ht="15.75" thickBot="1" x14ac:dyDescent="0.3">
      <c r="A35" s="96" t="s">
        <v>459</v>
      </c>
      <c r="B35" s="84">
        <v>1</v>
      </c>
      <c r="C35" s="97">
        <f>B35*References!AS35</f>
        <v>2.5</v>
      </c>
      <c r="D35" s="97">
        <v>34.5</v>
      </c>
      <c r="E35" s="97">
        <v>22.5</v>
      </c>
      <c r="F35" s="97">
        <v>1.8136751999999999E-2</v>
      </c>
      <c r="G35" s="97">
        <v>8.4806099999999995E-3</v>
      </c>
      <c r="H35" s="97">
        <f t="shared" si="0"/>
        <v>36.96</v>
      </c>
      <c r="I35" s="98">
        <f t="shared" si="1"/>
        <v>72.421064999999999</v>
      </c>
      <c r="J35" s="91"/>
    </row>
    <row r="36" spans="1:11" ht="15.75" thickBot="1" x14ac:dyDescent="0.3">
      <c r="A36" s="96" t="s">
        <v>492</v>
      </c>
      <c r="B36" s="84">
        <v>1</v>
      </c>
      <c r="C36" s="97">
        <f>B36*References!AS36</f>
        <v>2.5</v>
      </c>
      <c r="D36" s="97">
        <v>34.5</v>
      </c>
      <c r="E36" s="97">
        <v>22.5</v>
      </c>
      <c r="F36" s="97">
        <v>1.8136751999999999E-2</v>
      </c>
      <c r="G36" s="97">
        <v>8.4806099999999995E-3</v>
      </c>
      <c r="H36" s="97">
        <f>1.232*C36*(D36-E36)</f>
        <v>36.96</v>
      </c>
      <c r="I36" s="98">
        <f>3000*C36*(F36-G36)</f>
        <v>72.421064999999999</v>
      </c>
      <c r="J36" s="91"/>
    </row>
    <row r="37" spans="1:11" ht="15.75" thickBot="1" x14ac:dyDescent="0.3">
      <c r="A37" s="96" t="s">
        <v>115</v>
      </c>
      <c r="B37" s="84">
        <v>4</v>
      </c>
      <c r="C37" s="97">
        <f>B37*References!AS37</f>
        <v>10</v>
      </c>
      <c r="D37" s="97">
        <v>34.5</v>
      </c>
      <c r="E37" s="97">
        <v>22.5</v>
      </c>
      <c r="F37" s="97">
        <v>1.8136751999999999E-2</v>
      </c>
      <c r="G37" s="97">
        <v>8.4806099999999995E-3</v>
      </c>
      <c r="H37" s="97">
        <f t="shared" si="0"/>
        <v>147.84</v>
      </c>
      <c r="I37" s="98">
        <f t="shared" si="1"/>
        <v>289.68425999999999</v>
      </c>
      <c r="J37" s="91"/>
    </row>
    <row r="38" spans="1:11" ht="15.75" thickBot="1" x14ac:dyDescent="0.3">
      <c r="A38" s="96" t="s">
        <v>385</v>
      </c>
      <c r="B38" s="84">
        <v>5</v>
      </c>
      <c r="C38" s="97">
        <f>B38*References!AS38</f>
        <v>40</v>
      </c>
      <c r="D38" s="97">
        <v>34.5</v>
      </c>
      <c r="E38" s="97">
        <v>22.5</v>
      </c>
      <c r="F38" s="97">
        <v>1.8136751999999999E-2</v>
      </c>
      <c r="G38" s="97">
        <v>8.4806099999999995E-3</v>
      </c>
      <c r="H38" s="97">
        <f t="shared" si="0"/>
        <v>591.36</v>
      </c>
      <c r="I38" s="98">
        <f t="shared" si="1"/>
        <v>1158.73704</v>
      </c>
      <c r="J38" s="91"/>
    </row>
    <row r="39" spans="1:11" ht="15.75" thickBot="1" x14ac:dyDescent="0.3">
      <c r="A39" s="96" t="s">
        <v>493</v>
      </c>
      <c r="B39" s="84">
        <v>3</v>
      </c>
      <c r="C39" s="97">
        <f>B39*References!AS39</f>
        <v>7.5</v>
      </c>
      <c r="D39" s="97">
        <v>34.5</v>
      </c>
      <c r="E39" s="97">
        <v>22.5</v>
      </c>
      <c r="F39" s="97">
        <v>1.8136751999999999E-2</v>
      </c>
      <c r="G39" s="97">
        <v>8.4806099999999995E-3</v>
      </c>
      <c r="H39" s="97">
        <f t="shared" si="0"/>
        <v>110.88</v>
      </c>
      <c r="I39" s="98">
        <f t="shared" si="1"/>
        <v>217.263195</v>
      </c>
      <c r="J39" s="91"/>
    </row>
    <row r="40" spans="1:11" ht="15.75" thickBot="1" x14ac:dyDescent="0.3">
      <c r="A40" s="99" t="s">
        <v>30</v>
      </c>
      <c r="B40" s="84">
        <v>20</v>
      </c>
      <c r="C40" s="100">
        <f>B40*References!AS40</f>
        <v>160</v>
      </c>
      <c r="D40" s="100">
        <v>34.5</v>
      </c>
      <c r="E40" s="100">
        <v>24</v>
      </c>
      <c r="F40" s="100">
        <v>1.8136751999999999E-2</v>
      </c>
      <c r="G40" s="100">
        <v>9.2932350000000004E-3</v>
      </c>
      <c r="H40" s="100">
        <f t="shared" si="0"/>
        <v>2069.7600000000002</v>
      </c>
      <c r="I40" s="101">
        <f t="shared" si="1"/>
        <v>4244.8881599999995</v>
      </c>
      <c r="J40" s="91"/>
    </row>
    <row r="41" spans="1:11" s="121" customFormat="1" ht="15.75" thickBot="1" x14ac:dyDescent="0.3">
      <c r="A41" s="122"/>
      <c r="B41" s="123"/>
      <c r="C41" s="122"/>
      <c r="D41" s="122"/>
      <c r="E41" s="122"/>
      <c r="F41" s="122"/>
      <c r="G41" s="131" t="s">
        <v>122</v>
      </c>
      <c r="H41" s="43">
        <f>SUM(Table17[Qs (W)])</f>
        <v>9262.7920000000013</v>
      </c>
      <c r="I41" s="131">
        <f>SUM(Table17[Qw (W)])</f>
        <v>18303.154668000006</v>
      </c>
      <c r="J41" s="91"/>
      <c r="K41" s="91"/>
    </row>
    <row r="42" spans="1:11" ht="15.75" thickBot="1" x14ac:dyDescent="0.3">
      <c r="G42" s="177" t="s">
        <v>161</v>
      </c>
      <c r="H42" s="177"/>
      <c r="I42" s="131">
        <f>H41+I41</f>
        <v>27565.946668000008</v>
      </c>
    </row>
    <row r="43" spans="1:11" s="121" customForma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</row>
    <row r="44" spans="1:11" ht="24" thickBot="1" x14ac:dyDescent="0.4">
      <c r="A44" s="157" t="s">
        <v>41</v>
      </c>
      <c r="B44" s="157"/>
      <c r="C44" s="157"/>
      <c r="D44" s="157"/>
      <c r="E44" s="157"/>
      <c r="F44" s="157"/>
      <c r="G44" s="157"/>
      <c r="H44" s="157"/>
      <c r="I44" s="157"/>
      <c r="J44" s="105"/>
      <c r="K44" s="105"/>
    </row>
    <row r="45" spans="1:11" ht="15.75" thickBot="1" x14ac:dyDescent="0.3">
      <c r="A45" s="102" t="s">
        <v>19</v>
      </c>
      <c r="B45" s="103" t="s">
        <v>496</v>
      </c>
      <c r="C45" s="103" t="s">
        <v>20</v>
      </c>
      <c r="D45" s="103" t="s">
        <v>12</v>
      </c>
      <c r="E45" s="103" t="s">
        <v>7</v>
      </c>
      <c r="F45" s="103" t="s">
        <v>21</v>
      </c>
      <c r="G45" s="103" t="s">
        <v>22</v>
      </c>
      <c r="H45" s="103" t="s">
        <v>497</v>
      </c>
      <c r="I45" s="104" t="s">
        <v>498</v>
      </c>
      <c r="J45" s="93"/>
    </row>
    <row r="46" spans="1:11" ht="15.75" thickBot="1" x14ac:dyDescent="0.3">
      <c r="A46" s="96" t="s">
        <v>123</v>
      </c>
      <c r="B46" s="84">
        <v>5</v>
      </c>
      <c r="C46" s="97">
        <f>B46*References!AT4</f>
        <v>65</v>
      </c>
      <c r="D46" s="97">
        <v>34.5</v>
      </c>
      <c r="E46" s="97">
        <v>22.5</v>
      </c>
      <c r="F46" s="97">
        <v>1.813675E-2</v>
      </c>
      <c r="G46" s="97">
        <f>_xlfn.IFS(E46=22.5,0.00848061,E46=22,0.00821976,E46=24,0.00929323)</f>
        <v>8.4806099999999995E-3</v>
      </c>
      <c r="H46" s="97">
        <f>1.232*C46*(D46-E46)</f>
        <v>960.96</v>
      </c>
      <c r="I46" s="98">
        <f>3000*C46*(F46-G46)</f>
        <v>1882.9473</v>
      </c>
      <c r="J46" s="93"/>
    </row>
    <row r="47" spans="1:11" ht="15.75" thickBot="1" x14ac:dyDescent="0.3">
      <c r="A47" s="96" t="s">
        <v>169</v>
      </c>
      <c r="B47" s="84">
        <v>5</v>
      </c>
      <c r="C47" s="97">
        <f>B47*References!AT5</f>
        <v>65</v>
      </c>
      <c r="D47" s="97">
        <v>34.5</v>
      </c>
      <c r="E47" s="97">
        <v>22.5</v>
      </c>
      <c r="F47" s="97">
        <v>1.813675E-2</v>
      </c>
      <c r="G47" s="97">
        <f t="shared" ref="G47:G89" si="2">_xlfn.IFS(E47=22.5,0.00848061,E47=22,0.00821976,E47=24,0.00929323)</f>
        <v>8.4806099999999995E-3</v>
      </c>
      <c r="H47" s="97">
        <f t="shared" ref="H47:H89" si="3">1.232*C47*(D47-E47)</f>
        <v>960.96</v>
      </c>
      <c r="I47" s="98">
        <f t="shared" ref="I47:I89" si="4">3000*C47*(F47-G47)</f>
        <v>1882.9473</v>
      </c>
      <c r="J47" s="93"/>
    </row>
    <row r="48" spans="1:11" ht="15.75" thickBot="1" x14ac:dyDescent="0.3">
      <c r="A48" s="96" t="s">
        <v>124</v>
      </c>
      <c r="B48" s="84">
        <v>5</v>
      </c>
      <c r="C48" s="97">
        <f>B48*References!AT6</f>
        <v>65</v>
      </c>
      <c r="D48" s="97">
        <v>34.5</v>
      </c>
      <c r="E48" s="97">
        <v>22.5</v>
      </c>
      <c r="F48" s="97">
        <v>1.813675E-2</v>
      </c>
      <c r="G48" s="97">
        <f t="shared" si="2"/>
        <v>8.4806099999999995E-3</v>
      </c>
      <c r="H48" s="97">
        <f t="shared" si="3"/>
        <v>960.96</v>
      </c>
      <c r="I48" s="98">
        <f t="shared" si="4"/>
        <v>1882.9473</v>
      </c>
      <c r="J48" s="93"/>
    </row>
    <row r="49" spans="1:10" ht="15.75" thickBot="1" x14ac:dyDescent="0.3">
      <c r="A49" s="96" t="s">
        <v>125</v>
      </c>
      <c r="B49" s="84">
        <v>5</v>
      </c>
      <c r="C49" s="97">
        <f>B49*References!AT7</f>
        <v>65</v>
      </c>
      <c r="D49" s="97">
        <v>34.5</v>
      </c>
      <c r="E49" s="97">
        <v>22.5</v>
      </c>
      <c r="F49" s="97">
        <v>1.813675E-2</v>
      </c>
      <c r="G49" s="97">
        <f t="shared" si="2"/>
        <v>8.4806099999999995E-3</v>
      </c>
      <c r="H49" s="97">
        <f t="shared" si="3"/>
        <v>960.96</v>
      </c>
      <c r="I49" s="98">
        <f t="shared" si="4"/>
        <v>1882.9473</v>
      </c>
      <c r="J49" s="93"/>
    </row>
    <row r="50" spans="1:10" ht="15.75" thickBot="1" x14ac:dyDescent="0.3">
      <c r="A50" s="96" t="s">
        <v>170</v>
      </c>
      <c r="B50" s="84">
        <v>2</v>
      </c>
      <c r="C50" s="97">
        <f>B50*References!AT8</f>
        <v>26</v>
      </c>
      <c r="D50" s="97">
        <v>34.5</v>
      </c>
      <c r="E50" s="97">
        <v>22.5</v>
      </c>
      <c r="F50" s="97">
        <v>1.813675E-2</v>
      </c>
      <c r="G50" s="97">
        <f t="shared" si="2"/>
        <v>8.4806099999999995E-3</v>
      </c>
      <c r="H50" s="97">
        <f t="shared" si="3"/>
        <v>384.38399999999996</v>
      </c>
      <c r="I50" s="98">
        <f t="shared" si="4"/>
        <v>753.17892000000006</v>
      </c>
      <c r="J50" s="93"/>
    </row>
    <row r="51" spans="1:10" ht="15.75" thickBot="1" x14ac:dyDescent="0.3">
      <c r="A51" s="96" t="s">
        <v>171</v>
      </c>
      <c r="B51" s="84">
        <v>2</v>
      </c>
      <c r="C51" s="97">
        <f>B51*References!AT9</f>
        <v>26</v>
      </c>
      <c r="D51" s="97">
        <v>34.5</v>
      </c>
      <c r="E51" s="97">
        <v>22.5</v>
      </c>
      <c r="F51" s="97">
        <v>1.813675E-2</v>
      </c>
      <c r="G51" s="97">
        <f t="shared" si="2"/>
        <v>8.4806099999999995E-3</v>
      </c>
      <c r="H51" s="97">
        <f t="shared" si="3"/>
        <v>384.38399999999996</v>
      </c>
      <c r="I51" s="98">
        <f t="shared" si="4"/>
        <v>753.17892000000006</v>
      </c>
      <c r="J51" s="93"/>
    </row>
    <row r="52" spans="1:10" ht="15.75" thickBot="1" x14ac:dyDescent="0.3">
      <c r="A52" s="96" t="s">
        <v>172</v>
      </c>
      <c r="B52" s="84">
        <v>2</v>
      </c>
      <c r="C52" s="97">
        <f>B52*References!AT10</f>
        <v>26</v>
      </c>
      <c r="D52" s="97">
        <v>34.5</v>
      </c>
      <c r="E52" s="97">
        <v>22.5</v>
      </c>
      <c r="F52" s="97">
        <v>1.813675E-2</v>
      </c>
      <c r="G52" s="97">
        <f t="shared" si="2"/>
        <v>8.4806099999999995E-3</v>
      </c>
      <c r="H52" s="97">
        <f t="shared" si="3"/>
        <v>384.38399999999996</v>
      </c>
      <c r="I52" s="98">
        <f t="shared" si="4"/>
        <v>753.17892000000006</v>
      </c>
      <c r="J52" s="93"/>
    </row>
    <row r="53" spans="1:10" ht="15.75" thickBot="1" x14ac:dyDescent="0.3">
      <c r="A53" s="96" t="s">
        <v>173</v>
      </c>
      <c r="B53" s="84">
        <v>7</v>
      </c>
      <c r="C53" s="97">
        <f>B53*References!AT11</f>
        <v>17.5</v>
      </c>
      <c r="D53" s="97">
        <v>34.5</v>
      </c>
      <c r="E53" s="97">
        <v>22.5</v>
      </c>
      <c r="F53" s="97">
        <v>1.813675E-2</v>
      </c>
      <c r="G53" s="97">
        <f t="shared" si="2"/>
        <v>8.4806099999999995E-3</v>
      </c>
      <c r="H53" s="97">
        <f t="shared" si="3"/>
        <v>258.71999999999997</v>
      </c>
      <c r="I53" s="98">
        <f t="shared" si="4"/>
        <v>506.94735000000003</v>
      </c>
      <c r="J53" s="93"/>
    </row>
    <row r="54" spans="1:10" ht="15.75" thickBot="1" x14ac:dyDescent="0.3">
      <c r="A54" s="96" t="s">
        <v>174</v>
      </c>
      <c r="B54" s="84">
        <v>2</v>
      </c>
      <c r="C54" s="97">
        <f>B54*References!AT12</f>
        <v>16</v>
      </c>
      <c r="D54" s="97">
        <v>34.5</v>
      </c>
      <c r="E54" s="97">
        <v>22.5</v>
      </c>
      <c r="F54" s="97">
        <v>1.813675E-2</v>
      </c>
      <c r="G54" s="97">
        <f t="shared" si="2"/>
        <v>8.4806099999999995E-3</v>
      </c>
      <c r="H54" s="97">
        <f t="shared" si="3"/>
        <v>236.54399999999998</v>
      </c>
      <c r="I54" s="98">
        <f t="shared" si="4"/>
        <v>463.49472000000003</v>
      </c>
      <c r="J54" s="93"/>
    </row>
    <row r="55" spans="1:10" ht="15.75" thickBot="1" x14ac:dyDescent="0.3">
      <c r="A55" s="96" t="s">
        <v>175</v>
      </c>
      <c r="B55" s="84">
        <v>5</v>
      </c>
      <c r="C55" s="97">
        <f>B55*References!AT13</f>
        <v>40</v>
      </c>
      <c r="D55" s="97">
        <v>34.5</v>
      </c>
      <c r="E55" s="97">
        <v>22.5</v>
      </c>
      <c r="F55" s="97">
        <v>1.813675E-2</v>
      </c>
      <c r="G55" s="97">
        <f t="shared" si="2"/>
        <v>8.4806099999999995E-3</v>
      </c>
      <c r="H55" s="97">
        <f t="shared" si="3"/>
        <v>591.36</v>
      </c>
      <c r="I55" s="98">
        <f t="shared" si="4"/>
        <v>1158.7368000000001</v>
      </c>
      <c r="J55" s="93"/>
    </row>
    <row r="56" spans="1:10" ht="15.75" thickBot="1" x14ac:dyDescent="0.3">
      <c r="A56" s="96" t="s">
        <v>176</v>
      </c>
      <c r="B56" s="84">
        <v>1</v>
      </c>
      <c r="C56" s="97">
        <f>B56*References!AT14</f>
        <v>2.5</v>
      </c>
      <c r="D56" s="97">
        <v>34.5</v>
      </c>
      <c r="E56" s="97">
        <v>24</v>
      </c>
      <c r="F56" s="97">
        <v>1.813675E-2</v>
      </c>
      <c r="G56" s="97">
        <f t="shared" si="2"/>
        <v>9.2932299999999995E-3</v>
      </c>
      <c r="H56" s="97">
        <f t="shared" si="3"/>
        <v>32.340000000000003</v>
      </c>
      <c r="I56" s="98">
        <f t="shared" si="4"/>
        <v>66.326400000000007</v>
      </c>
      <c r="J56" s="93"/>
    </row>
    <row r="57" spans="1:10" ht="15.75" thickBot="1" x14ac:dyDescent="0.3">
      <c r="A57" s="96" t="s">
        <v>177</v>
      </c>
      <c r="B57" s="84">
        <v>1</v>
      </c>
      <c r="C57" s="97">
        <f>B57*References!AT15</f>
        <v>2.5</v>
      </c>
      <c r="D57" s="97">
        <v>34.5</v>
      </c>
      <c r="E57" s="97">
        <v>24</v>
      </c>
      <c r="F57" s="97">
        <v>1.813675E-2</v>
      </c>
      <c r="G57" s="97">
        <f t="shared" si="2"/>
        <v>9.2932299999999995E-3</v>
      </c>
      <c r="H57" s="97">
        <f t="shared" si="3"/>
        <v>32.340000000000003</v>
      </c>
      <c r="I57" s="98">
        <f t="shared" si="4"/>
        <v>66.326400000000007</v>
      </c>
      <c r="J57" s="93"/>
    </row>
    <row r="58" spans="1:10" ht="15.75" thickBot="1" x14ac:dyDescent="0.3">
      <c r="A58" s="96" t="s">
        <v>178</v>
      </c>
      <c r="B58" s="84">
        <v>2</v>
      </c>
      <c r="C58" s="97">
        <f>B58*References!AT16</f>
        <v>26</v>
      </c>
      <c r="D58" s="97">
        <v>34.5</v>
      </c>
      <c r="E58" s="97">
        <v>22.5</v>
      </c>
      <c r="F58" s="97">
        <v>1.813675E-2</v>
      </c>
      <c r="G58" s="97">
        <f t="shared" si="2"/>
        <v>8.4806099999999995E-3</v>
      </c>
      <c r="H58" s="97">
        <f t="shared" si="3"/>
        <v>384.38399999999996</v>
      </c>
      <c r="I58" s="98">
        <f t="shared" si="4"/>
        <v>753.17892000000006</v>
      </c>
      <c r="J58" s="93"/>
    </row>
    <row r="59" spans="1:10" ht="15.75" thickBot="1" x14ac:dyDescent="0.3">
      <c r="A59" s="96" t="s">
        <v>179</v>
      </c>
      <c r="B59" s="84">
        <v>2</v>
      </c>
      <c r="C59" s="97">
        <f>B59*References!AT17</f>
        <v>26</v>
      </c>
      <c r="D59" s="97">
        <v>34.5</v>
      </c>
      <c r="E59" s="97">
        <v>22.5</v>
      </c>
      <c r="F59" s="97">
        <v>1.813675E-2</v>
      </c>
      <c r="G59" s="97">
        <f t="shared" si="2"/>
        <v>8.4806099999999995E-3</v>
      </c>
      <c r="H59" s="97">
        <f t="shared" si="3"/>
        <v>384.38399999999996</v>
      </c>
      <c r="I59" s="98">
        <f t="shared" si="4"/>
        <v>753.17892000000006</v>
      </c>
      <c r="J59" s="93"/>
    </row>
    <row r="60" spans="1:10" ht="15.75" thickBot="1" x14ac:dyDescent="0.3">
      <c r="A60" s="96" t="s">
        <v>180</v>
      </c>
      <c r="B60" s="84">
        <v>2</v>
      </c>
      <c r="C60" s="97">
        <f>B60*References!AT18</f>
        <v>26</v>
      </c>
      <c r="D60" s="97">
        <v>34.5</v>
      </c>
      <c r="E60" s="97">
        <v>22.5</v>
      </c>
      <c r="F60" s="97">
        <v>1.813675E-2</v>
      </c>
      <c r="G60" s="97">
        <f t="shared" si="2"/>
        <v>8.4806099999999995E-3</v>
      </c>
      <c r="H60" s="97">
        <f t="shared" si="3"/>
        <v>384.38399999999996</v>
      </c>
      <c r="I60" s="98">
        <f t="shared" si="4"/>
        <v>753.17892000000006</v>
      </c>
      <c r="J60" s="93"/>
    </row>
    <row r="61" spans="1:10" ht="15.75" thickBot="1" x14ac:dyDescent="0.3">
      <c r="A61" s="96" t="s">
        <v>181</v>
      </c>
      <c r="B61" s="84">
        <v>2</v>
      </c>
      <c r="C61" s="97">
        <f>B61*References!AT19</f>
        <v>26</v>
      </c>
      <c r="D61" s="97">
        <v>34.5</v>
      </c>
      <c r="E61" s="97">
        <v>22.5</v>
      </c>
      <c r="F61" s="97">
        <v>1.813675E-2</v>
      </c>
      <c r="G61" s="97">
        <f t="shared" si="2"/>
        <v>8.4806099999999995E-3</v>
      </c>
      <c r="H61" s="97">
        <f t="shared" si="3"/>
        <v>384.38399999999996</v>
      </c>
      <c r="I61" s="98">
        <f t="shared" si="4"/>
        <v>753.17892000000006</v>
      </c>
      <c r="J61" s="93"/>
    </row>
    <row r="62" spans="1:10" ht="15.75" thickBot="1" x14ac:dyDescent="0.3">
      <c r="A62" s="96" t="s">
        <v>182</v>
      </c>
      <c r="B62" s="84">
        <v>2</v>
      </c>
      <c r="C62" s="97">
        <f>B62*References!AT20</f>
        <v>26</v>
      </c>
      <c r="D62" s="97">
        <v>34.5</v>
      </c>
      <c r="E62" s="97">
        <v>22.5</v>
      </c>
      <c r="F62" s="97">
        <v>1.813675E-2</v>
      </c>
      <c r="G62" s="97">
        <f t="shared" si="2"/>
        <v>8.4806099999999995E-3</v>
      </c>
      <c r="H62" s="97">
        <f t="shared" si="3"/>
        <v>384.38399999999996</v>
      </c>
      <c r="I62" s="98">
        <f t="shared" si="4"/>
        <v>753.17892000000006</v>
      </c>
      <c r="J62" s="93"/>
    </row>
    <row r="63" spans="1:10" ht="15.75" thickBot="1" x14ac:dyDescent="0.3">
      <c r="A63" s="96" t="s">
        <v>142</v>
      </c>
      <c r="B63" s="84">
        <v>3</v>
      </c>
      <c r="C63" s="97">
        <f>B63*References!AT21</f>
        <v>7.5</v>
      </c>
      <c r="D63" s="97">
        <v>34.5</v>
      </c>
      <c r="E63" s="97">
        <v>22.5</v>
      </c>
      <c r="F63" s="97">
        <v>1.813675E-2</v>
      </c>
      <c r="G63" s="97">
        <f t="shared" si="2"/>
        <v>8.4806099999999995E-3</v>
      </c>
      <c r="H63" s="97">
        <f t="shared" si="3"/>
        <v>110.88</v>
      </c>
      <c r="I63" s="98">
        <f t="shared" si="4"/>
        <v>217.26315000000002</v>
      </c>
      <c r="J63" s="93"/>
    </row>
    <row r="64" spans="1:10" ht="15.75" thickBot="1" x14ac:dyDescent="0.3">
      <c r="A64" s="96" t="s">
        <v>183</v>
      </c>
      <c r="B64" s="84">
        <v>3</v>
      </c>
      <c r="C64" s="97">
        <f>B64*References!AT22</f>
        <v>39</v>
      </c>
      <c r="D64" s="97">
        <v>34.5</v>
      </c>
      <c r="E64" s="97">
        <v>22.5</v>
      </c>
      <c r="F64" s="97">
        <v>1.813675E-2</v>
      </c>
      <c r="G64" s="97">
        <f t="shared" si="2"/>
        <v>8.4806099999999995E-3</v>
      </c>
      <c r="H64" s="97">
        <f t="shared" si="3"/>
        <v>576.57600000000002</v>
      </c>
      <c r="I64" s="98">
        <f t="shared" si="4"/>
        <v>1129.76838</v>
      </c>
      <c r="J64" s="93"/>
    </row>
    <row r="65" spans="1:10" ht="15.75" thickBot="1" x14ac:dyDescent="0.3">
      <c r="A65" s="96" t="s">
        <v>185</v>
      </c>
      <c r="B65" s="84">
        <v>3</v>
      </c>
      <c r="C65" s="97">
        <f>B65*References!AT23</f>
        <v>39</v>
      </c>
      <c r="D65" s="97">
        <v>34.5</v>
      </c>
      <c r="E65" s="97">
        <v>22.5</v>
      </c>
      <c r="F65" s="97">
        <v>1.813675E-2</v>
      </c>
      <c r="G65" s="97">
        <f t="shared" si="2"/>
        <v>8.4806099999999995E-3</v>
      </c>
      <c r="H65" s="97">
        <f t="shared" si="3"/>
        <v>576.57600000000002</v>
      </c>
      <c r="I65" s="98">
        <f t="shared" si="4"/>
        <v>1129.76838</v>
      </c>
      <c r="J65" s="93"/>
    </row>
    <row r="66" spans="1:10" ht="15.75" thickBot="1" x14ac:dyDescent="0.3">
      <c r="A66" s="96" t="s">
        <v>186</v>
      </c>
      <c r="B66" s="84">
        <v>2</v>
      </c>
      <c r="C66" s="97">
        <f>B66*References!AT24</f>
        <v>26</v>
      </c>
      <c r="D66" s="97">
        <v>34.5</v>
      </c>
      <c r="E66" s="97">
        <v>22.5</v>
      </c>
      <c r="F66" s="97">
        <v>1.813675E-2</v>
      </c>
      <c r="G66" s="97">
        <f t="shared" si="2"/>
        <v>8.4806099999999995E-3</v>
      </c>
      <c r="H66" s="97">
        <f t="shared" si="3"/>
        <v>384.38399999999996</v>
      </c>
      <c r="I66" s="98">
        <f t="shared" si="4"/>
        <v>753.17892000000006</v>
      </c>
      <c r="J66" s="93"/>
    </row>
    <row r="67" spans="1:10" ht="15.75" thickBot="1" x14ac:dyDescent="0.3">
      <c r="A67" s="96" t="s">
        <v>141</v>
      </c>
      <c r="B67" s="84">
        <v>8</v>
      </c>
      <c r="C67" s="97">
        <f>B67*References!AT25</f>
        <v>104</v>
      </c>
      <c r="D67" s="97">
        <v>34.5</v>
      </c>
      <c r="E67" s="97">
        <v>22.5</v>
      </c>
      <c r="F67" s="97">
        <v>1.813675E-2</v>
      </c>
      <c r="G67" s="97">
        <f t="shared" si="2"/>
        <v>8.4806099999999995E-3</v>
      </c>
      <c r="H67" s="97">
        <f t="shared" si="3"/>
        <v>1537.5359999999998</v>
      </c>
      <c r="I67" s="98">
        <f t="shared" si="4"/>
        <v>3012.7156800000002</v>
      </c>
      <c r="J67" s="93"/>
    </row>
    <row r="68" spans="1:10" ht="15.75" thickBot="1" x14ac:dyDescent="0.3">
      <c r="A68" s="96" t="s">
        <v>187</v>
      </c>
      <c r="B68" s="84">
        <v>3</v>
      </c>
      <c r="C68" s="97">
        <f>B68*References!AT26</f>
        <v>39</v>
      </c>
      <c r="D68" s="97">
        <v>34.5</v>
      </c>
      <c r="E68" s="97">
        <v>22.5</v>
      </c>
      <c r="F68" s="97">
        <v>1.813675E-2</v>
      </c>
      <c r="G68" s="97">
        <f t="shared" si="2"/>
        <v>8.4806099999999995E-3</v>
      </c>
      <c r="H68" s="97">
        <f t="shared" si="3"/>
        <v>576.57600000000002</v>
      </c>
      <c r="I68" s="98">
        <f t="shared" si="4"/>
        <v>1129.76838</v>
      </c>
      <c r="J68" s="93"/>
    </row>
    <row r="69" spans="1:10" ht="15.75" thickBot="1" x14ac:dyDescent="0.3">
      <c r="A69" s="96" t="s">
        <v>188</v>
      </c>
      <c r="B69" s="84">
        <v>3</v>
      </c>
      <c r="C69" s="97">
        <f>B69*References!AT27</f>
        <v>39</v>
      </c>
      <c r="D69" s="97">
        <v>34.5</v>
      </c>
      <c r="E69" s="97">
        <v>22.5</v>
      </c>
      <c r="F69" s="97">
        <v>1.813675E-2</v>
      </c>
      <c r="G69" s="97">
        <f t="shared" si="2"/>
        <v>8.4806099999999995E-3</v>
      </c>
      <c r="H69" s="97">
        <f t="shared" si="3"/>
        <v>576.57600000000002</v>
      </c>
      <c r="I69" s="98">
        <f t="shared" si="4"/>
        <v>1129.76838</v>
      </c>
      <c r="J69" s="93"/>
    </row>
    <row r="70" spans="1:10" ht="15.75" thickBot="1" x14ac:dyDescent="0.3">
      <c r="A70" s="96" t="s">
        <v>189</v>
      </c>
      <c r="B70" s="84">
        <v>2</v>
      </c>
      <c r="C70" s="97">
        <f>B70*References!AT28</f>
        <v>26</v>
      </c>
      <c r="D70" s="97">
        <v>34.5</v>
      </c>
      <c r="E70" s="97">
        <v>22.5</v>
      </c>
      <c r="F70" s="97">
        <v>1.813675E-2</v>
      </c>
      <c r="G70" s="97">
        <f t="shared" si="2"/>
        <v>8.4806099999999995E-3</v>
      </c>
      <c r="H70" s="97">
        <f t="shared" si="3"/>
        <v>384.38399999999996</v>
      </c>
      <c r="I70" s="98">
        <f t="shared" si="4"/>
        <v>753.17892000000006</v>
      </c>
      <c r="J70" s="93"/>
    </row>
    <row r="71" spans="1:10" ht="15.75" thickBot="1" x14ac:dyDescent="0.3">
      <c r="A71" s="96" t="s">
        <v>190</v>
      </c>
      <c r="B71" s="84">
        <v>2</v>
      </c>
      <c r="C71" s="97">
        <f>B71*References!AT29</f>
        <v>26</v>
      </c>
      <c r="D71" s="97">
        <v>34.5</v>
      </c>
      <c r="E71" s="97">
        <v>22.5</v>
      </c>
      <c r="F71" s="97">
        <v>1.813675E-2</v>
      </c>
      <c r="G71" s="97">
        <f t="shared" si="2"/>
        <v>8.4806099999999995E-3</v>
      </c>
      <c r="H71" s="97">
        <f t="shared" si="3"/>
        <v>384.38399999999996</v>
      </c>
      <c r="I71" s="98">
        <f t="shared" si="4"/>
        <v>753.17892000000006</v>
      </c>
      <c r="J71" s="93"/>
    </row>
    <row r="72" spans="1:10" ht="15.75" thickBot="1" x14ac:dyDescent="0.3">
      <c r="A72" s="96" t="s">
        <v>140</v>
      </c>
      <c r="B72" s="84">
        <v>5</v>
      </c>
      <c r="C72" s="97">
        <f>B72*References!AT30</f>
        <v>12.5</v>
      </c>
      <c r="D72" s="97">
        <v>34.5</v>
      </c>
      <c r="E72" s="97">
        <v>22.5</v>
      </c>
      <c r="F72" s="97">
        <v>1.813675E-2</v>
      </c>
      <c r="G72" s="97">
        <f t="shared" si="2"/>
        <v>8.4806099999999995E-3</v>
      </c>
      <c r="H72" s="97">
        <f t="shared" si="3"/>
        <v>184.8</v>
      </c>
      <c r="I72" s="98">
        <f t="shared" si="4"/>
        <v>362.10525000000001</v>
      </c>
      <c r="J72" s="93"/>
    </row>
    <row r="73" spans="1:10" ht="15.75" thickBot="1" x14ac:dyDescent="0.3">
      <c r="A73" s="96" t="s">
        <v>139</v>
      </c>
      <c r="B73" s="84">
        <v>8</v>
      </c>
      <c r="C73" s="97">
        <f>B73*References!AT31</f>
        <v>64</v>
      </c>
      <c r="D73" s="97">
        <v>34.5</v>
      </c>
      <c r="E73" s="97">
        <v>22</v>
      </c>
      <c r="F73" s="97">
        <v>1.813675E-2</v>
      </c>
      <c r="G73" s="97">
        <f t="shared" si="2"/>
        <v>8.2197599999999996E-3</v>
      </c>
      <c r="H73" s="97">
        <f t="shared" si="3"/>
        <v>985.6</v>
      </c>
      <c r="I73" s="98">
        <f t="shared" si="4"/>
        <v>1904.0620800000002</v>
      </c>
      <c r="J73" s="93"/>
    </row>
    <row r="74" spans="1:10" ht="15.75" thickBot="1" x14ac:dyDescent="0.3">
      <c r="A74" s="96" t="s">
        <v>191</v>
      </c>
      <c r="B74" s="84">
        <v>1</v>
      </c>
      <c r="C74" s="97">
        <f>B74*References!AT32</f>
        <v>2.5</v>
      </c>
      <c r="D74" s="97">
        <v>34.5</v>
      </c>
      <c r="E74" s="97">
        <v>24</v>
      </c>
      <c r="F74" s="97">
        <v>1.813675E-2</v>
      </c>
      <c r="G74" s="97">
        <f t="shared" si="2"/>
        <v>9.2932299999999995E-3</v>
      </c>
      <c r="H74" s="97">
        <f t="shared" si="3"/>
        <v>32.340000000000003</v>
      </c>
      <c r="I74" s="98">
        <f t="shared" si="4"/>
        <v>66.326400000000007</v>
      </c>
      <c r="J74" s="93"/>
    </row>
    <row r="75" spans="1:10" ht="15.75" thickBot="1" x14ac:dyDescent="0.3">
      <c r="A75" s="96" t="s">
        <v>192</v>
      </c>
      <c r="B75" s="84">
        <v>6</v>
      </c>
      <c r="C75" s="97">
        <f>B75*References!AT33</f>
        <v>48</v>
      </c>
      <c r="D75" s="97">
        <v>34.5</v>
      </c>
      <c r="E75" s="97">
        <v>22.5</v>
      </c>
      <c r="F75" s="97">
        <v>1.813675E-2</v>
      </c>
      <c r="G75" s="97">
        <f t="shared" si="2"/>
        <v>8.4806099999999995E-3</v>
      </c>
      <c r="H75" s="97">
        <f t="shared" si="3"/>
        <v>709.63199999999995</v>
      </c>
      <c r="I75" s="98">
        <f t="shared" si="4"/>
        <v>1390.48416</v>
      </c>
      <c r="J75" s="93"/>
    </row>
    <row r="76" spans="1:10" ht="15.75" thickBot="1" x14ac:dyDescent="0.3">
      <c r="A76" s="96" t="s">
        <v>193</v>
      </c>
      <c r="B76" s="84">
        <v>4</v>
      </c>
      <c r="C76" s="97">
        <f>B76*References!AT34</f>
        <v>10</v>
      </c>
      <c r="D76" s="97">
        <v>34.5</v>
      </c>
      <c r="E76" s="97">
        <v>22.5</v>
      </c>
      <c r="F76" s="97">
        <v>1.813675E-2</v>
      </c>
      <c r="G76" s="97">
        <f t="shared" si="2"/>
        <v>8.4806099999999995E-3</v>
      </c>
      <c r="H76" s="97">
        <f t="shared" si="3"/>
        <v>147.84</v>
      </c>
      <c r="I76" s="98">
        <f t="shared" si="4"/>
        <v>289.68420000000003</v>
      </c>
      <c r="J76" s="93"/>
    </row>
    <row r="77" spans="1:10" ht="15.75" thickBot="1" x14ac:dyDescent="0.3">
      <c r="A77" s="96" t="s">
        <v>194</v>
      </c>
      <c r="B77" s="84">
        <v>4</v>
      </c>
      <c r="C77" s="97">
        <f>B77*References!AT35</f>
        <v>10</v>
      </c>
      <c r="D77" s="97">
        <v>34.5</v>
      </c>
      <c r="E77" s="97">
        <v>22.5</v>
      </c>
      <c r="F77" s="97">
        <v>1.813675E-2</v>
      </c>
      <c r="G77" s="97">
        <f t="shared" si="2"/>
        <v>8.4806099999999995E-3</v>
      </c>
      <c r="H77" s="97">
        <f t="shared" si="3"/>
        <v>147.84</v>
      </c>
      <c r="I77" s="98">
        <f t="shared" si="4"/>
        <v>289.68420000000003</v>
      </c>
      <c r="J77" s="93"/>
    </row>
    <row r="78" spans="1:10" ht="15.75" thickBot="1" x14ac:dyDescent="0.3">
      <c r="A78" s="96" t="s">
        <v>195</v>
      </c>
      <c r="B78" s="84">
        <v>2</v>
      </c>
      <c r="C78" s="97">
        <f>B78*References!AT36</f>
        <v>5</v>
      </c>
      <c r="D78" s="97">
        <v>34.5</v>
      </c>
      <c r="E78" s="97">
        <v>22.5</v>
      </c>
      <c r="F78" s="97">
        <v>1.813675E-2</v>
      </c>
      <c r="G78" s="97">
        <f t="shared" si="2"/>
        <v>8.4806099999999995E-3</v>
      </c>
      <c r="H78" s="97">
        <f t="shared" si="3"/>
        <v>73.92</v>
      </c>
      <c r="I78" s="98">
        <f t="shared" si="4"/>
        <v>144.84210000000002</v>
      </c>
      <c r="J78" s="93"/>
    </row>
    <row r="79" spans="1:10" ht="15.75" thickBot="1" x14ac:dyDescent="0.3">
      <c r="A79" s="96" t="s">
        <v>196</v>
      </c>
      <c r="B79" s="84">
        <v>4</v>
      </c>
      <c r="C79" s="97">
        <f>B79*References!AT37</f>
        <v>60</v>
      </c>
      <c r="D79" s="97">
        <v>34.5</v>
      </c>
      <c r="E79" s="97">
        <v>22</v>
      </c>
      <c r="F79" s="97">
        <v>1.813675E-2</v>
      </c>
      <c r="G79" s="97">
        <f>_xlfn.IFS(E79=22.5,0.00848061,E79=22,0.00821976,E79=24,0.00929323)</f>
        <v>8.2197599999999996E-3</v>
      </c>
      <c r="H79" s="97">
        <f t="shared" si="3"/>
        <v>924</v>
      </c>
      <c r="I79" s="98">
        <f t="shared" si="4"/>
        <v>1785.0582000000002</v>
      </c>
      <c r="J79" s="93"/>
    </row>
    <row r="80" spans="1:10" ht="15.75" thickBot="1" x14ac:dyDescent="0.3">
      <c r="A80" s="96" t="s">
        <v>197</v>
      </c>
      <c r="B80" s="84">
        <v>3</v>
      </c>
      <c r="C80" s="97">
        <f>B80*References!AT38</f>
        <v>24</v>
      </c>
      <c r="D80" s="97">
        <v>34.5</v>
      </c>
      <c r="E80" s="97">
        <v>22.5</v>
      </c>
      <c r="F80" s="97">
        <v>1.813675E-2</v>
      </c>
      <c r="G80" s="97">
        <f t="shared" si="2"/>
        <v>8.4806099999999995E-3</v>
      </c>
      <c r="H80" s="97">
        <f t="shared" si="3"/>
        <v>354.81599999999997</v>
      </c>
      <c r="I80" s="98">
        <f t="shared" si="4"/>
        <v>695.24207999999999</v>
      </c>
      <c r="J80" s="93"/>
    </row>
    <row r="81" spans="1:11" ht="15.75" thickBot="1" x14ac:dyDescent="0.3">
      <c r="A81" s="96" t="s">
        <v>499</v>
      </c>
      <c r="B81" s="84">
        <v>5</v>
      </c>
      <c r="C81" s="97">
        <f>B81*References!AT39</f>
        <v>12.5</v>
      </c>
      <c r="D81" s="97">
        <v>34.5</v>
      </c>
      <c r="E81" s="97">
        <v>24</v>
      </c>
      <c r="F81" s="97">
        <v>1.813675E-2</v>
      </c>
      <c r="G81" s="97">
        <f t="shared" si="2"/>
        <v>9.2932299999999995E-3</v>
      </c>
      <c r="H81" s="97">
        <f t="shared" si="3"/>
        <v>161.70000000000002</v>
      </c>
      <c r="I81" s="98">
        <f t="shared" si="4"/>
        <v>331.63200000000001</v>
      </c>
      <c r="J81" s="93"/>
    </row>
    <row r="82" spans="1:11" ht="15.75" thickBot="1" x14ac:dyDescent="0.3">
      <c r="A82" s="96" t="s">
        <v>200</v>
      </c>
      <c r="B82" s="84">
        <v>8</v>
      </c>
      <c r="C82" s="97">
        <f>B82*References!AT40</f>
        <v>120</v>
      </c>
      <c r="D82" s="97">
        <v>34.5</v>
      </c>
      <c r="E82" s="97">
        <v>22</v>
      </c>
      <c r="F82" s="97">
        <v>1.813675E-2</v>
      </c>
      <c r="G82" s="97">
        <f t="shared" si="2"/>
        <v>8.2197599999999996E-3</v>
      </c>
      <c r="H82" s="97">
        <f t="shared" si="3"/>
        <v>1848</v>
      </c>
      <c r="I82" s="98">
        <f t="shared" si="4"/>
        <v>3570.1164000000003</v>
      </c>
      <c r="J82" s="93"/>
    </row>
    <row r="83" spans="1:11" ht="15.75" thickBot="1" x14ac:dyDescent="0.3">
      <c r="A83" s="96" t="s">
        <v>201</v>
      </c>
      <c r="B83" s="84">
        <v>1</v>
      </c>
      <c r="C83" s="97">
        <f>B83*References!AT41</f>
        <v>2.5</v>
      </c>
      <c r="D83" s="97">
        <v>34.5</v>
      </c>
      <c r="E83" s="97">
        <v>24</v>
      </c>
      <c r="F83" s="97">
        <v>1.813675E-2</v>
      </c>
      <c r="G83" s="97">
        <f t="shared" si="2"/>
        <v>9.2932299999999995E-3</v>
      </c>
      <c r="H83" s="97">
        <f t="shared" si="3"/>
        <v>32.340000000000003</v>
      </c>
      <c r="I83" s="98">
        <f t="shared" si="4"/>
        <v>66.326400000000007</v>
      </c>
      <c r="J83" s="93"/>
    </row>
    <row r="84" spans="1:11" ht="15.75" thickBot="1" x14ac:dyDescent="0.3">
      <c r="A84" s="96" t="s">
        <v>202</v>
      </c>
      <c r="B84" s="84">
        <v>1</v>
      </c>
      <c r="C84" s="97">
        <f>B84*References!AT42</f>
        <v>2.5</v>
      </c>
      <c r="D84" s="97">
        <v>34.5</v>
      </c>
      <c r="E84" s="97">
        <v>24</v>
      </c>
      <c r="F84" s="97">
        <v>1.813675E-2</v>
      </c>
      <c r="G84" s="97">
        <f t="shared" si="2"/>
        <v>9.2932299999999995E-3</v>
      </c>
      <c r="H84" s="97">
        <f t="shared" si="3"/>
        <v>32.340000000000003</v>
      </c>
      <c r="I84" s="98">
        <f t="shared" si="4"/>
        <v>66.326400000000007</v>
      </c>
      <c r="J84" s="93"/>
    </row>
    <row r="85" spans="1:11" ht="15.75" thickBot="1" x14ac:dyDescent="0.3">
      <c r="A85" s="96" t="s">
        <v>203</v>
      </c>
      <c r="B85" s="84">
        <v>3</v>
      </c>
      <c r="C85" s="97">
        <f>B85*References!AT43</f>
        <v>7.5</v>
      </c>
      <c r="D85" s="97">
        <v>34.5</v>
      </c>
      <c r="E85" s="97">
        <v>24</v>
      </c>
      <c r="F85" s="97">
        <v>1.813675E-2</v>
      </c>
      <c r="G85" s="97">
        <f t="shared" si="2"/>
        <v>9.2932299999999995E-3</v>
      </c>
      <c r="H85" s="97">
        <f t="shared" si="3"/>
        <v>97.02</v>
      </c>
      <c r="I85" s="98">
        <f t="shared" si="4"/>
        <v>198.97920000000002</v>
      </c>
      <c r="J85" s="93"/>
    </row>
    <row r="86" spans="1:11" ht="15.75" thickBot="1" x14ac:dyDescent="0.3">
      <c r="A86" s="96" t="s">
        <v>228</v>
      </c>
      <c r="B86" s="84">
        <v>2</v>
      </c>
      <c r="C86" s="97">
        <f>B86*References!AT44</f>
        <v>5</v>
      </c>
      <c r="D86" s="97">
        <v>34.5</v>
      </c>
      <c r="E86" s="97">
        <v>24</v>
      </c>
      <c r="F86" s="97">
        <v>1.813675E-2</v>
      </c>
      <c r="G86" s="97">
        <f t="shared" si="2"/>
        <v>9.2932299999999995E-3</v>
      </c>
      <c r="H86" s="97">
        <f t="shared" si="3"/>
        <v>64.680000000000007</v>
      </c>
      <c r="I86" s="98">
        <f t="shared" si="4"/>
        <v>132.65280000000001</v>
      </c>
      <c r="J86" s="93"/>
    </row>
    <row r="87" spans="1:11" ht="15.75" thickBot="1" x14ac:dyDescent="0.3">
      <c r="A87" s="96" t="s">
        <v>229</v>
      </c>
      <c r="B87" s="84">
        <v>4</v>
      </c>
      <c r="C87" s="97">
        <f>B87*References!AT45</f>
        <v>10</v>
      </c>
      <c r="D87" s="97">
        <v>34.5</v>
      </c>
      <c r="E87" s="97">
        <v>24</v>
      </c>
      <c r="F87" s="97">
        <v>1.813675E-2</v>
      </c>
      <c r="G87" s="97">
        <f t="shared" si="2"/>
        <v>9.2932299999999995E-3</v>
      </c>
      <c r="H87" s="97">
        <f t="shared" si="3"/>
        <v>129.36000000000001</v>
      </c>
      <c r="I87" s="98">
        <f t="shared" si="4"/>
        <v>265.30560000000003</v>
      </c>
      <c r="J87" s="93"/>
    </row>
    <row r="88" spans="1:11" ht="15.75" thickBot="1" x14ac:dyDescent="0.3">
      <c r="A88" s="96" t="s">
        <v>131</v>
      </c>
      <c r="B88" s="84">
        <v>3</v>
      </c>
      <c r="C88" s="97">
        <f>B88*References!AT46</f>
        <v>24</v>
      </c>
      <c r="D88" s="97">
        <v>34.5</v>
      </c>
      <c r="E88" s="97">
        <v>22.5</v>
      </c>
      <c r="F88" s="97">
        <v>1.813675E-2</v>
      </c>
      <c r="G88" s="97">
        <f t="shared" si="2"/>
        <v>8.4806099999999995E-3</v>
      </c>
      <c r="H88" s="97">
        <f t="shared" si="3"/>
        <v>354.81599999999997</v>
      </c>
      <c r="I88" s="98">
        <f t="shared" si="4"/>
        <v>695.24207999999999</v>
      </c>
      <c r="J88" s="93"/>
    </row>
    <row r="89" spans="1:11" ht="15.75" thickBot="1" x14ac:dyDescent="0.3">
      <c r="A89" s="99" t="s">
        <v>129</v>
      </c>
      <c r="B89" s="84">
        <v>6</v>
      </c>
      <c r="C89" s="100">
        <f>B89*References!AT47</f>
        <v>48</v>
      </c>
      <c r="D89" s="100">
        <v>34.5</v>
      </c>
      <c r="E89" s="100">
        <v>22.5</v>
      </c>
      <c r="F89" s="100">
        <v>1.813675E-2</v>
      </c>
      <c r="G89" s="100">
        <f t="shared" si="2"/>
        <v>8.4806099999999995E-3</v>
      </c>
      <c r="H89" s="100">
        <f t="shared" si="3"/>
        <v>709.63199999999995</v>
      </c>
      <c r="I89" s="101">
        <f t="shared" si="4"/>
        <v>1390.48416</v>
      </c>
      <c r="J89" s="93"/>
    </row>
    <row r="90" spans="1:11" ht="15.75" thickBot="1" x14ac:dyDescent="0.3">
      <c r="G90" s="131" t="s">
        <v>333</v>
      </c>
      <c r="H90" s="131">
        <f>SUM(Table18[Qs(W)])</f>
        <v>20168.763999999999</v>
      </c>
      <c r="I90" s="131">
        <f>SUM(Table18[Ql(W)])</f>
        <v>39472.195050000002</v>
      </c>
    </row>
    <row r="91" spans="1:11" ht="15.75" thickBot="1" x14ac:dyDescent="0.3">
      <c r="G91" s="177" t="s">
        <v>161</v>
      </c>
      <c r="H91" s="177"/>
      <c r="I91" s="131">
        <f>H90+I90</f>
        <v>59640.959050000005</v>
      </c>
    </row>
    <row r="92" spans="1:11" s="121" customFormat="1" x14ac:dyDescent="0.25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</row>
    <row r="93" spans="1:11" s="107" customFormat="1" ht="23.25" x14ac:dyDescent="0.35">
      <c r="A93" s="158" t="s">
        <v>59</v>
      </c>
      <c r="B93" s="158"/>
      <c r="C93" s="158"/>
      <c r="D93" s="158"/>
      <c r="E93" s="158"/>
      <c r="F93" s="158"/>
      <c r="G93" s="158"/>
      <c r="H93" s="158"/>
      <c r="I93" s="158"/>
      <c r="J93" s="108"/>
      <c r="K93" s="108"/>
    </row>
    <row r="94" spans="1:11" ht="15.75" thickBot="1" x14ac:dyDescent="0.3">
      <c r="A94" s="102" t="s">
        <v>0</v>
      </c>
      <c r="B94" s="103" t="s">
        <v>496</v>
      </c>
      <c r="C94" s="103" t="s">
        <v>20</v>
      </c>
      <c r="D94" s="103" t="s">
        <v>12</v>
      </c>
      <c r="E94" s="103" t="s">
        <v>7</v>
      </c>
      <c r="F94" s="103" t="s">
        <v>21</v>
      </c>
      <c r="G94" s="103" t="s">
        <v>22</v>
      </c>
      <c r="H94" s="103" t="s">
        <v>497</v>
      </c>
      <c r="I94" s="104" t="s">
        <v>498</v>
      </c>
      <c r="J94" s="93"/>
    </row>
    <row r="95" spans="1:11" ht="15.75" thickBot="1" x14ac:dyDescent="0.3">
      <c r="A95" s="96" t="s">
        <v>123</v>
      </c>
      <c r="B95" s="84">
        <v>5</v>
      </c>
      <c r="C95" s="97">
        <f>B95*References!AU4</f>
        <v>65</v>
      </c>
      <c r="D95" s="97">
        <v>34.5</v>
      </c>
      <c r="E95" s="97">
        <v>22.5</v>
      </c>
      <c r="F95" s="97">
        <v>1.813675E-2</v>
      </c>
      <c r="G95" s="97">
        <f>_xlfn.IFS(E95=22.5,0.00848031,E95=24,0.009293235,E95=22,0.00821976)</f>
        <v>8.4803099999999996E-3</v>
      </c>
      <c r="H95" s="97">
        <f>1.232*C95*(D95-E95)</f>
        <v>960.96</v>
      </c>
      <c r="I95" s="98">
        <f>3000*C95*(F95-G95)</f>
        <v>1883.0058000000001</v>
      </c>
      <c r="J95" s="93"/>
    </row>
    <row r="96" spans="1:11" ht="15.75" thickBot="1" x14ac:dyDescent="0.3">
      <c r="A96" s="96" t="s">
        <v>169</v>
      </c>
      <c r="B96" s="84">
        <v>5</v>
      </c>
      <c r="C96" s="97">
        <f>B96*References!AU5</f>
        <v>65</v>
      </c>
      <c r="D96" s="97">
        <v>34.5</v>
      </c>
      <c r="E96" s="97">
        <v>22.5</v>
      </c>
      <c r="F96" s="97">
        <v>1.813675E-2</v>
      </c>
      <c r="G96" s="97">
        <f t="shared" ref="G96:G98" si="5">_xlfn.IFS(E96=22.5,0.00848031,E96=24,0.009293235,E96=22,0.00821976)</f>
        <v>8.4803099999999996E-3</v>
      </c>
      <c r="H96" s="97">
        <f t="shared" ref="H96:H124" si="6">1.232*C96*(D96-E96)</f>
        <v>960.96</v>
      </c>
      <c r="I96" s="98">
        <f t="shared" ref="I96:I124" si="7">3000*C96*(F96-G96)</f>
        <v>1883.0058000000001</v>
      </c>
      <c r="J96" s="93"/>
    </row>
    <row r="97" spans="1:10" ht="15.75" thickBot="1" x14ac:dyDescent="0.3">
      <c r="A97" s="96" t="s">
        <v>124</v>
      </c>
      <c r="B97" s="84">
        <v>5</v>
      </c>
      <c r="C97" s="97">
        <f>B97*References!AU6</f>
        <v>65</v>
      </c>
      <c r="D97" s="97">
        <v>34.5</v>
      </c>
      <c r="E97" s="97">
        <v>22.5</v>
      </c>
      <c r="F97" s="97">
        <v>1.813675E-2</v>
      </c>
      <c r="G97" s="97">
        <f t="shared" si="5"/>
        <v>8.4803099999999996E-3</v>
      </c>
      <c r="H97" s="97">
        <f t="shared" si="6"/>
        <v>960.96</v>
      </c>
      <c r="I97" s="98">
        <f t="shared" si="7"/>
        <v>1883.0058000000001</v>
      </c>
      <c r="J97" s="93"/>
    </row>
    <row r="98" spans="1:10" ht="15.75" thickBot="1" x14ac:dyDescent="0.3">
      <c r="A98" s="96" t="s">
        <v>125</v>
      </c>
      <c r="B98" s="84">
        <v>5</v>
      </c>
      <c r="C98" s="97">
        <f>B98*References!AU7</f>
        <v>65</v>
      </c>
      <c r="D98" s="97">
        <v>34.5</v>
      </c>
      <c r="E98" s="97">
        <v>22.5</v>
      </c>
      <c r="F98" s="97">
        <v>1.813675E-2</v>
      </c>
      <c r="G98" s="97">
        <f t="shared" si="5"/>
        <v>8.4803099999999996E-3</v>
      </c>
      <c r="H98" s="97">
        <f t="shared" si="6"/>
        <v>960.96</v>
      </c>
      <c r="I98" s="98">
        <f t="shared" si="7"/>
        <v>1883.0058000000001</v>
      </c>
      <c r="J98" s="93"/>
    </row>
    <row r="99" spans="1:10" ht="15.75" thickBot="1" x14ac:dyDescent="0.3">
      <c r="A99" s="96" t="s">
        <v>170</v>
      </c>
      <c r="B99" s="84">
        <v>2</v>
      </c>
      <c r="C99" s="97">
        <f>B99*References!AU8</f>
        <v>26</v>
      </c>
      <c r="D99" s="97">
        <v>34.5</v>
      </c>
      <c r="E99" s="97">
        <v>22.5</v>
      </c>
      <c r="F99" s="97">
        <v>1.813675E-2</v>
      </c>
      <c r="G99" s="97">
        <f>_xlfn.IFS(E99=22.5,0.00848031,E99=24,0.009293235,E99=22,0.00821976)</f>
        <v>8.4803099999999996E-3</v>
      </c>
      <c r="H99" s="97">
        <f t="shared" si="6"/>
        <v>384.38399999999996</v>
      </c>
      <c r="I99" s="98">
        <f t="shared" si="7"/>
        <v>753.20231999999999</v>
      </c>
      <c r="J99" s="93"/>
    </row>
    <row r="100" spans="1:10" ht="15.75" thickBot="1" x14ac:dyDescent="0.3">
      <c r="A100" s="96" t="s">
        <v>171</v>
      </c>
      <c r="B100" s="84">
        <v>1</v>
      </c>
      <c r="C100" s="97">
        <f>B100*References!AU9</f>
        <v>13</v>
      </c>
      <c r="D100" s="97">
        <v>34.5</v>
      </c>
      <c r="E100" s="97">
        <v>22.5</v>
      </c>
      <c r="F100" s="97">
        <v>1.813675E-2</v>
      </c>
      <c r="G100" s="97">
        <f t="shared" ref="G100:G124" si="8">_xlfn.IFS(E100=22.5,0.00848031,E100=24,0.009293235,E100=22,0.00821976)</f>
        <v>8.4803099999999996E-3</v>
      </c>
      <c r="H100" s="97">
        <f t="shared" si="6"/>
        <v>192.19199999999998</v>
      </c>
      <c r="I100" s="98">
        <f t="shared" si="7"/>
        <v>376.60115999999999</v>
      </c>
      <c r="J100" s="93"/>
    </row>
    <row r="101" spans="1:10" ht="15.75" thickBot="1" x14ac:dyDescent="0.3">
      <c r="A101" s="96" t="s">
        <v>172</v>
      </c>
      <c r="B101" s="84">
        <v>2</v>
      </c>
      <c r="C101" s="97">
        <f>B101*References!AU10</f>
        <v>26</v>
      </c>
      <c r="D101" s="97">
        <v>34.5</v>
      </c>
      <c r="E101" s="97">
        <v>22.5</v>
      </c>
      <c r="F101" s="97">
        <v>1.813675E-2</v>
      </c>
      <c r="G101" s="97">
        <f t="shared" si="8"/>
        <v>8.4803099999999996E-3</v>
      </c>
      <c r="H101" s="97">
        <f t="shared" si="6"/>
        <v>384.38399999999996</v>
      </c>
      <c r="I101" s="98">
        <f t="shared" si="7"/>
        <v>753.20231999999999</v>
      </c>
      <c r="J101" s="93"/>
    </row>
    <row r="102" spans="1:10" ht="15.75" thickBot="1" x14ac:dyDescent="0.3">
      <c r="A102" s="96" t="s">
        <v>173</v>
      </c>
      <c r="B102" s="84">
        <v>7</v>
      </c>
      <c r="C102" s="97">
        <f>B102*References!AU11</f>
        <v>17.5</v>
      </c>
      <c r="D102" s="97">
        <v>34.5</v>
      </c>
      <c r="E102" s="97">
        <v>22.5</v>
      </c>
      <c r="F102" s="97">
        <v>1.813675E-2</v>
      </c>
      <c r="G102" s="97">
        <f t="shared" si="8"/>
        <v>8.4803099999999996E-3</v>
      </c>
      <c r="H102" s="97">
        <f t="shared" si="6"/>
        <v>258.71999999999997</v>
      </c>
      <c r="I102" s="98">
        <f t="shared" si="7"/>
        <v>506.96310000000005</v>
      </c>
      <c r="J102" s="93"/>
    </row>
    <row r="103" spans="1:10" ht="15.75" thickBot="1" x14ac:dyDescent="0.3">
      <c r="A103" s="96" t="s">
        <v>174</v>
      </c>
      <c r="B103" s="84">
        <v>2</v>
      </c>
      <c r="C103" s="97">
        <f>B103*References!AU12</f>
        <v>16</v>
      </c>
      <c r="D103" s="97">
        <v>34.5</v>
      </c>
      <c r="E103" s="97">
        <v>22.5</v>
      </c>
      <c r="F103" s="97">
        <v>1.813675E-2</v>
      </c>
      <c r="G103" s="97">
        <f t="shared" si="8"/>
        <v>8.4803099999999996E-3</v>
      </c>
      <c r="H103" s="97">
        <f t="shared" si="6"/>
        <v>236.54399999999998</v>
      </c>
      <c r="I103" s="98">
        <f t="shared" si="7"/>
        <v>463.50912000000005</v>
      </c>
      <c r="J103" s="93"/>
    </row>
    <row r="104" spans="1:10" ht="15.75" thickBot="1" x14ac:dyDescent="0.3">
      <c r="A104" s="96" t="s">
        <v>178</v>
      </c>
      <c r="B104" s="84">
        <v>2</v>
      </c>
      <c r="C104" s="97">
        <f>B104*References!AU13</f>
        <v>26</v>
      </c>
      <c r="D104" s="97">
        <v>34.5</v>
      </c>
      <c r="E104" s="97">
        <v>22.5</v>
      </c>
      <c r="F104" s="97">
        <v>1.813675E-2</v>
      </c>
      <c r="G104" s="97">
        <f t="shared" si="8"/>
        <v>8.4803099999999996E-3</v>
      </c>
      <c r="H104" s="97">
        <f t="shared" si="6"/>
        <v>384.38399999999996</v>
      </c>
      <c r="I104" s="98">
        <f t="shared" si="7"/>
        <v>753.20231999999999</v>
      </c>
      <c r="J104" s="93"/>
    </row>
    <row r="105" spans="1:10" ht="15.75" thickBot="1" x14ac:dyDescent="0.3">
      <c r="A105" s="96" t="s">
        <v>179</v>
      </c>
      <c r="B105" s="84">
        <v>2</v>
      </c>
      <c r="C105" s="97">
        <f>B105*References!AU14</f>
        <v>26</v>
      </c>
      <c r="D105" s="97">
        <v>34.5</v>
      </c>
      <c r="E105" s="97">
        <v>22.5</v>
      </c>
      <c r="F105" s="97">
        <v>1.813675E-2</v>
      </c>
      <c r="G105" s="97">
        <f t="shared" si="8"/>
        <v>8.4803099999999996E-3</v>
      </c>
      <c r="H105" s="97">
        <f t="shared" si="6"/>
        <v>384.38399999999996</v>
      </c>
      <c r="I105" s="98">
        <f t="shared" si="7"/>
        <v>753.20231999999999</v>
      </c>
      <c r="J105" s="93"/>
    </row>
    <row r="106" spans="1:10" ht="15.75" thickBot="1" x14ac:dyDescent="0.3">
      <c r="A106" s="96" t="s">
        <v>180</v>
      </c>
      <c r="B106" s="84">
        <v>1</v>
      </c>
      <c r="C106" s="97">
        <f>B106*References!AU15</f>
        <v>13</v>
      </c>
      <c r="D106" s="97">
        <v>34.5</v>
      </c>
      <c r="E106" s="97">
        <v>22.5</v>
      </c>
      <c r="F106" s="97">
        <v>1.813675E-2</v>
      </c>
      <c r="G106" s="97">
        <f t="shared" si="8"/>
        <v>8.4803099999999996E-3</v>
      </c>
      <c r="H106" s="97">
        <f t="shared" si="6"/>
        <v>192.19199999999998</v>
      </c>
      <c r="I106" s="98">
        <f t="shared" si="7"/>
        <v>376.60115999999999</v>
      </c>
      <c r="J106" s="93"/>
    </row>
    <row r="107" spans="1:10" ht="15.75" thickBot="1" x14ac:dyDescent="0.3">
      <c r="A107" s="96" t="s">
        <v>182</v>
      </c>
      <c r="B107" s="84">
        <v>2</v>
      </c>
      <c r="C107" s="97">
        <f>B107*References!AU16</f>
        <v>26</v>
      </c>
      <c r="D107" s="97">
        <v>34.5</v>
      </c>
      <c r="E107" s="97">
        <v>22.5</v>
      </c>
      <c r="F107" s="97">
        <v>1.813675E-2</v>
      </c>
      <c r="G107" s="97">
        <f t="shared" si="8"/>
        <v>8.4803099999999996E-3</v>
      </c>
      <c r="H107" s="97">
        <f t="shared" si="6"/>
        <v>384.38399999999996</v>
      </c>
      <c r="I107" s="98">
        <f t="shared" si="7"/>
        <v>753.20231999999999</v>
      </c>
      <c r="J107" s="93"/>
    </row>
    <row r="108" spans="1:10" ht="15.75" thickBot="1" x14ac:dyDescent="0.3">
      <c r="A108" s="96" t="s">
        <v>186</v>
      </c>
      <c r="B108" s="84">
        <v>2</v>
      </c>
      <c r="C108" s="97">
        <f>B108*References!AU17</f>
        <v>26</v>
      </c>
      <c r="D108" s="97">
        <v>34.5</v>
      </c>
      <c r="E108" s="97">
        <v>22.5</v>
      </c>
      <c r="F108" s="97">
        <v>1.813675E-2</v>
      </c>
      <c r="G108" s="97">
        <f t="shared" si="8"/>
        <v>8.4803099999999996E-3</v>
      </c>
      <c r="H108" s="97">
        <f t="shared" si="6"/>
        <v>384.38399999999996</v>
      </c>
      <c r="I108" s="98">
        <f t="shared" si="7"/>
        <v>753.20231999999999</v>
      </c>
      <c r="J108" s="93"/>
    </row>
    <row r="109" spans="1:10" ht="15.75" thickBot="1" x14ac:dyDescent="0.3">
      <c r="A109" s="96" t="s">
        <v>183</v>
      </c>
      <c r="B109" s="84">
        <v>3</v>
      </c>
      <c r="C109" s="97">
        <f>B109*References!AU18</f>
        <v>39</v>
      </c>
      <c r="D109" s="97">
        <v>34.5</v>
      </c>
      <c r="E109" s="97">
        <v>22.5</v>
      </c>
      <c r="F109" s="97">
        <v>1.813675E-2</v>
      </c>
      <c r="G109" s="97">
        <f t="shared" si="8"/>
        <v>8.4803099999999996E-3</v>
      </c>
      <c r="H109" s="97">
        <f t="shared" si="6"/>
        <v>576.57600000000002</v>
      </c>
      <c r="I109" s="98">
        <f t="shared" si="7"/>
        <v>1129.80348</v>
      </c>
      <c r="J109" s="93"/>
    </row>
    <row r="110" spans="1:10" ht="15.75" thickBot="1" x14ac:dyDescent="0.3">
      <c r="A110" s="96" t="s">
        <v>185</v>
      </c>
      <c r="B110" s="84">
        <v>3</v>
      </c>
      <c r="C110" s="97">
        <f>B110*References!AU19</f>
        <v>39</v>
      </c>
      <c r="D110" s="97">
        <v>34.5</v>
      </c>
      <c r="E110" s="97">
        <v>22.5</v>
      </c>
      <c r="F110" s="97">
        <v>1.813675E-2</v>
      </c>
      <c r="G110" s="97">
        <f t="shared" si="8"/>
        <v>8.4803099999999996E-3</v>
      </c>
      <c r="H110" s="97">
        <f t="shared" si="6"/>
        <v>576.57600000000002</v>
      </c>
      <c r="I110" s="98">
        <f t="shared" si="7"/>
        <v>1129.80348</v>
      </c>
      <c r="J110" s="93"/>
    </row>
    <row r="111" spans="1:10" ht="15.75" thickBot="1" x14ac:dyDescent="0.3">
      <c r="A111" s="96" t="s">
        <v>189</v>
      </c>
      <c r="B111" s="84">
        <v>2</v>
      </c>
      <c r="C111" s="97">
        <f>B111*References!AU20</f>
        <v>26</v>
      </c>
      <c r="D111" s="97">
        <v>34.5</v>
      </c>
      <c r="E111" s="97">
        <v>22.5</v>
      </c>
      <c r="F111" s="97">
        <v>1.813675E-2</v>
      </c>
      <c r="G111" s="97">
        <f t="shared" si="8"/>
        <v>8.4803099999999996E-3</v>
      </c>
      <c r="H111" s="97">
        <f t="shared" si="6"/>
        <v>384.38399999999996</v>
      </c>
      <c r="I111" s="98">
        <f t="shared" si="7"/>
        <v>753.20231999999999</v>
      </c>
      <c r="J111" s="93"/>
    </row>
    <row r="112" spans="1:10" ht="15.75" thickBot="1" x14ac:dyDescent="0.3">
      <c r="A112" s="96" t="s">
        <v>190</v>
      </c>
      <c r="B112" s="84">
        <v>2</v>
      </c>
      <c r="C112" s="97">
        <f>B112*References!AU21</f>
        <v>26</v>
      </c>
      <c r="D112" s="97">
        <v>34.5</v>
      </c>
      <c r="E112" s="97">
        <v>22.5</v>
      </c>
      <c r="F112" s="97">
        <v>1.813675E-2</v>
      </c>
      <c r="G112" s="97">
        <f t="shared" si="8"/>
        <v>8.4803099999999996E-3</v>
      </c>
      <c r="H112" s="97">
        <f t="shared" si="6"/>
        <v>384.38399999999996</v>
      </c>
      <c r="I112" s="98">
        <f t="shared" si="7"/>
        <v>753.20231999999999</v>
      </c>
      <c r="J112" s="93"/>
    </row>
    <row r="113" spans="1:10" ht="15.75" thickBot="1" x14ac:dyDescent="0.3">
      <c r="A113" s="96" t="s">
        <v>304</v>
      </c>
      <c r="B113" s="84">
        <v>2</v>
      </c>
      <c r="C113" s="97">
        <f>B113*References!AU22</f>
        <v>26</v>
      </c>
      <c r="D113" s="97">
        <v>34.5</v>
      </c>
      <c r="E113" s="97">
        <v>22.5</v>
      </c>
      <c r="F113" s="97">
        <v>1.813675E-2</v>
      </c>
      <c r="G113" s="97">
        <f t="shared" si="8"/>
        <v>8.4803099999999996E-3</v>
      </c>
      <c r="H113" s="97">
        <f t="shared" si="6"/>
        <v>384.38399999999996</v>
      </c>
      <c r="I113" s="98">
        <f t="shared" si="7"/>
        <v>753.20231999999999</v>
      </c>
      <c r="J113" s="93"/>
    </row>
    <row r="114" spans="1:10" ht="15.75" thickBot="1" x14ac:dyDescent="0.3">
      <c r="A114" s="96" t="s">
        <v>305</v>
      </c>
      <c r="B114" s="84">
        <v>2</v>
      </c>
      <c r="C114" s="97">
        <f>B114*References!AU23</f>
        <v>26</v>
      </c>
      <c r="D114" s="97">
        <v>34.5</v>
      </c>
      <c r="E114" s="97">
        <v>22.5</v>
      </c>
      <c r="F114" s="97">
        <v>1.813675E-2</v>
      </c>
      <c r="G114" s="97">
        <f t="shared" si="8"/>
        <v>8.4803099999999996E-3</v>
      </c>
      <c r="H114" s="97">
        <f t="shared" si="6"/>
        <v>384.38399999999996</v>
      </c>
      <c r="I114" s="98">
        <f t="shared" si="7"/>
        <v>753.20231999999999</v>
      </c>
      <c r="J114" s="93"/>
    </row>
    <row r="115" spans="1:10" ht="15.75" thickBot="1" x14ac:dyDescent="0.3">
      <c r="A115" s="96" t="s">
        <v>306</v>
      </c>
      <c r="B115" s="84">
        <v>2</v>
      </c>
      <c r="C115" s="97">
        <f>B115*References!AU24</f>
        <v>26</v>
      </c>
      <c r="D115" s="97">
        <v>34.5</v>
      </c>
      <c r="E115" s="97">
        <v>22.5</v>
      </c>
      <c r="F115" s="97">
        <v>1.813675E-2</v>
      </c>
      <c r="G115" s="97">
        <f t="shared" si="8"/>
        <v>8.4803099999999996E-3</v>
      </c>
      <c r="H115" s="97">
        <f t="shared" si="6"/>
        <v>384.38399999999996</v>
      </c>
      <c r="I115" s="98">
        <f t="shared" si="7"/>
        <v>753.20231999999999</v>
      </c>
      <c r="J115" s="93"/>
    </row>
    <row r="116" spans="1:10" ht="15.75" thickBot="1" x14ac:dyDescent="0.3">
      <c r="A116" s="96" t="s">
        <v>307</v>
      </c>
      <c r="B116" s="84">
        <v>2</v>
      </c>
      <c r="C116" s="97">
        <f>B116*References!AU25</f>
        <v>26</v>
      </c>
      <c r="D116" s="97">
        <v>34.5</v>
      </c>
      <c r="E116" s="97">
        <v>22.5</v>
      </c>
      <c r="F116" s="97">
        <v>1.813675E-2</v>
      </c>
      <c r="G116" s="97">
        <f t="shared" si="8"/>
        <v>8.4803099999999996E-3</v>
      </c>
      <c r="H116" s="97">
        <f t="shared" si="6"/>
        <v>384.38399999999996</v>
      </c>
      <c r="I116" s="98">
        <f t="shared" si="7"/>
        <v>753.20231999999999</v>
      </c>
      <c r="J116" s="93"/>
    </row>
    <row r="117" spans="1:10" ht="15.75" thickBot="1" x14ac:dyDescent="0.3">
      <c r="A117" s="96" t="s">
        <v>309</v>
      </c>
      <c r="B117" s="84">
        <v>2</v>
      </c>
      <c r="C117" s="97">
        <f>B117*References!AU26</f>
        <v>26</v>
      </c>
      <c r="D117" s="97">
        <v>34.5</v>
      </c>
      <c r="E117" s="97">
        <v>22.5</v>
      </c>
      <c r="F117" s="97">
        <v>1.813675E-2</v>
      </c>
      <c r="G117" s="97">
        <f t="shared" si="8"/>
        <v>8.4803099999999996E-3</v>
      </c>
      <c r="H117" s="97">
        <f t="shared" si="6"/>
        <v>384.38399999999996</v>
      </c>
      <c r="I117" s="98">
        <f t="shared" si="7"/>
        <v>753.20231999999999</v>
      </c>
      <c r="J117" s="93"/>
    </row>
    <row r="118" spans="1:10" ht="15.75" thickBot="1" x14ac:dyDescent="0.3">
      <c r="A118" s="96" t="s">
        <v>310</v>
      </c>
      <c r="B118" s="84">
        <v>2</v>
      </c>
      <c r="C118" s="97">
        <f>B118*References!AU27</f>
        <v>26</v>
      </c>
      <c r="D118" s="97">
        <v>34.5</v>
      </c>
      <c r="E118" s="97">
        <v>22.5</v>
      </c>
      <c r="F118" s="97">
        <v>1.813675E-2</v>
      </c>
      <c r="G118" s="97">
        <f t="shared" si="8"/>
        <v>8.4803099999999996E-3</v>
      </c>
      <c r="H118" s="97">
        <f t="shared" si="6"/>
        <v>384.38399999999996</v>
      </c>
      <c r="I118" s="98">
        <f t="shared" si="7"/>
        <v>753.20231999999999</v>
      </c>
      <c r="J118" s="93"/>
    </row>
    <row r="119" spans="1:10" ht="15.75" thickBot="1" x14ac:dyDescent="0.3">
      <c r="A119" s="96" t="s">
        <v>311</v>
      </c>
      <c r="B119" s="84">
        <v>2</v>
      </c>
      <c r="C119" s="97">
        <f>B119*References!AU28</f>
        <v>5</v>
      </c>
      <c r="D119" s="97">
        <v>34.5</v>
      </c>
      <c r="E119" s="97">
        <v>22.5</v>
      </c>
      <c r="F119" s="97">
        <v>1.813675E-2</v>
      </c>
      <c r="G119" s="97">
        <f t="shared" si="8"/>
        <v>8.4803099999999996E-3</v>
      </c>
      <c r="H119" s="97">
        <f t="shared" si="6"/>
        <v>73.92</v>
      </c>
      <c r="I119" s="98">
        <f t="shared" si="7"/>
        <v>144.8466</v>
      </c>
      <c r="J119" s="93"/>
    </row>
    <row r="120" spans="1:10" ht="15.75" thickBot="1" x14ac:dyDescent="0.3">
      <c r="A120" s="96" t="s">
        <v>314</v>
      </c>
      <c r="B120" s="84">
        <v>2</v>
      </c>
      <c r="C120" s="97">
        <f>B120*References!AU29</f>
        <v>5</v>
      </c>
      <c r="D120" s="97">
        <v>34.5</v>
      </c>
      <c r="E120" s="97">
        <v>22.5</v>
      </c>
      <c r="F120" s="97">
        <v>1.813675E-2</v>
      </c>
      <c r="G120" s="97">
        <f t="shared" si="8"/>
        <v>8.4803099999999996E-3</v>
      </c>
      <c r="H120" s="97">
        <f t="shared" si="6"/>
        <v>73.92</v>
      </c>
      <c r="I120" s="98">
        <f t="shared" si="7"/>
        <v>144.8466</v>
      </c>
      <c r="J120" s="93"/>
    </row>
    <row r="121" spans="1:10" ht="15.75" thickBot="1" x14ac:dyDescent="0.3">
      <c r="A121" s="96" t="s">
        <v>72</v>
      </c>
      <c r="B121" s="84">
        <v>2</v>
      </c>
      <c r="C121" s="97">
        <f>B121*References!AU30</f>
        <v>5</v>
      </c>
      <c r="D121" s="97">
        <v>34.5</v>
      </c>
      <c r="E121" s="97">
        <v>22.5</v>
      </c>
      <c r="F121" s="97">
        <v>1.813675E-2</v>
      </c>
      <c r="G121" s="97">
        <f t="shared" si="8"/>
        <v>8.4803099999999996E-3</v>
      </c>
      <c r="H121" s="97">
        <f t="shared" si="6"/>
        <v>73.92</v>
      </c>
      <c r="I121" s="98">
        <f t="shared" si="7"/>
        <v>144.8466</v>
      </c>
      <c r="J121" s="93"/>
    </row>
    <row r="122" spans="1:10" ht="15.75" thickBot="1" x14ac:dyDescent="0.3">
      <c r="A122" s="96" t="s">
        <v>75</v>
      </c>
      <c r="B122" s="84">
        <v>2</v>
      </c>
      <c r="C122" s="97">
        <f>B122*References!AU31</f>
        <v>5</v>
      </c>
      <c r="D122" s="97">
        <v>34.5</v>
      </c>
      <c r="E122" s="97">
        <v>22.5</v>
      </c>
      <c r="F122" s="97">
        <v>1.813675E-2</v>
      </c>
      <c r="G122" s="97">
        <f t="shared" si="8"/>
        <v>8.4803099999999996E-3</v>
      </c>
      <c r="H122" s="97">
        <f t="shared" si="6"/>
        <v>73.92</v>
      </c>
      <c r="I122" s="98">
        <f t="shared" si="7"/>
        <v>144.8466</v>
      </c>
      <c r="J122" s="93"/>
    </row>
    <row r="123" spans="1:10" ht="15.75" thickBot="1" x14ac:dyDescent="0.3">
      <c r="A123" s="96" t="s">
        <v>76</v>
      </c>
      <c r="B123" s="84">
        <v>2</v>
      </c>
      <c r="C123" s="97">
        <f>B123*References!AU32</f>
        <v>5</v>
      </c>
      <c r="D123" s="97">
        <v>34.5</v>
      </c>
      <c r="E123" s="97">
        <v>22.5</v>
      </c>
      <c r="F123" s="97">
        <v>1.813675E-2</v>
      </c>
      <c r="G123" s="97">
        <f t="shared" si="8"/>
        <v>8.4803099999999996E-3</v>
      </c>
      <c r="H123" s="97">
        <f t="shared" si="6"/>
        <v>73.92</v>
      </c>
      <c r="I123" s="98">
        <f t="shared" si="7"/>
        <v>144.8466</v>
      </c>
      <c r="J123" s="93"/>
    </row>
    <row r="124" spans="1:10" ht="15.75" thickBot="1" x14ac:dyDescent="0.3">
      <c r="A124" s="99" t="s">
        <v>317</v>
      </c>
      <c r="B124" s="84">
        <v>6</v>
      </c>
      <c r="C124" s="100">
        <f>B124*References!AU33</f>
        <v>48</v>
      </c>
      <c r="D124" s="100">
        <v>34.5</v>
      </c>
      <c r="E124" s="100">
        <v>22.5</v>
      </c>
      <c r="F124" s="100">
        <v>1.813675E-2</v>
      </c>
      <c r="G124" s="100">
        <f t="shared" si="8"/>
        <v>8.4803099999999996E-3</v>
      </c>
      <c r="H124" s="100">
        <f t="shared" si="6"/>
        <v>709.63199999999995</v>
      </c>
      <c r="I124" s="101">
        <f t="shared" si="7"/>
        <v>1390.52736</v>
      </c>
      <c r="J124" s="93"/>
    </row>
    <row r="125" spans="1:10" ht="15.75" thickBot="1" x14ac:dyDescent="0.3">
      <c r="G125" s="131" t="s">
        <v>333</v>
      </c>
      <c r="H125" s="131">
        <f>SUM(Table19[Qs(W)])</f>
        <v>12337.248</v>
      </c>
      <c r="I125" s="131">
        <f>SUM(Table19[Ql(W)])</f>
        <v>24174.897540000009</v>
      </c>
    </row>
    <row r="126" spans="1:10" ht="15.75" thickBot="1" x14ac:dyDescent="0.3">
      <c r="G126" s="177" t="s">
        <v>161</v>
      </c>
      <c r="H126" s="177"/>
      <c r="I126" s="131">
        <f>H125+I125</f>
        <v>36512.145540000012</v>
      </c>
    </row>
  </sheetData>
  <mergeCells count="16">
    <mergeCell ref="O3:T3"/>
    <mergeCell ref="O4:Q4"/>
    <mergeCell ref="O5:Q5"/>
    <mergeCell ref="O6:Q6"/>
    <mergeCell ref="O7:Q7"/>
    <mergeCell ref="O8:Q9"/>
    <mergeCell ref="R8:R9"/>
    <mergeCell ref="S8:S9"/>
    <mergeCell ref="T8:T9"/>
    <mergeCell ref="G126:H126"/>
    <mergeCell ref="A2:I2"/>
    <mergeCell ref="A1:I1"/>
    <mergeCell ref="A44:I44"/>
    <mergeCell ref="A93:I93"/>
    <mergeCell ref="G42:H42"/>
    <mergeCell ref="G91:H91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6"/>
  <sheetViews>
    <sheetView topLeftCell="A52" zoomScale="85" zoomScaleNormal="85" workbookViewId="0">
      <selection activeCell="A89" sqref="A89"/>
    </sheetView>
  </sheetViews>
  <sheetFormatPr defaultRowHeight="15" x14ac:dyDescent="0.25"/>
  <cols>
    <col min="1" max="1" width="39.7109375" style="91" customWidth="1"/>
    <col min="2" max="2" width="6.28515625" style="91" customWidth="1"/>
    <col min="3" max="3" width="14.28515625" style="91" customWidth="1"/>
    <col min="4" max="4" width="10.7109375" style="91" customWidth="1"/>
    <col min="5" max="6" width="9.140625" style="91"/>
    <col min="7" max="7" width="9.28515625" style="91" customWidth="1"/>
    <col min="8" max="8" width="9.140625" style="91"/>
    <col min="9" max="16384" width="9.140625" style="93"/>
  </cols>
  <sheetData>
    <row r="1" spans="1:19" ht="24.75" customHeight="1" x14ac:dyDescent="0.25">
      <c r="A1" s="159" t="s">
        <v>503</v>
      </c>
      <c r="B1" s="159"/>
      <c r="C1" s="159"/>
      <c r="D1" s="159"/>
      <c r="E1" s="159"/>
      <c r="F1" s="159"/>
      <c r="G1" s="159"/>
      <c r="H1" s="159"/>
      <c r="I1" s="113"/>
    </row>
    <row r="2" spans="1:19" ht="24" thickBot="1" x14ac:dyDescent="0.4">
      <c r="A2" s="157" t="s">
        <v>160</v>
      </c>
      <c r="B2" s="157"/>
      <c r="C2" s="157"/>
      <c r="D2" s="157"/>
      <c r="E2" s="157"/>
      <c r="F2" s="157"/>
      <c r="G2" s="157"/>
      <c r="H2" s="157"/>
      <c r="I2" s="105"/>
    </row>
    <row r="3" spans="1:19" ht="15.75" thickBot="1" x14ac:dyDescent="0.3">
      <c r="A3" s="102" t="s">
        <v>19</v>
      </c>
      <c r="B3" s="103" t="s">
        <v>485</v>
      </c>
      <c r="C3" s="103" t="s">
        <v>500</v>
      </c>
      <c r="D3" s="103" t="s">
        <v>501</v>
      </c>
      <c r="E3" s="103" t="s">
        <v>502</v>
      </c>
      <c r="F3" s="103" t="s">
        <v>338</v>
      </c>
      <c r="G3" s="103" t="s">
        <v>23</v>
      </c>
      <c r="H3" s="104" t="s">
        <v>24</v>
      </c>
      <c r="N3" s="173" t="s">
        <v>539</v>
      </c>
      <c r="O3" s="173"/>
      <c r="P3" s="173"/>
      <c r="Q3" s="173"/>
      <c r="R3" s="173"/>
      <c r="S3" s="173"/>
    </row>
    <row r="4" spans="1:19" ht="15.75" thickBot="1" x14ac:dyDescent="0.3">
      <c r="A4" s="96" t="s">
        <v>55</v>
      </c>
      <c r="B4" s="84">
        <v>2</v>
      </c>
      <c r="C4" s="97">
        <v>70</v>
      </c>
      <c r="D4" s="97">
        <v>0.6</v>
      </c>
      <c r="E4" s="97">
        <v>0.4</v>
      </c>
      <c r="F4" s="97">
        <v>0.92</v>
      </c>
      <c r="G4" s="97">
        <f t="shared" ref="G4:G40" si="0">B4*C4*D4*F4</f>
        <v>77.28</v>
      </c>
      <c r="H4" s="98">
        <f t="shared" ref="H4:H40" si="1">C4*E4*F4</f>
        <v>25.76</v>
      </c>
      <c r="N4" s="174"/>
      <c r="O4" s="174"/>
      <c r="P4" s="174"/>
      <c r="Q4" s="136" t="s">
        <v>541</v>
      </c>
      <c r="R4" s="136" t="s">
        <v>542</v>
      </c>
      <c r="S4" s="136" t="s">
        <v>430</v>
      </c>
    </row>
    <row r="5" spans="1:19" ht="15.75" thickBot="1" x14ac:dyDescent="0.3">
      <c r="A5" s="96" t="s">
        <v>102</v>
      </c>
      <c r="B5" s="84">
        <v>3</v>
      </c>
      <c r="C5" s="97">
        <v>150</v>
      </c>
      <c r="D5" s="97">
        <v>0.5</v>
      </c>
      <c r="E5" s="97">
        <v>0.5</v>
      </c>
      <c r="F5" s="97">
        <v>0.92</v>
      </c>
      <c r="G5" s="97">
        <f t="shared" si="0"/>
        <v>207</v>
      </c>
      <c r="H5" s="98">
        <f t="shared" si="1"/>
        <v>69</v>
      </c>
      <c r="N5" s="175" t="s">
        <v>160</v>
      </c>
      <c r="O5" s="175"/>
      <c r="P5" s="175"/>
      <c r="Q5" s="84">
        <f>G41</f>
        <v>6432.18</v>
      </c>
      <c r="R5" s="84">
        <f>H41</f>
        <v>1888.7599999999993</v>
      </c>
      <c r="S5" s="84">
        <f>Q5+R5</f>
        <v>8320.9399999999987</v>
      </c>
    </row>
    <row r="6" spans="1:19" ht="15.75" thickBot="1" x14ac:dyDescent="0.3">
      <c r="A6" s="96" t="s">
        <v>487</v>
      </c>
      <c r="B6" s="84">
        <v>5</v>
      </c>
      <c r="C6" s="97">
        <v>100</v>
      </c>
      <c r="D6" s="97">
        <v>0.6</v>
      </c>
      <c r="E6" s="97">
        <v>0.4</v>
      </c>
      <c r="F6" s="97">
        <v>0.92</v>
      </c>
      <c r="G6" s="97">
        <f t="shared" si="0"/>
        <v>276</v>
      </c>
      <c r="H6" s="98">
        <f t="shared" si="1"/>
        <v>36.800000000000004</v>
      </c>
      <c r="N6" s="175" t="s">
        <v>41</v>
      </c>
      <c r="O6" s="175"/>
      <c r="P6" s="175"/>
      <c r="Q6" s="84">
        <f>G90</f>
        <v>8765.2999999999993</v>
      </c>
      <c r="R6" s="84">
        <f>H90</f>
        <v>6432.5</v>
      </c>
      <c r="S6" s="84">
        <f>Q6+R6</f>
        <v>15197.8</v>
      </c>
    </row>
    <row r="7" spans="1:19" ht="15.75" thickBot="1" x14ac:dyDescent="0.3">
      <c r="A7" s="96" t="s">
        <v>345</v>
      </c>
      <c r="B7" s="84">
        <v>3</v>
      </c>
      <c r="C7" s="97">
        <v>150</v>
      </c>
      <c r="D7" s="97">
        <v>0.5</v>
      </c>
      <c r="E7" s="97">
        <v>0.5</v>
      </c>
      <c r="F7" s="97">
        <v>0.92</v>
      </c>
      <c r="G7" s="97">
        <f t="shared" si="0"/>
        <v>207</v>
      </c>
      <c r="H7" s="98">
        <f t="shared" si="1"/>
        <v>69</v>
      </c>
      <c r="N7" s="175" t="s">
        <v>59</v>
      </c>
      <c r="O7" s="175"/>
      <c r="P7" s="175"/>
      <c r="Q7" s="84">
        <f>G125</f>
        <v>4326.2999999999993</v>
      </c>
      <c r="R7" s="84">
        <f>H125</f>
        <v>2067.7000000000007</v>
      </c>
      <c r="S7" s="84">
        <f>Q7+R7</f>
        <v>6394</v>
      </c>
    </row>
    <row r="8" spans="1:19" ht="15.75" thickBot="1" x14ac:dyDescent="0.3">
      <c r="A8" s="96" t="s">
        <v>347</v>
      </c>
      <c r="B8" s="84">
        <v>2</v>
      </c>
      <c r="C8" s="97">
        <v>150</v>
      </c>
      <c r="D8" s="97">
        <v>0.5</v>
      </c>
      <c r="E8" s="97">
        <v>0.5</v>
      </c>
      <c r="F8" s="97">
        <v>0.92</v>
      </c>
      <c r="G8" s="97">
        <f t="shared" si="0"/>
        <v>138</v>
      </c>
      <c r="H8" s="98">
        <f t="shared" si="1"/>
        <v>69</v>
      </c>
      <c r="N8" s="163" t="s">
        <v>540</v>
      </c>
      <c r="O8" s="163"/>
      <c r="P8" s="163"/>
      <c r="Q8" s="167">
        <f>SUM(Q5:Q7)</f>
        <v>19523.78</v>
      </c>
      <c r="R8" s="167">
        <f>SUM(R5:R7)</f>
        <v>10388.959999999999</v>
      </c>
      <c r="S8" s="167">
        <f>S5+S6+S7</f>
        <v>29912.739999999998</v>
      </c>
    </row>
    <row r="9" spans="1:19" ht="15.75" thickBot="1" x14ac:dyDescent="0.3">
      <c r="A9" s="96" t="s">
        <v>488</v>
      </c>
      <c r="B9" s="84">
        <v>2</v>
      </c>
      <c r="C9" s="97">
        <v>150</v>
      </c>
      <c r="D9" s="97">
        <v>0.55000000000000004</v>
      </c>
      <c r="E9" s="97">
        <v>0.45</v>
      </c>
      <c r="F9" s="97">
        <v>0.92</v>
      </c>
      <c r="G9" s="97">
        <f t="shared" si="0"/>
        <v>151.80000000000001</v>
      </c>
      <c r="H9" s="98">
        <f t="shared" si="1"/>
        <v>62.1</v>
      </c>
      <c r="N9" s="163"/>
      <c r="O9" s="163"/>
      <c r="P9" s="163"/>
      <c r="Q9" s="168"/>
      <c r="R9" s="168"/>
      <c r="S9" s="168"/>
    </row>
    <row r="10" spans="1:19" ht="15.75" thickBot="1" x14ac:dyDescent="0.3">
      <c r="A10" s="96" t="s">
        <v>489</v>
      </c>
      <c r="B10" s="84">
        <v>2</v>
      </c>
      <c r="C10" s="97">
        <v>150</v>
      </c>
      <c r="D10" s="97">
        <v>0.55000000000000004</v>
      </c>
      <c r="E10" s="97">
        <v>0.45</v>
      </c>
      <c r="F10" s="97">
        <v>0.92</v>
      </c>
      <c r="G10" s="97">
        <f t="shared" si="0"/>
        <v>151.80000000000001</v>
      </c>
      <c r="H10" s="98">
        <f t="shared" si="1"/>
        <v>62.1</v>
      </c>
    </row>
    <row r="11" spans="1:19" ht="15.75" thickBot="1" x14ac:dyDescent="0.3">
      <c r="A11" s="96" t="s">
        <v>490</v>
      </c>
      <c r="B11" s="84">
        <v>1</v>
      </c>
      <c r="C11" s="97">
        <v>100</v>
      </c>
      <c r="D11" s="97">
        <v>0.6</v>
      </c>
      <c r="E11" s="97">
        <v>0.4</v>
      </c>
      <c r="F11" s="97">
        <v>0.92</v>
      </c>
      <c r="G11" s="97">
        <f t="shared" si="0"/>
        <v>55.2</v>
      </c>
      <c r="H11" s="98">
        <f t="shared" si="1"/>
        <v>36.800000000000004</v>
      </c>
    </row>
    <row r="12" spans="1:19" ht="15.75" thickBot="1" x14ac:dyDescent="0.3">
      <c r="A12" s="96" t="s">
        <v>175</v>
      </c>
      <c r="B12" s="84">
        <v>14</v>
      </c>
      <c r="C12" s="97">
        <v>100</v>
      </c>
      <c r="D12" s="97">
        <v>0.6</v>
      </c>
      <c r="E12" s="97">
        <v>0.4</v>
      </c>
      <c r="F12" s="97">
        <v>0.92</v>
      </c>
      <c r="G12" s="97">
        <f t="shared" si="0"/>
        <v>772.80000000000007</v>
      </c>
      <c r="H12" s="98">
        <f t="shared" si="1"/>
        <v>36.800000000000004</v>
      </c>
    </row>
    <row r="13" spans="1:19" ht="15.75" thickBot="1" x14ac:dyDescent="0.3">
      <c r="A13" s="96" t="s">
        <v>120</v>
      </c>
      <c r="B13" s="84">
        <v>4</v>
      </c>
      <c r="C13" s="97">
        <v>150</v>
      </c>
      <c r="D13" s="97">
        <v>0.5</v>
      </c>
      <c r="E13" s="97">
        <v>0.5</v>
      </c>
      <c r="F13" s="97">
        <v>0.92</v>
      </c>
      <c r="G13" s="97">
        <f t="shared" si="0"/>
        <v>276</v>
      </c>
      <c r="H13" s="98">
        <f t="shared" si="1"/>
        <v>69</v>
      </c>
    </row>
    <row r="14" spans="1:19" ht="15.75" thickBot="1" x14ac:dyDescent="0.3">
      <c r="A14" s="96" t="s">
        <v>451</v>
      </c>
      <c r="B14" s="84">
        <v>2</v>
      </c>
      <c r="C14" s="97">
        <v>150</v>
      </c>
      <c r="D14" s="97">
        <v>0.5</v>
      </c>
      <c r="E14" s="97">
        <v>0.5</v>
      </c>
      <c r="F14" s="97">
        <v>0.92</v>
      </c>
      <c r="G14" s="97">
        <f t="shared" si="0"/>
        <v>138</v>
      </c>
      <c r="H14" s="98">
        <f t="shared" si="1"/>
        <v>69</v>
      </c>
    </row>
    <row r="15" spans="1:19" ht="15.75" thickBot="1" x14ac:dyDescent="0.3">
      <c r="A15" s="96" t="s">
        <v>451</v>
      </c>
      <c r="B15" s="84">
        <v>2</v>
      </c>
      <c r="C15" s="97">
        <v>150</v>
      </c>
      <c r="D15" s="97">
        <v>0.5</v>
      </c>
      <c r="E15" s="97">
        <v>0.5</v>
      </c>
      <c r="F15" s="97">
        <v>0.92</v>
      </c>
      <c r="G15" s="97">
        <f t="shared" si="0"/>
        <v>138</v>
      </c>
      <c r="H15" s="98">
        <f t="shared" si="1"/>
        <v>69</v>
      </c>
    </row>
    <row r="16" spans="1:19" ht="15.75" thickBot="1" x14ac:dyDescent="0.3">
      <c r="A16" s="96" t="s">
        <v>455</v>
      </c>
      <c r="B16" s="84">
        <v>2</v>
      </c>
      <c r="C16" s="97">
        <v>150</v>
      </c>
      <c r="D16" s="97">
        <v>0.5</v>
      </c>
      <c r="E16" s="97">
        <v>0.5</v>
      </c>
      <c r="F16" s="97">
        <v>0.92</v>
      </c>
      <c r="G16" s="97">
        <f t="shared" si="0"/>
        <v>138</v>
      </c>
      <c r="H16" s="98">
        <f t="shared" si="1"/>
        <v>69</v>
      </c>
    </row>
    <row r="17" spans="1:8" ht="15.75" thickBot="1" x14ac:dyDescent="0.3">
      <c r="A17" s="96" t="s">
        <v>455</v>
      </c>
      <c r="B17" s="84">
        <v>2</v>
      </c>
      <c r="C17" s="97">
        <v>150</v>
      </c>
      <c r="D17" s="97">
        <v>0.5</v>
      </c>
      <c r="E17" s="97">
        <v>0.5</v>
      </c>
      <c r="F17" s="97">
        <v>0.92</v>
      </c>
      <c r="G17" s="97">
        <f t="shared" si="0"/>
        <v>138</v>
      </c>
      <c r="H17" s="98">
        <f t="shared" si="1"/>
        <v>69</v>
      </c>
    </row>
    <row r="18" spans="1:8" ht="15.75" thickBot="1" x14ac:dyDescent="0.3">
      <c r="A18" s="96" t="s">
        <v>76</v>
      </c>
      <c r="B18" s="84">
        <v>1</v>
      </c>
      <c r="C18" s="97">
        <v>150</v>
      </c>
      <c r="D18" s="97">
        <v>0.55000000000000004</v>
      </c>
      <c r="E18" s="97">
        <v>0.45</v>
      </c>
      <c r="F18" s="97">
        <v>0.92</v>
      </c>
      <c r="G18" s="97">
        <f t="shared" si="0"/>
        <v>75.900000000000006</v>
      </c>
      <c r="H18" s="98">
        <f t="shared" si="1"/>
        <v>62.1</v>
      </c>
    </row>
    <row r="19" spans="1:8" ht="15.75" thickBot="1" x14ac:dyDescent="0.3">
      <c r="A19" s="96" t="s">
        <v>75</v>
      </c>
      <c r="B19" s="84">
        <v>1</v>
      </c>
      <c r="C19" s="97">
        <v>150</v>
      </c>
      <c r="D19" s="97">
        <v>0.55000000000000004</v>
      </c>
      <c r="E19" s="97">
        <v>0.45</v>
      </c>
      <c r="F19" s="97">
        <v>0.92</v>
      </c>
      <c r="G19" s="97">
        <f t="shared" si="0"/>
        <v>75.900000000000006</v>
      </c>
      <c r="H19" s="98">
        <f t="shared" si="1"/>
        <v>62.1</v>
      </c>
    </row>
    <row r="20" spans="1:8" ht="15.75" thickBot="1" x14ac:dyDescent="0.3">
      <c r="A20" s="96" t="s">
        <v>72</v>
      </c>
      <c r="B20" s="84">
        <v>1</v>
      </c>
      <c r="C20" s="97">
        <v>150</v>
      </c>
      <c r="D20" s="97">
        <v>0.55000000000000004</v>
      </c>
      <c r="E20" s="97">
        <v>0.45</v>
      </c>
      <c r="F20" s="97">
        <v>0.92</v>
      </c>
      <c r="G20" s="97">
        <f t="shared" si="0"/>
        <v>75.900000000000006</v>
      </c>
      <c r="H20" s="98">
        <f t="shared" si="1"/>
        <v>62.1</v>
      </c>
    </row>
    <row r="21" spans="1:8" ht="15.75" thickBot="1" x14ac:dyDescent="0.3">
      <c r="A21" s="96" t="s">
        <v>444</v>
      </c>
      <c r="B21" s="84">
        <v>1</v>
      </c>
      <c r="C21" s="97">
        <v>150</v>
      </c>
      <c r="D21" s="97">
        <v>0.5</v>
      </c>
      <c r="E21" s="97">
        <v>0.5</v>
      </c>
      <c r="F21" s="97">
        <v>0.92</v>
      </c>
      <c r="G21" s="97">
        <f t="shared" si="0"/>
        <v>69</v>
      </c>
      <c r="H21" s="98">
        <f t="shared" si="1"/>
        <v>69</v>
      </c>
    </row>
    <row r="22" spans="1:8" ht="15.75" thickBot="1" x14ac:dyDescent="0.3">
      <c r="A22" s="96" t="s">
        <v>443</v>
      </c>
      <c r="B22" s="84">
        <v>1</v>
      </c>
      <c r="C22" s="97">
        <v>100</v>
      </c>
      <c r="D22" s="97">
        <v>0.6</v>
      </c>
      <c r="E22" s="97">
        <v>0.4</v>
      </c>
      <c r="F22" s="97">
        <v>0.92</v>
      </c>
      <c r="G22" s="97">
        <f t="shared" si="0"/>
        <v>55.2</v>
      </c>
      <c r="H22" s="98">
        <f t="shared" si="1"/>
        <v>36.800000000000004</v>
      </c>
    </row>
    <row r="23" spans="1:8" ht="15.75" thickBot="1" x14ac:dyDescent="0.3">
      <c r="A23" s="96" t="s">
        <v>491</v>
      </c>
      <c r="B23" s="84">
        <v>3</v>
      </c>
      <c r="C23" s="97">
        <v>100</v>
      </c>
      <c r="D23" s="97">
        <v>0.6</v>
      </c>
      <c r="E23" s="97">
        <v>0.4</v>
      </c>
      <c r="F23" s="97">
        <v>0.92</v>
      </c>
      <c r="G23" s="97">
        <f t="shared" si="0"/>
        <v>165.6</v>
      </c>
      <c r="H23" s="98">
        <f t="shared" si="1"/>
        <v>36.800000000000004</v>
      </c>
    </row>
    <row r="24" spans="1:8" ht="15.75" thickBot="1" x14ac:dyDescent="0.3">
      <c r="A24" s="96" t="s">
        <v>452</v>
      </c>
      <c r="B24" s="84">
        <v>2</v>
      </c>
      <c r="C24" s="97">
        <v>100</v>
      </c>
      <c r="D24" s="97">
        <v>0.6</v>
      </c>
      <c r="E24" s="97">
        <v>0.4</v>
      </c>
      <c r="F24" s="97">
        <v>0.92</v>
      </c>
      <c r="G24" s="97">
        <f t="shared" si="0"/>
        <v>110.4</v>
      </c>
      <c r="H24" s="98">
        <f t="shared" si="1"/>
        <v>36.800000000000004</v>
      </c>
    </row>
    <row r="25" spans="1:8" ht="15.75" thickBot="1" x14ac:dyDescent="0.3">
      <c r="A25" s="96" t="s">
        <v>452</v>
      </c>
      <c r="B25" s="84">
        <v>2</v>
      </c>
      <c r="C25" s="97">
        <v>100</v>
      </c>
      <c r="D25" s="97">
        <v>0.6</v>
      </c>
      <c r="E25" s="97">
        <v>0.4</v>
      </c>
      <c r="F25" s="97">
        <v>0.92</v>
      </c>
      <c r="G25" s="97">
        <f t="shared" si="0"/>
        <v>110.4</v>
      </c>
      <c r="H25" s="98">
        <f t="shared" si="1"/>
        <v>36.800000000000004</v>
      </c>
    </row>
    <row r="26" spans="1:8" ht="15.75" thickBot="1" x14ac:dyDescent="0.3">
      <c r="A26" s="96" t="s">
        <v>495</v>
      </c>
      <c r="B26" s="84">
        <v>1</v>
      </c>
      <c r="C26" s="97">
        <v>150</v>
      </c>
      <c r="D26" s="97">
        <v>0.55000000000000004</v>
      </c>
      <c r="E26" s="97">
        <v>0.45</v>
      </c>
      <c r="F26" s="97">
        <v>0.92</v>
      </c>
      <c r="G26" s="97">
        <f t="shared" si="0"/>
        <v>75.900000000000006</v>
      </c>
      <c r="H26" s="98">
        <f t="shared" si="1"/>
        <v>62.1</v>
      </c>
    </row>
    <row r="27" spans="1:8" ht="15.75" thickBot="1" x14ac:dyDescent="0.3">
      <c r="A27" s="96" t="s">
        <v>456</v>
      </c>
      <c r="B27" s="84">
        <v>2</v>
      </c>
      <c r="C27" s="97">
        <v>100</v>
      </c>
      <c r="D27" s="97">
        <v>0.6</v>
      </c>
      <c r="E27" s="97">
        <v>0.4</v>
      </c>
      <c r="F27" s="97">
        <v>0.92</v>
      </c>
      <c r="G27" s="97">
        <f t="shared" si="0"/>
        <v>110.4</v>
      </c>
      <c r="H27" s="98">
        <f t="shared" si="1"/>
        <v>36.800000000000004</v>
      </c>
    </row>
    <row r="28" spans="1:8" ht="15.75" thickBot="1" x14ac:dyDescent="0.3">
      <c r="A28" s="96" t="s">
        <v>456</v>
      </c>
      <c r="B28" s="84">
        <v>2</v>
      </c>
      <c r="C28" s="97">
        <v>100</v>
      </c>
      <c r="D28" s="97">
        <v>0.6</v>
      </c>
      <c r="E28" s="97">
        <v>0.4</v>
      </c>
      <c r="F28" s="97">
        <v>0.92</v>
      </c>
      <c r="G28" s="97">
        <f t="shared" si="0"/>
        <v>110.4</v>
      </c>
      <c r="H28" s="98">
        <f t="shared" si="1"/>
        <v>36.800000000000004</v>
      </c>
    </row>
    <row r="29" spans="1:8" ht="15.75" thickBot="1" x14ac:dyDescent="0.3">
      <c r="A29" s="96" t="s">
        <v>369</v>
      </c>
      <c r="B29" s="84">
        <v>1</v>
      </c>
      <c r="C29" s="97">
        <v>150</v>
      </c>
      <c r="D29" s="97">
        <v>0.55000000000000004</v>
      </c>
      <c r="E29" s="97">
        <v>0.45</v>
      </c>
      <c r="F29" s="97">
        <v>0.92</v>
      </c>
      <c r="G29" s="97">
        <f t="shared" si="0"/>
        <v>75.900000000000006</v>
      </c>
      <c r="H29" s="98">
        <f t="shared" si="1"/>
        <v>62.1</v>
      </c>
    </row>
    <row r="30" spans="1:8" ht="15.75" thickBot="1" x14ac:dyDescent="0.3">
      <c r="A30" s="96" t="s">
        <v>367</v>
      </c>
      <c r="B30" s="84">
        <v>4</v>
      </c>
      <c r="C30" s="97">
        <v>150</v>
      </c>
      <c r="D30" s="97">
        <v>0.55000000000000004</v>
      </c>
      <c r="E30" s="97">
        <v>0.45</v>
      </c>
      <c r="F30" s="97">
        <v>0.92</v>
      </c>
      <c r="G30" s="97">
        <f t="shared" si="0"/>
        <v>303.60000000000002</v>
      </c>
      <c r="H30" s="98">
        <f t="shared" si="1"/>
        <v>62.1</v>
      </c>
    </row>
    <row r="31" spans="1:8" ht="15.75" thickBot="1" x14ac:dyDescent="0.3">
      <c r="A31" s="96" t="s">
        <v>370</v>
      </c>
      <c r="B31" s="84">
        <v>1</v>
      </c>
      <c r="C31" s="97">
        <v>100</v>
      </c>
      <c r="D31" s="97">
        <v>0.6</v>
      </c>
      <c r="E31" s="97">
        <v>0.4</v>
      </c>
      <c r="F31" s="97">
        <v>0.92</v>
      </c>
      <c r="G31" s="97">
        <f t="shared" si="0"/>
        <v>55.2</v>
      </c>
      <c r="H31" s="98">
        <f t="shared" si="1"/>
        <v>36.800000000000004</v>
      </c>
    </row>
    <row r="32" spans="1:8" ht="15.75" thickBot="1" x14ac:dyDescent="0.3">
      <c r="A32" s="96" t="s">
        <v>494</v>
      </c>
      <c r="B32" s="84">
        <v>1</v>
      </c>
      <c r="C32" s="97">
        <v>150</v>
      </c>
      <c r="D32" s="97">
        <v>0.55000000000000004</v>
      </c>
      <c r="E32" s="97">
        <v>0.45</v>
      </c>
      <c r="F32" s="97">
        <v>0.92</v>
      </c>
      <c r="G32" s="97">
        <f t="shared" si="0"/>
        <v>75.900000000000006</v>
      </c>
      <c r="H32" s="98">
        <f t="shared" si="1"/>
        <v>62.1</v>
      </c>
    </row>
    <row r="33" spans="1:9" ht="15.75" thickBot="1" x14ac:dyDescent="0.3">
      <c r="A33" s="96" t="s">
        <v>453</v>
      </c>
      <c r="B33" s="84"/>
      <c r="C33" s="97"/>
      <c r="D33" s="97"/>
      <c r="E33" s="97"/>
      <c r="F33" s="97">
        <v>0.92</v>
      </c>
      <c r="G33" s="97">
        <f t="shared" si="0"/>
        <v>0</v>
      </c>
      <c r="H33" s="98">
        <f t="shared" si="1"/>
        <v>0</v>
      </c>
    </row>
    <row r="34" spans="1:9" ht="15.75" thickBot="1" x14ac:dyDescent="0.3">
      <c r="A34" s="96" t="s">
        <v>35</v>
      </c>
      <c r="B34" s="84">
        <v>2</v>
      </c>
      <c r="C34" s="97">
        <v>100</v>
      </c>
      <c r="D34" s="97">
        <v>0.6</v>
      </c>
      <c r="E34" s="97">
        <v>0.4</v>
      </c>
      <c r="F34" s="97">
        <v>0.92</v>
      </c>
      <c r="G34" s="97">
        <f t="shared" si="0"/>
        <v>110.4</v>
      </c>
      <c r="H34" s="98">
        <f t="shared" si="1"/>
        <v>36.800000000000004</v>
      </c>
    </row>
    <row r="35" spans="1:9" ht="15.75" thickBot="1" x14ac:dyDescent="0.3">
      <c r="A35" s="96" t="s">
        <v>459</v>
      </c>
      <c r="B35" s="84">
        <v>1</v>
      </c>
      <c r="C35" s="97">
        <v>150</v>
      </c>
      <c r="D35" s="97">
        <v>0.5</v>
      </c>
      <c r="E35" s="97">
        <v>0.5</v>
      </c>
      <c r="F35" s="97">
        <v>0.92</v>
      </c>
      <c r="G35" s="97">
        <f t="shared" si="0"/>
        <v>69</v>
      </c>
      <c r="H35" s="98">
        <f t="shared" si="1"/>
        <v>69</v>
      </c>
    </row>
    <row r="36" spans="1:9" ht="15.75" thickBot="1" x14ac:dyDescent="0.3">
      <c r="A36" s="96" t="s">
        <v>492</v>
      </c>
      <c r="B36" s="84">
        <v>1</v>
      </c>
      <c r="C36" s="97">
        <v>150</v>
      </c>
      <c r="D36" s="97">
        <v>0.55000000000000004</v>
      </c>
      <c r="E36" s="97">
        <v>0.45</v>
      </c>
      <c r="F36" s="97">
        <v>0.92</v>
      </c>
      <c r="G36" s="97">
        <f t="shared" si="0"/>
        <v>75.900000000000006</v>
      </c>
      <c r="H36" s="98">
        <f t="shared" si="1"/>
        <v>62.1</v>
      </c>
    </row>
    <row r="37" spans="1:9" ht="15.75" thickBot="1" x14ac:dyDescent="0.3">
      <c r="A37" s="96" t="s">
        <v>115</v>
      </c>
      <c r="B37" s="84">
        <v>4</v>
      </c>
      <c r="C37" s="97">
        <v>100</v>
      </c>
      <c r="D37" s="97">
        <v>0.6</v>
      </c>
      <c r="E37" s="97">
        <v>0.4</v>
      </c>
      <c r="F37" s="97">
        <v>0.92</v>
      </c>
      <c r="G37" s="97">
        <f t="shared" si="0"/>
        <v>220.8</v>
      </c>
      <c r="H37" s="98">
        <f t="shared" si="1"/>
        <v>36.800000000000004</v>
      </c>
    </row>
    <row r="38" spans="1:9" ht="15.75" thickBot="1" x14ac:dyDescent="0.3">
      <c r="A38" s="96" t="s">
        <v>385</v>
      </c>
      <c r="B38" s="84">
        <v>5</v>
      </c>
      <c r="C38" s="97">
        <v>100</v>
      </c>
      <c r="D38" s="97">
        <v>0.6</v>
      </c>
      <c r="E38" s="97">
        <v>0.4</v>
      </c>
      <c r="F38" s="97">
        <v>0.92</v>
      </c>
      <c r="G38" s="97">
        <f t="shared" si="0"/>
        <v>276</v>
      </c>
      <c r="H38" s="98">
        <f t="shared" si="1"/>
        <v>36.800000000000004</v>
      </c>
    </row>
    <row r="39" spans="1:9" ht="15.75" thickBot="1" x14ac:dyDescent="0.3">
      <c r="A39" s="96" t="s">
        <v>493</v>
      </c>
      <c r="B39" s="84">
        <v>3</v>
      </c>
      <c r="C39" s="97">
        <v>100</v>
      </c>
      <c r="D39" s="97">
        <v>0.6</v>
      </c>
      <c r="E39" s="97">
        <v>0.4</v>
      </c>
      <c r="F39" s="97">
        <v>0.92</v>
      </c>
      <c r="G39" s="97">
        <f t="shared" si="0"/>
        <v>165.6</v>
      </c>
      <c r="H39" s="98">
        <f t="shared" si="1"/>
        <v>36.800000000000004</v>
      </c>
    </row>
    <row r="40" spans="1:9" ht="15.75" thickBot="1" x14ac:dyDescent="0.3">
      <c r="A40" s="99" t="s">
        <v>30</v>
      </c>
      <c r="B40" s="84">
        <v>20</v>
      </c>
      <c r="C40" s="100">
        <v>100</v>
      </c>
      <c r="D40" s="100">
        <v>0.6</v>
      </c>
      <c r="E40" s="100">
        <v>0.4</v>
      </c>
      <c r="F40" s="100">
        <v>0.92</v>
      </c>
      <c r="G40" s="100">
        <f t="shared" si="0"/>
        <v>1104</v>
      </c>
      <c r="H40" s="101">
        <f t="shared" si="1"/>
        <v>36.800000000000004</v>
      </c>
    </row>
    <row r="41" spans="1:9" ht="15.75" thickBot="1" x14ac:dyDescent="0.3">
      <c r="F41" s="131" t="s">
        <v>333</v>
      </c>
      <c r="G41" s="131">
        <f>SUM(Table22[Qs (W)])</f>
        <v>6432.18</v>
      </c>
      <c r="H41" s="131">
        <f>SUM(Table22[Ql (W)])</f>
        <v>1888.7599999999993</v>
      </c>
    </row>
    <row r="42" spans="1:9" ht="15.75" thickBot="1" x14ac:dyDescent="0.3">
      <c r="F42" s="177" t="s">
        <v>161</v>
      </c>
      <c r="G42" s="177"/>
      <c r="H42" s="131">
        <f>G41+H41</f>
        <v>8320.9399999999987</v>
      </c>
    </row>
    <row r="44" spans="1:9" ht="24" customHeight="1" thickBot="1" x14ac:dyDescent="0.4">
      <c r="A44" s="157" t="s">
        <v>41</v>
      </c>
      <c r="B44" s="157"/>
      <c r="C44" s="157"/>
      <c r="D44" s="157"/>
      <c r="E44" s="157"/>
      <c r="F44" s="157"/>
      <c r="G44" s="157"/>
      <c r="H44" s="157"/>
      <c r="I44" s="105"/>
    </row>
    <row r="45" spans="1:9" ht="15.75" customHeight="1" thickBot="1" x14ac:dyDescent="0.3">
      <c r="A45" s="102" t="s">
        <v>19</v>
      </c>
      <c r="B45" s="103" t="s">
        <v>485</v>
      </c>
      <c r="C45" s="103" t="s">
        <v>500</v>
      </c>
      <c r="D45" s="103" t="s">
        <v>501</v>
      </c>
      <c r="E45" s="103" t="s">
        <v>502</v>
      </c>
      <c r="F45" s="103" t="s">
        <v>338</v>
      </c>
      <c r="G45" s="103" t="s">
        <v>23</v>
      </c>
      <c r="H45" s="104" t="s">
        <v>24</v>
      </c>
    </row>
    <row r="46" spans="1:9" ht="15.75" customHeight="1" thickBot="1" x14ac:dyDescent="0.3">
      <c r="A46" s="96" t="s">
        <v>123</v>
      </c>
      <c r="B46" s="84">
        <v>5</v>
      </c>
      <c r="C46" s="109">
        <v>70</v>
      </c>
      <c r="D46" s="109">
        <v>0.75</v>
      </c>
      <c r="E46" s="109">
        <v>0.25</v>
      </c>
      <c r="F46" s="109">
        <v>0.92</v>
      </c>
      <c r="G46" s="109">
        <f>B46*C46*D46*F46</f>
        <v>241.5</v>
      </c>
      <c r="H46" s="110">
        <f>B46*C46*E46</f>
        <v>87.5</v>
      </c>
    </row>
    <row r="47" spans="1:9" ht="15.75" customHeight="1" thickBot="1" x14ac:dyDescent="0.3">
      <c r="A47" s="96" t="s">
        <v>169</v>
      </c>
      <c r="B47" s="84">
        <v>5</v>
      </c>
      <c r="C47" s="109">
        <v>70</v>
      </c>
      <c r="D47" s="109">
        <v>0.75</v>
      </c>
      <c r="E47" s="109">
        <v>0.25</v>
      </c>
      <c r="F47" s="109">
        <v>0.92</v>
      </c>
      <c r="G47" s="109">
        <f t="shared" ref="G47:G89" si="2">B47*C47*D47*F47</f>
        <v>241.5</v>
      </c>
      <c r="H47" s="110">
        <f t="shared" ref="H47:H89" si="3">B47*C47*E47</f>
        <v>87.5</v>
      </c>
    </row>
    <row r="48" spans="1:9" ht="15.75" customHeight="1" thickBot="1" x14ac:dyDescent="0.3">
      <c r="A48" s="96" t="s">
        <v>124</v>
      </c>
      <c r="B48" s="84">
        <v>5</v>
      </c>
      <c r="C48" s="109">
        <v>70</v>
      </c>
      <c r="D48" s="109">
        <v>0.75</v>
      </c>
      <c r="E48" s="109">
        <v>0.25</v>
      </c>
      <c r="F48" s="109">
        <v>0.92</v>
      </c>
      <c r="G48" s="109">
        <f t="shared" si="2"/>
        <v>241.5</v>
      </c>
      <c r="H48" s="110">
        <f t="shared" si="3"/>
        <v>87.5</v>
      </c>
    </row>
    <row r="49" spans="1:8" ht="15.75" customHeight="1" thickBot="1" x14ac:dyDescent="0.3">
      <c r="A49" s="96" t="s">
        <v>125</v>
      </c>
      <c r="B49" s="84">
        <v>5</v>
      </c>
      <c r="C49" s="109">
        <v>70</v>
      </c>
      <c r="D49" s="109">
        <v>0.75</v>
      </c>
      <c r="E49" s="109">
        <v>0.25</v>
      </c>
      <c r="F49" s="109">
        <v>0.92</v>
      </c>
      <c r="G49" s="109">
        <f t="shared" si="2"/>
        <v>241.5</v>
      </c>
      <c r="H49" s="110">
        <f t="shared" si="3"/>
        <v>87.5</v>
      </c>
    </row>
    <row r="50" spans="1:8" ht="15.75" customHeight="1" thickBot="1" x14ac:dyDescent="0.3">
      <c r="A50" s="96" t="s">
        <v>170</v>
      </c>
      <c r="B50" s="84">
        <v>2</v>
      </c>
      <c r="C50" s="109">
        <v>70</v>
      </c>
      <c r="D50" s="109">
        <v>0.75</v>
      </c>
      <c r="E50" s="109">
        <v>0.25</v>
      </c>
      <c r="F50" s="109">
        <v>0.92</v>
      </c>
      <c r="G50" s="109">
        <f t="shared" si="2"/>
        <v>96.600000000000009</v>
      </c>
      <c r="H50" s="110">
        <f t="shared" si="3"/>
        <v>35</v>
      </c>
    </row>
    <row r="51" spans="1:8" ht="15.75" customHeight="1" thickBot="1" x14ac:dyDescent="0.3">
      <c r="A51" s="96" t="s">
        <v>171</v>
      </c>
      <c r="B51" s="84">
        <v>2</v>
      </c>
      <c r="C51" s="109">
        <v>70</v>
      </c>
      <c r="D51" s="109">
        <v>0.75</v>
      </c>
      <c r="E51" s="109">
        <v>0.25</v>
      </c>
      <c r="F51" s="109">
        <v>0.92</v>
      </c>
      <c r="G51" s="109">
        <f t="shared" si="2"/>
        <v>96.600000000000009</v>
      </c>
      <c r="H51" s="110">
        <f t="shared" si="3"/>
        <v>35</v>
      </c>
    </row>
    <row r="52" spans="1:8" ht="15.75" thickBot="1" x14ac:dyDescent="0.3">
      <c r="A52" s="96" t="s">
        <v>172</v>
      </c>
      <c r="B52" s="84">
        <v>2</v>
      </c>
      <c r="C52" s="109">
        <v>70</v>
      </c>
      <c r="D52" s="109">
        <v>0.75</v>
      </c>
      <c r="E52" s="109">
        <v>0.25</v>
      </c>
      <c r="F52" s="109">
        <v>0.92</v>
      </c>
      <c r="G52" s="109">
        <f t="shared" si="2"/>
        <v>96.600000000000009</v>
      </c>
      <c r="H52" s="110">
        <f t="shared" si="3"/>
        <v>35</v>
      </c>
    </row>
    <row r="53" spans="1:8" ht="15.75" thickBot="1" x14ac:dyDescent="0.3">
      <c r="A53" s="96" t="s">
        <v>173</v>
      </c>
      <c r="B53" s="84">
        <v>7</v>
      </c>
      <c r="C53" s="109">
        <v>100</v>
      </c>
      <c r="D53" s="109">
        <v>0.6</v>
      </c>
      <c r="E53" s="109">
        <v>0.4</v>
      </c>
      <c r="F53" s="109">
        <v>0.92</v>
      </c>
      <c r="G53" s="109">
        <f t="shared" si="2"/>
        <v>386.40000000000003</v>
      </c>
      <c r="H53" s="110">
        <f t="shared" si="3"/>
        <v>280</v>
      </c>
    </row>
    <row r="54" spans="1:8" ht="15.75" thickBot="1" x14ac:dyDescent="0.3">
      <c r="A54" s="96" t="s">
        <v>174</v>
      </c>
      <c r="B54" s="84">
        <v>2</v>
      </c>
      <c r="C54" s="109">
        <v>70</v>
      </c>
      <c r="D54" s="109">
        <v>0.75</v>
      </c>
      <c r="E54" s="109">
        <v>0.25</v>
      </c>
      <c r="F54" s="109">
        <v>0.92</v>
      </c>
      <c r="G54" s="109">
        <f t="shared" si="2"/>
        <v>96.600000000000009</v>
      </c>
      <c r="H54" s="110">
        <f t="shared" si="3"/>
        <v>35</v>
      </c>
    </row>
    <row r="55" spans="1:8" ht="15.75" thickBot="1" x14ac:dyDescent="0.3">
      <c r="A55" s="96" t="s">
        <v>175</v>
      </c>
      <c r="B55" s="84">
        <v>5</v>
      </c>
      <c r="C55" s="109">
        <v>100</v>
      </c>
      <c r="D55" s="109">
        <v>0.6</v>
      </c>
      <c r="E55" s="109">
        <v>0.4</v>
      </c>
      <c r="F55" s="109">
        <v>0.92</v>
      </c>
      <c r="G55" s="109">
        <f t="shared" si="2"/>
        <v>276</v>
      </c>
      <c r="H55" s="110">
        <f t="shared" si="3"/>
        <v>200</v>
      </c>
    </row>
    <row r="56" spans="1:8" ht="15.75" thickBot="1" x14ac:dyDescent="0.3">
      <c r="A56" s="96" t="s">
        <v>176</v>
      </c>
      <c r="B56" s="84">
        <v>1</v>
      </c>
      <c r="C56" s="109">
        <v>150</v>
      </c>
      <c r="D56" s="109">
        <v>0.5</v>
      </c>
      <c r="E56" s="109">
        <v>0.5</v>
      </c>
      <c r="F56" s="109">
        <v>0.92</v>
      </c>
      <c r="G56" s="109">
        <f t="shared" si="2"/>
        <v>69</v>
      </c>
      <c r="H56" s="110">
        <f t="shared" si="3"/>
        <v>75</v>
      </c>
    </row>
    <row r="57" spans="1:8" ht="15.75" thickBot="1" x14ac:dyDescent="0.3">
      <c r="A57" s="96" t="s">
        <v>177</v>
      </c>
      <c r="B57" s="84">
        <v>1</v>
      </c>
      <c r="C57" s="109">
        <v>150</v>
      </c>
      <c r="D57" s="109">
        <v>0.5</v>
      </c>
      <c r="E57" s="109">
        <v>0.5</v>
      </c>
      <c r="F57" s="109">
        <v>0.92</v>
      </c>
      <c r="G57" s="109">
        <f t="shared" si="2"/>
        <v>69</v>
      </c>
      <c r="H57" s="110">
        <f t="shared" si="3"/>
        <v>75</v>
      </c>
    </row>
    <row r="58" spans="1:8" ht="15.75" thickBot="1" x14ac:dyDescent="0.3">
      <c r="A58" s="96" t="s">
        <v>178</v>
      </c>
      <c r="B58" s="84">
        <v>2</v>
      </c>
      <c r="C58" s="109">
        <v>70</v>
      </c>
      <c r="D58" s="109">
        <v>0.75</v>
      </c>
      <c r="E58" s="109">
        <v>0.25</v>
      </c>
      <c r="F58" s="109">
        <v>0.92</v>
      </c>
      <c r="G58" s="109">
        <f t="shared" si="2"/>
        <v>96.600000000000009</v>
      </c>
      <c r="H58" s="110">
        <f t="shared" si="3"/>
        <v>35</v>
      </c>
    </row>
    <row r="59" spans="1:8" ht="15.75" thickBot="1" x14ac:dyDescent="0.3">
      <c r="A59" s="96" t="s">
        <v>179</v>
      </c>
      <c r="B59" s="84">
        <v>2</v>
      </c>
      <c r="C59" s="109">
        <v>70</v>
      </c>
      <c r="D59" s="109">
        <v>0.75</v>
      </c>
      <c r="E59" s="109">
        <v>0.25</v>
      </c>
      <c r="F59" s="109">
        <v>0.92</v>
      </c>
      <c r="G59" s="109">
        <f t="shared" si="2"/>
        <v>96.600000000000009</v>
      </c>
      <c r="H59" s="110">
        <f t="shared" si="3"/>
        <v>35</v>
      </c>
    </row>
    <row r="60" spans="1:8" ht="15.75" thickBot="1" x14ac:dyDescent="0.3">
      <c r="A60" s="96" t="s">
        <v>180</v>
      </c>
      <c r="B60" s="84">
        <v>2</v>
      </c>
      <c r="C60" s="109">
        <v>70</v>
      </c>
      <c r="D60" s="109">
        <v>0.75</v>
      </c>
      <c r="E60" s="109">
        <v>0.25</v>
      </c>
      <c r="F60" s="109">
        <v>0.92</v>
      </c>
      <c r="G60" s="109">
        <f t="shared" si="2"/>
        <v>96.600000000000009</v>
      </c>
      <c r="H60" s="110">
        <f t="shared" si="3"/>
        <v>35</v>
      </c>
    </row>
    <row r="61" spans="1:8" ht="15.75" thickBot="1" x14ac:dyDescent="0.3">
      <c r="A61" s="96" t="s">
        <v>181</v>
      </c>
      <c r="B61" s="84">
        <v>2</v>
      </c>
      <c r="C61" s="109">
        <v>100</v>
      </c>
      <c r="D61" s="109">
        <v>0.6</v>
      </c>
      <c r="E61" s="109">
        <v>0.4</v>
      </c>
      <c r="F61" s="109">
        <v>0.92</v>
      </c>
      <c r="G61" s="109">
        <f t="shared" si="2"/>
        <v>110.4</v>
      </c>
      <c r="H61" s="110">
        <f t="shared" si="3"/>
        <v>80</v>
      </c>
    </row>
    <row r="62" spans="1:8" ht="15.75" thickBot="1" x14ac:dyDescent="0.3">
      <c r="A62" s="96" t="s">
        <v>182</v>
      </c>
      <c r="B62" s="84">
        <v>2</v>
      </c>
      <c r="C62" s="109">
        <v>70</v>
      </c>
      <c r="D62" s="109">
        <v>0.75</v>
      </c>
      <c r="E62" s="109">
        <v>0.25</v>
      </c>
      <c r="F62" s="109">
        <v>0.92</v>
      </c>
      <c r="G62" s="109">
        <f t="shared" si="2"/>
        <v>96.600000000000009</v>
      </c>
      <c r="H62" s="110">
        <f t="shared" si="3"/>
        <v>35</v>
      </c>
    </row>
    <row r="63" spans="1:8" ht="15.75" thickBot="1" x14ac:dyDescent="0.3">
      <c r="A63" s="96" t="s">
        <v>142</v>
      </c>
      <c r="B63" s="84">
        <v>3</v>
      </c>
      <c r="C63" s="109">
        <v>100</v>
      </c>
      <c r="D63" s="109">
        <v>0.6</v>
      </c>
      <c r="E63" s="109">
        <v>0.4</v>
      </c>
      <c r="F63" s="109">
        <v>0.92</v>
      </c>
      <c r="G63" s="109">
        <f t="shared" si="2"/>
        <v>165.6</v>
      </c>
      <c r="H63" s="110">
        <f t="shared" si="3"/>
        <v>120</v>
      </c>
    </row>
    <row r="64" spans="1:8" ht="15.75" thickBot="1" x14ac:dyDescent="0.3">
      <c r="A64" s="96" t="s">
        <v>183</v>
      </c>
      <c r="B64" s="84">
        <v>3</v>
      </c>
      <c r="C64" s="109">
        <v>70</v>
      </c>
      <c r="D64" s="109">
        <v>0.75</v>
      </c>
      <c r="E64" s="109">
        <v>0.25</v>
      </c>
      <c r="F64" s="109">
        <v>0.92</v>
      </c>
      <c r="G64" s="109">
        <f t="shared" si="2"/>
        <v>144.9</v>
      </c>
      <c r="H64" s="110">
        <f t="shared" si="3"/>
        <v>52.5</v>
      </c>
    </row>
    <row r="65" spans="1:8" ht="15.75" thickBot="1" x14ac:dyDescent="0.3">
      <c r="A65" s="96" t="s">
        <v>185</v>
      </c>
      <c r="B65" s="84">
        <v>3</v>
      </c>
      <c r="C65" s="109">
        <v>70</v>
      </c>
      <c r="D65" s="109">
        <v>0.75</v>
      </c>
      <c r="E65" s="109">
        <v>0.25</v>
      </c>
      <c r="F65" s="109">
        <v>0.92</v>
      </c>
      <c r="G65" s="109">
        <f t="shared" si="2"/>
        <v>144.9</v>
      </c>
      <c r="H65" s="110">
        <f t="shared" si="3"/>
        <v>52.5</v>
      </c>
    </row>
    <row r="66" spans="1:8" ht="15.75" thickBot="1" x14ac:dyDescent="0.3">
      <c r="A66" s="96" t="s">
        <v>186</v>
      </c>
      <c r="B66" s="84">
        <v>2</v>
      </c>
      <c r="C66" s="109">
        <v>70</v>
      </c>
      <c r="D66" s="109">
        <v>0.75</v>
      </c>
      <c r="E66" s="109">
        <v>0.25</v>
      </c>
      <c r="F66" s="109">
        <v>0.92</v>
      </c>
      <c r="G66" s="109">
        <f t="shared" si="2"/>
        <v>96.600000000000009</v>
      </c>
      <c r="H66" s="110">
        <f t="shared" si="3"/>
        <v>35</v>
      </c>
    </row>
    <row r="67" spans="1:8" ht="15.75" thickBot="1" x14ac:dyDescent="0.3">
      <c r="A67" s="96" t="s">
        <v>141</v>
      </c>
      <c r="B67" s="84">
        <v>8</v>
      </c>
      <c r="C67" s="109">
        <v>175</v>
      </c>
      <c r="D67" s="109">
        <v>0.5</v>
      </c>
      <c r="E67" s="109">
        <v>0.5</v>
      </c>
      <c r="F67" s="109">
        <v>0.92</v>
      </c>
      <c r="G67" s="109">
        <f t="shared" si="2"/>
        <v>644</v>
      </c>
      <c r="H67" s="110">
        <f t="shared" si="3"/>
        <v>700</v>
      </c>
    </row>
    <row r="68" spans="1:8" ht="15.75" thickBot="1" x14ac:dyDescent="0.3">
      <c r="A68" s="96" t="s">
        <v>187</v>
      </c>
      <c r="B68" s="84">
        <v>3</v>
      </c>
      <c r="C68" s="109">
        <v>70</v>
      </c>
      <c r="D68" s="109">
        <v>0.75</v>
      </c>
      <c r="E68" s="109">
        <v>0.25</v>
      </c>
      <c r="F68" s="109">
        <v>0.92</v>
      </c>
      <c r="G68" s="109">
        <f t="shared" si="2"/>
        <v>144.9</v>
      </c>
      <c r="H68" s="110">
        <f t="shared" si="3"/>
        <v>52.5</v>
      </c>
    </row>
    <row r="69" spans="1:8" ht="15.75" thickBot="1" x14ac:dyDescent="0.3">
      <c r="A69" s="96" t="s">
        <v>188</v>
      </c>
      <c r="B69" s="84">
        <v>3</v>
      </c>
      <c r="C69" s="109">
        <v>70</v>
      </c>
      <c r="D69" s="109">
        <v>0.75</v>
      </c>
      <c r="E69" s="109">
        <v>0.25</v>
      </c>
      <c r="F69" s="109">
        <v>0.92</v>
      </c>
      <c r="G69" s="109">
        <f t="shared" si="2"/>
        <v>144.9</v>
      </c>
      <c r="H69" s="110">
        <f t="shared" si="3"/>
        <v>52.5</v>
      </c>
    </row>
    <row r="70" spans="1:8" ht="15.75" thickBot="1" x14ac:dyDescent="0.3">
      <c r="A70" s="96" t="s">
        <v>189</v>
      </c>
      <c r="B70" s="84">
        <v>2</v>
      </c>
      <c r="C70" s="109">
        <v>70</v>
      </c>
      <c r="D70" s="109">
        <v>0.75</v>
      </c>
      <c r="E70" s="109">
        <v>0.25</v>
      </c>
      <c r="F70" s="109">
        <v>0.92</v>
      </c>
      <c r="G70" s="109">
        <f t="shared" si="2"/>
        <v>96.600000000000009</v>
      </c>
      <c r="H70" s="110">
        <f t="shared" si="3"/>
        <v>35</v>
      </c>
    </row>
    <row r="71" spans="1:8" ht="15.75" thickBot="1" x14ac:dyDescent="0.3">
      <c r="A71" s="96" t="s">
        <v>190</v>
      </c>
      <c r="B71" s="84">
        <v>2</v>
      </c>
      <c r="C71" s="109">
        <v>70</v>
      </c>
      <c r="D71" s="109">
        <v>0.75</v>
      </c>
      <c r="E71" s="109">
        <v>0.25</v>
      </c>
      <c r="F71" s="109">
        <v>0.92</v>
      </c>
      <c r="G71" s="109">
        <f t="shared" si="2"/>
        <v>96.600000000000009</v>
      </c>
      <c r="H71" s="110">
        <f t="shared" si="3"/>
        <v>35</v>
      </c>
    </row>
    <row r="72" spans="1:8" ht="15.75" thickBot="1" x14ac:dyDescent="0.3">
      <c r="A72" s="96" t="s">
        <v>140</v>
      </c>
      <c r="B72" s="84">
        <v>5</v>
      </c>
      <c r="C72" s="109">
        <v>150</v>
      </c>
      <c r="D72" s="109">
        <v>0.55000000000000004</v>
      </c>
      <c r="E72" s="109">
        <v>0.45</v>
      </c>
      <c r="F72" s="109">
        <v>0.92</v>
      </c>
      <c r="G72" s="109">
        <f t="shared" si="2"/>
        <v>379.50000000000006</v>
      </c>
      <c r="H72" s="110">
        <f t="shared" si="3"/>
        <v>337.5</v>
      </c>
    </row>
    <row r="73" spans="1:8" ht="15.75" thickBot="1" x14ac:dyDescent="0.3">
      <c r="A73" s="96" t="s">
        <v>139</v>
      </c>
      <c r="B73" s="84">
        <v>8</v>
      </c>
      <c r="C73" s="109">
        <v>150</v>
      </c>
      <c r="D73" s="109">
        <v>0.5</v>
      </c>
      <c r="E73" s="109">
        <v>0.5</v>
      </c>
      <c r="F73" s="109">
        <v>0.92</v>
      </c>
      <c r="G73" s="109">
        <f t="shared" si="2"/>
        <v>552</v>
      </c>
      <c r="H73" s="110">
        <f t="shared" si="3"/>
        <v>600</v>
      </c>
    </row>
    <row r="74" spans="1:8" ht="15.75" thickBot="1" x14ac:dyDescent="0.3">
      <c r="A74" s="96" t="s">
        <v>191</v>
      </c>
      <c r="B74" s="84">
        <v>1</v>
      </c>
      <c r="C74" s="109">
        <v>150</v>
      </c>
      <c r="D74" s="109">
        <v>0.5</v>
      </c>
      <c r="E74" s="109">
        <v>0.5</v>
      </c>
      <c r="F74" s="109">
        <v>0.92</v>
      </c>
      <c r="G74" s="109">
        <f t="shared" si="2"/>
        <v>69</v>
      </c>
      <c r="H74" s="110">
        <f t="shared" si="3"/>
        <v>75</v>
      </c>
    </row>
    <row r="75" spans="1:8" ht="15.75" thickBot="1" x14ac:dyDescent="0.3">
      <c r="A75" s="96" t="s">
        <v>192</v>
      </c>
      <c r="B75" s="84">
        <v>6</v>
      </c>
      <c r="C75" s="109">
        <v>150</v>
      </c>
      <c r="D75" s="109">
        <v>0.5</v>
      </c>
      <c r="E75" s="109">
        <v>0.5</v>
      </c>
      <c r="F75" s="109">
        <v>0.92</v>
      </c>
      <c r="G75" s="109">
        <f t="shared" si="2"/>
        <v>414</v>
      </c>
      <c r="H75" s="110">
        <f t="shared" si="3"/>
        <v>450</v>
      </c>
    </row>
    <row r="76" spans="1:8" ht="15.75" thickBot="1" x14ac:dyDescent="0.3">
      <c r="A76" s="96" t="s">
        <v>193</v>
      </c>
      <c r="B76" s="84">
        <v>4</v>
      </c>
      <c r="C76" s="109">
        <v>70</v>
      </c>
      <c r="D76" s="109">
        <v>0.75</v>
      </c>
      <c r="E76" s="109">
        <v>0.25</v>
      </c>
      <c r="F76" s="109">
        <v>0.92</v>
      </c>
      <c r="G76" s="109">
        <f t="shared" si="2"/>
        <v>193.20000000000002</v>
      </c>
      <c r="H76" s="110">
        <f t="shared" si="3"/>
        <v>70</v>
      </c>
    </row>
    <row r="77" spans="1:8" ht="15.75" thickBot="1" x14ac:dyDescent="0.3">
      <c r="A77" s="96" t="s">
        <v>194</v>
      </c>
      <c r="B77" s="84">
        <v>4</v>
      </c>
      <c r="C77" s="109">
        <v>70</v>
      </c>
      <c r="D77" s="109">
        <v>0.75</v>
      </c>
      <c r="E77" s="109">
        <v>0.25</v>
      </c>
      <c r="F77" s="109">
        <v>0.92</v>
      </c>
      <c r="G77" s="109">
        <f t="shared" si="2"/>
        <v>193.20000000000002</v>
      </c>
      <c r="H77" s="110">
        <f t="shared" si="3"/>
        <v>70</v>
      </c>
    </row>
    <row r="78" spans="1:8" ht="15.75" thickBot="1" x14ac:dyDescent="0.3">
      <c r="A78" s="96" t="s">
        <v>195</v>
      </c>
      <c r="B78" s="84">
        <v>2</v>
      </c>
      <c r="C78" s="109">
        <v>100</v>
      </c>
      <c r="D78" s="109">
        <v>0.6</v>
      </c>
      <c r="E78" s="109">
        <v>0.4</v>
      </c>
      <c r="F78" s="109">
        <v>0.92</v>
      </c>
      <c r="G78" s="109">
        <f t="shared" si="2"/>
        <v>110.4</v>
      </c>
      <c r="H78" s="110">
        <f t="shared" si="3"/>
        <v>80</v>
      </c>
    </row>
    <row r="79" spans="1:8" ht="15.75" thickBot="1" x14ac:dyDescent="0.3">
      <c r="A79" s="96" t="s">
        <v>196</v>
      </c>
      <c r="B79" s="84">
        <v>4</v>
      </c>
      <c r="C79" s="109">
        <v>150</v>
      </c>
      <c r="D79" s="109">
        <v>0.5</v>
      </c>
      <c r="E79" s="109">
        <v>0.5</v>
      </c>
      <c r="F79" s="109">
        <v>0.92</v>
      </c>
      <c r="G79" s="109">
        <f t="shared" si="2"/>
        <v>276</v>
      </c>
      <c r="H79" s="110">
        <f t="shared" si="3"/>
        <v>300</v>
      </c>
    </row>
    <row r="80" spans="1:8" ht="15.75" thickBot="1" x14ac:dyDescent="0.3">
      <c r="A80" s="96" t="s">
        <v>197</v>
      </c>
      <c r="B80" s="84">
        <v>3</v>
      </c>
      <c r="C80" s="109">
        <v>100</v>
      </c>
      <c r="D80" s="109">
        <v>0.6</v>
      </c>
      <c r="E80" s="109">
        <v>0.4</v>
      </c>
      <c r="F80" s="109">
        <v>0.92</v>
      </c>
      <c r="G80" s="109">
        <f t="shared" si="2"/>
        <v>165.6</v>
      </c>
      <c r="H80" s="110">
        <f t="shared" si="3"/>
        <v>120</v>
      </c>
    </row>
    <row r="81" spans="1:9" ht="15.75" thickBot="1" x14ac:dyDescent="0.3">
      <c r="A81" s="96" t="s">
        <v>499</v>
      </c>
      <c r="B81" s="84">
        <v>5</v>
      </c>
      <c r="C81" s="109">
        <v>100</v>
      </c>
      <c r="D81" s="109">
        <v>0.6</v>
      </c>
      <c r="E81" s="109">
        <v>0.4</v>
      </c>
      <c r="F81" s="109">
        <v>0.92</v>
      </c>
      <c r="G81" s="109">
        <f t="shared" si="2"/>
        <v>276</v>
      </c>
      <c r="H81" s="110">
        <f t="shared" si="3"/>
        <v>200</v>
      </c>
    </row>
    <row r="82" spans="1:9" ht="15.75" thickBot="1" x14ac:dyDescent="0.3">
      <c r="A82" s="96" t="s">
        <v>200</v>
      </c>
      <c r="B82" s="84">
        <v>8</v>
      </c>
      <c r="C82" s="109">
        <v>150</v>
      </c>
      <c r="D82" s="109">
        <v>0.5</v>
      </c>
      <c r="E82" s="109">
        <v>0.5</v>
      </c>
      <c r="F82" s="109">
        <v>0.92</v>
      </c>
      <c r="G82" s="109">
        <f t="shared" si="2"/>
        <v>552</v>
      </c>
      <c r="H82" s="110">
        <f t="shared" si="3"/>
        <v>600</v>
      </c>
    </row>
    <row r="83" spans="1:9" ht="15.75" thickBot="1" x14ac:dyDescent="0.3">
      <c r="A83" s="96" t="s">
        <v>201</v>
      </c>
      <c r="B83" s="84">
        <v>1</v>
      </c>
      <c r="C83" s="109">
        <v>150</v>
      </c>
      <c r="D83" s="109">
        <v>0.5</v>
      </c>
      <c r="E83" s="109">
        <v>0.5</v>
      </c>
      <c r="F83" s="109">
        <v>0.92</v>
      </c>
      <c r="G83" s="109">
        <f t="shared" si="2"/>
        <v>69</v>
      </c>
      <c r="H83" s="110">
        <f t="shared" si="3"/>
        <v>75</v>
      </c>
    </row>
    <row r="84" spans="1:9" ht="15.75" thickBot="1" x14ac:dyDescent="0.3">
      <c r="A84" s="96" t="s">
        <v>202</v>
      </c>
      <c r="B84" s="84">
        <v>1</v>
      </c>
      <c r="C84" s="109">
        <v>150</v>
      </c>
      <c r="D84" s="109">
        <v>0.5</v>
      </c>
      <c r="E84" s="109">
        <v>0.5</v>
      </c>
      <c r="F84" s="109">
        <v>0.92</v>
      </c>
      <c r="G84" s="109">
        <f t="shared" si="2"/>
        <v>69</v>
      </c>
      <c r="H84" s="110">
        <f t="shared" si="3"/>
        <v>75</v>
      </c>
    </row>
    <row r="85" spans="1:9" ht="15.75" thickBot="1" x14ac:dyDescent="0.3">
      <c r="A85" s="96" t="s">
        <v>203</v>
      </c>
      <c r="B85" s="84">
        <v>3</v>
      </c>
      <c r="C85" s="109">
        <v>150</v>
      </c>
      <c r="D85" s="109">
        <v>0.5</v>
      </c>
      <c r="E85" s="109">
        <v>0.5</v>
      </c>
      <c r="F85" s="109">
        <v>0.92</v>
      </c>
      <c r="G85" s="109">
        <f t="shared" si="2"/>
        <v>207</v>
      </c>
      <c r="H85" s="110">
        <f t="shared" si="3"/>
        <v>225</v>
      </c>
    </row>
    <row r="86" spans="1:9" ht="15.75" thickBot="1" x14ac:dyDescent="0.3">
      <c r="A86" s="96" t="s">
        <v>228</v>
      </c>
      <c r="B86" s="84">
        <v>2</v>
      </c>
      <c r="C86" s="109">
        <v>100</v>
      </c>
      <c r="D86" s="109">
        <v>0.6</v>
      </c>
      <c r="E86" s="109">
        <v>0.4</v>
      </c>
      <c r="F86" s="109">
        <v>0.92</v>
      </c>
      <c r="G86" s="109">
        <f t="shared" si="2"/>
        <v>110.4</v>
      </c>
      <c r="H86" s="110">
        <f t="shared" si="3"/>
        <v>80</v>
      </c>
    </row>
    <row r="87" spans="1:9" ht="15.75" thickBot="1" x14ac:dyDescent="0.3">
      <c r="A87" s="96" t="s">
        <v>229</v>
      </c>
      <c r="B87" s="84">
        <v>4</v>
      </c>
      <c r="C87" s="109">
        <v>150</v>
      </c>
      <c r="D87" s="109">
        <v>0.55000000000000004</v>
      </c>
      <c r="E87" s="109">
        <v>0.45</v>
      </c>
      <c r="F87" s="109">
        <v>0.92</v>
      </c>
      <c r="G87" s="109">
        <f t="shared" si="2"/>
        <v>303.60000000000002</v>
      </c>
      <c r="H87" s="110">
        <f t="shared" si="3"/>
        <v>270</v>
      </c>
    </row>
    <row r="88" spans="1:9" ht="15.75" thickBot="1" x14ac:dyDescent="0.3">
      <c r="A88" s="96" t="s">
        <v>131</v>
      </c>
      <c r="B88" s="84">
        <v>3</v>
      </c>
      <c r="C88" s="109">
        <v>150</v>
      </c>
      <c r="D88" s="109">
        <v>0.5</v>
      </c>
      <c r="E88" s="109">
        <v>0.5</v>
      </c>
      <c r="F88" s="109">
        <v>0.92</v>
      </c>
      <c r="G88" s="109">
        <f t="shared" si="2"/>
        <v>207</v>
      </c>
      <c r="H88" s="110">
        <f t="shared" si="3"/>
        <v>225</v>
      </c>
    </row>
    <row r="89" spans="1:9" ht="15.75" thickBot="1" x14ac:dyDescent="0.3">
      <c r="A89" s="99" t="s">
        <v>129</v>
      </c>
      <c r="B89" s="84">
        <v>6</v>
      </c>
      <c r="C89" s="111">
        <v>70</v>
      </c>
      <c r="D89" s="111">
        <v>0.75</v>
      </c>
      <c r="E89" s="111">
        <v>0.25</v>
      </c>
      <c r="F89" s="111">
        <v>0.92</v>
      </c>
      <c r="G89" s="111">
        <f t="shared" si="2"/>
        <v>289.8</v>
      </c>
      <c r="H89" s="112">
        <f t="shared" si="3"/>
        <v>105</v>
      </c>
    </row>
    <row r="90" spans="1:9" ht="15.75" thickBot="1" x14ac:dyDescent="0.3">
      <c r="F90" s="131" t="s">
        <v>333</v>
      </c>
      <c r="G90" s="131">
        <f>SUM(Table21[Qs (W)])</f>
        <v>8765.2999999999993</v>
      </c>
      <c r="H90" s="131">
        <f>SUM(Table21[Ql (W)])</f>
        <v>6432.5</v>
      </c>
    </row>
    <row r="91" spans="1:9" ht="15.75" thickBot="1" x14ac:dyDescent="0.3">
      <c r="F91" s="177" t="s">
        <v>161</v>
      </c>
      <c r="G91" s="177"/>
      <c r="H91" s="131">
        <f>G90+H90</f>
        <v>15197.8</v>
      </c>
    </row>
    <row r="93" spans="1:9" ht="23.25" x14ac:dyDescent="0.35">
      <c r="A93" s="158" t="s">
        <v>59</v>
      </c>
      <c r="B93" s="158"/>
      <c r="C93" s="158"/>
      <c r="D93" s="158"/>
      <c r="E93" s="158"/>
      <c r="F93" s="158"/>
      <c r="G93" s="158"/>
      <c r="H93" s="158"/>
      <c r="I93" s="108"/>
    </row>
    <row r="94" spans="1:9" ht="15.75" thickBot="1" x14ac:dyDescent="0.3">
      <c r="A94" s="102" t="s">
        <v>19</v>
      </c>
      <c r="B94" s="103" t="s">
        <v>485</v>
      </c>
      <c r="C94" s="103" t="s">
        <v>500</v>
      </c>
      <c r="D94" s="103" t="s">
        <v>501</v>
      </c>
      <c r="E94" s="103" t="s">
        <v>502</v>
      </c>
      <c r="F94" s="103" t="s">
        <v>338</v>
      </c>
      <c r="G94" s="103" t="s">
        <v>23</v>
      </c>
      <c r="H94" s="104" t="s">
        <v>24</v>
      </c>
    </row>
    <row r="95" spans="1:9" ht="15.75" thickBot="1" x14ac:dyDescent="0.3">
      <c r="A95" s="96" t="s">
        <v>123</v>
      </c>
      <c r="B95" s="84">
        <v>5</v>
      </c>
      <c r="C95" s="109">
        <v>70</v>
      </c>
      <c r="D95" s="109">
        <v>0.75</v>
      </c>
      <c r="E95" s="109">
        <v>0.25</v>
      </c>
      <c r="F95" s="109">
        <v>0.92</v>
      </c>
      <c r="G95" s="109">
        <f>B95*C95*D95*F95</f>
        <v>241.5</v>
      </c>
      <c r="H95" s="110">
        <f>B95*C95*E95*F95</f>
        <v>80.5</v>
      </c>
    </row>
    <row r="96" spans="1:9" ht="15.75" thickBot="1" x14ac:dyDescent="0.3">
      <c r="A96" s="96" t="s">
        <v>169</v>
      </c>
      <c r="B96" s="84">
        <v>5</v>
      </c>
      <c r="C96" s="109">
        <v>70</v>
      </c>
      <c r="D96" s="109">
        <v>0.75</v>
      </c>
      <c r="E96" s="109">
        <v>0.25</v>
      </c>
      <c r="F96" s="109">
        <v>0.92</v>
      </c>
      <c r="G96" s="109">
        <f t="shared" ref="G96:G124" si="4">B96*C96*D96*F96</f>
        <v>241.5</v>
      </c>
      <c r="H96" s="110">
        <f t="shared" ref="H96:H124" si="5">B96*C96*E96*F96</f>
        <v>80.5</v>
      </c>
    </row>
    <row r="97" spans="1:8" ht="15.75" thickBot="1" x14ac:dyDescent="0.3">
      <c r="A97" s="96" t="s">
        <v>124</v>
      </c>
      <c r="B97" s="84">
        <v>5</v>
      </c>
      <c r="C97" s="109">
        <v>70</v>
      </c>
      <c r="D97" s="109">
        <v>0.75</v>
      </c>
      <c r="E97" s="109">
        <v>0.25</v>
      </c>
      <c r="F97" s="109">
        <v>0.92</v>
      </c>
      <c r="G97" s="109">
        <f t="shared" si="4"/>
        <v>241.5</v>
      </c>
      <c r="H97" s="110">
        <f t="shared" si="5"/>
        <v>80.5</v>
      </c>
    </row>
    <row r="98" spans="1:8" ht="15.75" thickBot="1" x14ac:dyDescent="0.3">
      <c r="A98" s="96" t="s">
        <v>125</v>
      </c>
      <c r="B98" s="84">
        <v>5</v>
      </c>
      <c r="C98" s="109">
        <v>70</v>
      </c>
      <c r="D98" s="109">
        <v>0.75</v>
      </c>
      <c r="E98" s="109">
        <v>0.25</v>
      </c>
      <c r="F98" s="109">
        <v>0.92</v>
      </c>
      <c r="G98" s="109">
        <f t="shared" si="4"/>
        <v>241.5</v>
      </c>
      <c r="H98" s="110">
        <f t="shared" si="5"/>
        <v>80.5</v>
      </c>
    </row>
    <row r="99" spans="1:8" ht="15.75" thickBot="1" x14ac:dyDescent="0.3">
      <c r="A99" s="96" t="s">
        <v>170</v>
      </c>
      <c r="B99" s="84">
        <v>2</v>
      </c>
      <c r="C99" s="109">
        <v>70</v>
      </c>
      <c r="D99" s="109">
        <v>0.75</v>
      </c>
      <c r="E99" s="109">
        <v>0.25</v>
      </c>
      <c r="F99" s="109">
        <v>0.92</v>
      </c>
      <c r="G99" s="109">
        <f t="shared" si="4"/>
        <v>96.600000000000009</v>
      </c>
      <c r="H99" s="110">
        <f t="shared" si="5"/>
        <v>32.200000000000003</v>
      </c>
    </row>
    <row r="100" spans="1:8" ht="15.75" thickBot="1" x14ac:dyDescent="0.3">
      <c r="A100" s="96" t="s">
        <v>171</v>
      </c>
      <c r="B100" s="84">
        <v>1</v>
      </c>
      <c r="C100" s="109">
        <v>70</v>
      </c>
      <c r="D100" s="109">
        <v>0.75</v>
      </c>
      <c r="E100" s="109">
        <v>0.25</v>
      </c>
      <c r="F100" s="109">
        <v>0.92</v>
      </c>
      <c r="G100" s="109">
        <f t="shared" si="4"/>
        <v>48.300000000000004</v>
      </c>
      <c r="H100" s="110">
        <f t="shared" si="5"/>
        <v>16.100000000000001</v>
      </c>
    </row>
    <row r="101" spans="1:8" ht="15.75" thickBot="1" x14ac:dyDescent="0.3">
      <c r="A101" s="96" t="s">
        <v>172</v>
      </c>
      <c r="B101" s="84">
        <v>2</v>
      </c>
      <c r="C101" s="109">
        <v>70</v>
      </c>
      <c r="D101" s="109">
        <v>0.75</v>
      </c>
      <c r="E101" s="109">
        <v>0.25</v>
      </c>
      <c r="F101" s="109">
        <v>0.92</v>
      </c>
      <c r="G101" s="109">
        <f t="shared" si="4"/>
        <v>96.600000000000009</v>
      </c>
      <c r="H101" s="110">
        <f t="shared" si="5"/>
        <v>32.200000000000003</v>
      </c>
    </row>
    <row r="102" spans="1:8" ht="15.75" thickBot="1" x14ac:dyDescent="0.3">
      <c r="A102" s="96" t="s">
        <v>173</v>
      </c>
      <c r="B102" s="84">
        <v>7</v>
      </c>
      <c r="C102" s="109">
        <v>150</v>
      </c>
      <c r="D102" s="109">
        <v>0.55000000000000004</v>
      </c>
      <c r="E102" s="109">
        <v>0.45</v>
      </c>
      <c r="F102" s="109">
        <v>0.92</v>
      </c>
      <c r="G102" s="109">
        <f t="shared" si="4"/>
        <v>531.30000000000007</v>
      </c>
      <c r="H102" s="110">
        <f t="shared" si="5"/>
        <v>434.70000000000005</v>
      </c>
    </row>
    <row r="103" spans="1:8" ht="15.75" thickBot="1" x14ac:dyDescent="0.3">
      <c r="A103" s="96" t="s">
        <v>174</v>
      </c>
      <c r="B103" s="84">
        <v>2</v>
      </c>
      <c r="C103" s="109">
        <v>100</v>
      </c>
      <c r="D103" s="109">
        <v>0.6</v>
      </c>
      <c r="E103" s="109">
        <v>0.4</v>
      </c>
      <c r="F103" s="109">
        <v>0.92</v>
      </c>
      <c r="G103" s="109">
        <f t="shared" si="4"/>
        <v>110.4</v>
      </c>
      <c r="H103" s="110">
        <f t="shared" si="5"/>
        <v>73.600000000000009</v>
      </c>
    </row>
    <row r="104" spans="1:8" ht="15.75" thickBot="1" x14ac:dyDescent="0.3">
      <c r="A104" s="96" t="s">
        <v>178</v>
      </c>
      <c r="B104" s="84">
        <v>2</v>
      </c>
      <c r="C104" s="109">
        <v>70</v>
      </c>
      <c r="D104" s="109">
        <v>0.75</v>
      </c>
      <c r="E104" s="109">
        <v>0.25</v>
      </c>
      <c r="F104" s="109">
        <v>0.92</v>
      </c>
      <c r="G104" s="109">
        <f t="shared" si="4"/>
        <v>96.600000000000009</v>
      </c>
      <c r="H104" s="110">
        <f t="shared" si="5"/>
        <v>32.200000000000003</v>
      </c>
    </row>
    <row r="105" spans="1:8" ht="15.75" thickBot="1" x14ac:dyDescent="0.3">
      <c r="A105" s="96" t="s">
        <v>179</v>
      </c>
      <c r="B105" s="84">
        <v>2</v>
      </c>
      <c r="C105" s="109">
        <v>70</v>
      </c>
      <c r="D105" s="109">
        <v>0.75</v>
      </c>
      <c r="E105" s="109">
        <v>0.25</v>
      </c>
      <c r="F105" s="109">
        <v>0.92</v>
      </c>
      <c r="G105" s="109">
        <f t="shared" si="4"/>
        <v>96.600000000000009</v>
      </c>
      <c r="H105" s="110">
        <f t="shared" si="5"/>
        <v>32.200000000000003</v>
      </c>
    </row>
    <row r="106" spans="1:8" ht="15.75" thickBot="1" x14ac:dyDescent="0.3">
      <c r="A106" s="96" t="s">
        <v>180</v>
      </c>
      <c r="B106" s="84">
        <v>1</v>
      </c>
      <c r="C106" s="109">
        <v>70</v>
      </c>
      <c r="D106" s="109">
        <v>0.75</v>
      </c>
      <c r="E106" s="109">
        <v>0.25</v>
      </c>
      <c r="F106" s="109">
        <v>0.92</v>
      </c>
      <c r="G106" s="109">
        <f t="shared" si="4"/>
        <v>48.300000000000004</v>
      </c>
      <c r="H106" s="110">
        <f t="shared" si="5"/>
        <v>16.100000000000001</v>
      </c>
    </row>
    <row r="107" spans="1:8" ht="15.75" thickBot="1" x14ac:dyDescent="0.3">
      <c r="A107" s="96" t="s">
        <v>182</v>
      </c>
      <c r="B107" s="84">
        <v>2</v>
      </c>
      <c r="C107" s="109">
        <v>70</v>
      </c>
      <c r="D107" s="109">
        <v>0.75</v>
      </c>
      <c r="E107" s="109">
        <v>0.25</v>
      </c>
      <c r="F107" s="109">
        <v>0.92</v>
      </c>
      <c r="G107" s="109">
        <f t="shared" si="4"/>
        <v>96.600000000000009</v>
      </c>
      <c r="H107" s="110">
        <f t="shared" si="5"/>
        <v>32.200000000000003</v>
      </c>
    </row>
    <row r="108" spans="1:8" ht="15.75" thickBot="1" x14ac:dyDescent="0.3">
      <c r="A108" s="96" t="s">
        <v>186</v>
      </c>
      <c r="B108" s="84">
        <v>2</v>
      </c>
      <c r="C108" s="109">
        <v>70</v>
      </c>
      <c r="D108" s="109">
        <v>0.75</v>
      </c>
      <c r="E108" s="109">
        <v>0.25</v>
      </c>
      <c r="F108" s="109">
        <v>0.92</v>
      </c>
      <c r="G108" s="109">
        <f t="shared" si="4"/>
        <v>96.600000000000009</v>
      </c>
      <c r="H108" s="110">
        <f t="shared" si="5"/>
        <v>32.200000000000003</v>
      </c>
    </row>
    <row r="109" spans="1:8" ht="15.75" thickBot="1" x14ac:dyDescent="0.3">
      <c r="A109" s="96" t="s">
        <v>183</v>
      </c>
      <c r="B109" s="84">
        <v>3</v>
      </c>
      <c r="C109" s="109">
        <v>70</v>
      </c>
      <c r="D109" s="109">
        <v>0.75</v>
      </c>
      <c r="E109" s="109">
        <v>0.25</v>
      </c>
      <c r="F109" s="109">
        <v>0.92</v>
      </c>
      <c r="G109" s="109">
        <f t="shared" si="4"/>
        <v>144.9</v>
      </c>
      <c r="H109" s="110">
        <f t="shared" si="5"/>
        <v>48.300000000000004</v>
      </c>
    </row>
    <row r="110" spans="1:8" ht="15.75" thickBot="1" x14ac:dyDescent="0.3">
      <c r="A110" s="96" t="s">
        <v>185</v>
      </c>
      <c r="B110" s="84">
        <v>3</v>
      </c>
      <c r="C110" s="109">
        <v>70</v>
      </c>
      <c r="D110" s="109">
        <v>0.75</v>
      </c>
      <c r="E110" s="109">
        <v>0.25</v>
      </c>
      <c r="F110" s="109">
        <v>0.92</v>
      </c>
      <c r="G110" s="109">
        <f t="shared" si="4"/>
        <v>144.9</v>
      </c>
      <c r="H110" s="110">
        <f t="shared" si="5"/>
        <v>48.300000000000004</v>
      </c>
    </row>
    <row r="111" spans="1:8" ht="15.75" thickBot="1" x14ac:dyDescent="0.3">
      <c r="A111" s="96" t="s">
        <v>189</v>
      </c>
      <c r="B111" s="84">
        <v>2</v>
      </c>
      <c r="C111" s="109">
        <v>70</v>
      </c>
      <c r="D111" s="109">
        <v>0.75</v>
      </c>
      <c r="E111" s="109">
        <v>0.25</v>
      </c>
      <c r="F111" s="109">
        <v>0.92</v>
      </c>
      <c r="G111" s="109">
        <f t="shared" si="4"/>
        <v>96.600000000000009</v>
      </c>
      <c r="H111" s="110">
        <f t="shared" si="5"/>
        <v>32.200000000000003</v>
      </c>
    </row>
    <row r="112" spans="1:8" ht="15.75" thickBot="1" x14ac:dyDescent="0.3">
      <c r="A112" s="96" t="s">
        <v>190</v>
      </c>
      <c r="B112" s="84">
        <v>2</v>
      </c>
      <c r="C112" s="109">
        <v>70</v>
      </c>
      <c r="D112" s="109">
        <v>0.75</v>
      </c>
      <c r="E112" s="109">
        <v>0.25</v>
      </c>
      <c r="F112" s="109">
        <v>0.92</v>
      </c>
      <c r="G112" s="109">
        <f t="shared" si="4"/>
        <v>96.600000000000009</v>
      </c>
      <c r="H112" s="110">
        <f t="shared" si="5"/>
        <v>32.200000000000003</v>
      </c>
    </row>
    <row r="113" spans="1:8" ht="15.75" thickBot="1" x14ac:dyDescent="0.3">
      <c r="A113" s="96" t="s">
        <v>304</v>
      </c>
      <c r="B113" s="84">
        <v>2</v>
      </c>
      <c r="C113" s="109">
        <v>70</v>
      </c>
      <c r="D113" s="109">
        <v>0.75</v>
      </c>
      <c r="E113" s="109">
        <v>0.25</v>
      </c>
      <c r="F113" s="109">
        <v>0.92</v>
      </c>
      <c r="G113" s="109">
        <f t="shared" si="4"/>
        <v>96.600000000000009</v>
      </c>
      <c r="H113" s="110">
        <f t="shared" si="5"/>
        <v>32.200000000000003</v>
      </c>
    </row>
    <row r="114" spans="1:8" ht="15.75" thickBot="1" x14ac:dyDescent="0.3">
      <c r="A114" s="96" t="s">
        <v>305</v>
      </c>
      <c r="B114" s="84">
        <v>2</v>
      </c>
      <c r="C114" s="109">
        <v>70</v>
      </c>
      <c r="D114" s="109">
        <v>0.75</v>
      </c>
      <c r="E114" s="109">
        <v>0.25</v>
      </c>
      <c r="F114" s="109">
        <v>0.92</v>
      </c>
      <c r="G114" s="109">
        <f t="shared" si="4"/>
        <v>96.600000000000009</v>
      </c>
      <c r="H114" s="110">
        <f t="shared" si="5"/>
        <v>32.200000000000003</v>
      </c>
    </row>
    <row r="115" spans="1:8" ht="15.75" thickBot="1" x14ac:dyDescent="0.3">
      <c r="A115" s="96" t="s">
        <v>306</v>
      </c>
      <c r="B115" s="84">
        <v>2</v>
      </c>
      <c r="C115" s="109">
        <v>70</v>
      </c>
      <c r="D115" s="109">
        <v>0.75</v>
      </c>
      <c r="E115" s="109">
        <v>0.25</v>
      </c>
      <c r="F115" s="109">
        <v>0.92</v>
      </c>
      <c r="G115" s="109">
        <f t="shared" si="4"/>
        <v>96.600000000000009</v>
      </c>
      <c r="H115" s="110">
        <f t="shared" si="5"/>
        <v>32.200000000000003</v>
      </c>
    </row>
    <row r="116" spans="1:8" ht="15.75" thickBot="1" x14ac:dyDescent="0.3">
      <c r="A116" s="96" t="s">
        <v>307</v>
      </c>
      <c r="B116" s="84">
        <v>2</v>
      </c>
      <c r="C116" s="109">
        <v>70</v>
      </c>
      <c r="D116" s="109">
        <v>0.75</v>
      </c>
      <c r="E116" s="109">
        <v>0.25</v>
      </c>
      <c r="F116" s="109">
        <v>0.92</v>
      </c>
      <c r="G116" s="109">
        <f t="shared" si="4"/>
        <v>96.600000000000009</v>
      </c>
      <c r="H116" s="110">
        <f t="shared" si="5"/>
        <v>32.200000000000003</v>
      </c>
    </row>
    <row r="117" spans="1:8" ht="15.75" thickBot="1" x14ac:dyDescent="0.3">
      <c r="A117" s="96" t="s">
        <v>309</v>
      </c>
      <c r="B117" s="84">
        <v>2</v>
      </c>
      <c r="C117" s="109">
        <v>70</v>
      </c>
      <c r="D117" s="109">
        <v>0.75</v>
      </c>
      <c r="E117" s="109">
        <v>0.25</v>
      </c>
      <c r="F117" s="109">
        <v>0.92</v>
      </c>
      <c r="G117" s="109">
        <f t="shared" si="4"/>
        <v>96.600000000000009</v>
      </c>
      <c r="H117" s="110">
        <f t="shared" si="5"/>
        <v>32.200000000000003</v>
      </c>
    </row>
    <row r="118" spans="1:8" ht="15.75" thickBot="1" x14ac:dyDescent="0.3">
      <c r="A118" s="96" t="s">
        <v>310</v>
      </c>
      <c r="B118" s="84">
        <v>2</v>
      </c>
      <c r="C118" s="109">
        <v>70</v>
      </c>
      <c r="D118" s="109">
        <v>0.75</v>
      </c>
      <c r="E118" s="109">
        <v>0.25</v>
      </c>
      <c r="F118" s="109">
        <v>0.92</v>
      </c>
      <c r="G118" s="109">
        <f t="shared" si="4"/>
        <v>96.600000000000009</v>
      </c>
      <c r="H118" s="110">
        <f t="shared" si="5"/>
        <v>32.200000000000003</v>
      </c>
    </row>
    <row r="119" spans="1:8" ht="15.75" thickBot="1" x14ac:dyDescent="0.3">
      <c r="A119" s="96" t="s">
        <v>311</v>
      </c>
      <c r="B119" s="84">
        <v>2</v>
      </c>
      <c r="C119" s="109">
        <v>70</v>
      </c>
      <c r="D119" s="109">
        <v>0.75</v>
      </c>
      <c r="E119" s="109">
        <v>0.25</v>
      </c>
      <c r="F119" s="109">
        <v>0.92</v>
      </c>
      <c r="G119" s="109">
        <f t="shared" si="4"/>
        <v>96.600000000000009</v>
      </c>
      <c r="H119" s="110">
        <f t="shared" si="5"/>
        <v>32.200000000000003</v>
      </c>
    </row>
    <row r="120" spans="1:8" ht="15.75" thickBot="1" x14ac:dyDescent="0.3">
      <c r="A120" s="96" t="s">
        <v>314</v>
      </c>
      <c r="B120" s="84">
        <v>2</v>
      </c>
      <c r="C120" s="109">
        <v>70</v>
      </c>
      <c r="D120" s="109">
        <v>0.75</v>
      </c>
      <c r="E120" s="109">
        <v>0.25</v>
      </c>
      <c r="F120" s="109">
        <v>0.92</v>
      </c>
      <c r="G120" s="109">
        <f t="shared" si="4"/>
        <v>96.600000000000009</v>
      </c>
      <c r="H120" s="110">
        <f t="shared" si="5"/>
        <v>32.200000000000003</v>
      </c>
    </row>
    <row r="121" spans="1:8" ht="15.75" thickBot="1" x14ac:dyDescent="0.3">
      <c r="A121" s="96" t="s">
        <v>72</v>
      </c>
      <c r="B121" s="84">
        <v>2</v>
      </c>
      <c r="C121" s="109">
        <v>150</v>
      </c>
      <c r="D121" s="109">
        <v>0.55000000000000004</v>
      </c>
      <c r="E121" s="109">
        <v>0.45</v>
      </c>
      <c r="F121" s="109">
        <v>0.92</v>
      </c>
      <c r="G121" s="109">
        <f t="shared" si="4"/>
        <v>151.80000000000001</v>
      </c>
      <c r="H121" s="110">
        <f t="shared" si="5"/>
        <v>124.2</v>
      </c>
    </row>
    <row r="122" spans="1:8" ht="15.75" thickBot="1" x14ac:dyDescent="0.3">
      <c r="A122" s="96" t="s">
        <v>75</v>
      </c>
      <c r="B122" s="84">
        <v>2</v>
      </c>
      <c r="C122" s="109">
        <v>150</v>
      </c>
      <c r="D122" s="109">
        <v>0.55000000000000004</v>
      </c>
      <c r="E122" s="109">
        <v>0.45</v>
      </c>
      <c r="F122" s="109">
        <v>0.92</v>
      </c>
      <c r="G122" s="109">
        <f t="shared" si="4"/>
        <v>151.80000000000001</v>
      </c>
      <c r="H122" s="110">
        <f t="shared" si="5"/>
        <v>124.2</v>
      </c>
    </row>
    <row r="123" spans="1:8" ht="15.75" thickBot="1" x14ac:dyDescent="0.3">
      <c r="A123" s="96" t="s">
        <v>76</v>
      </c>
      <c r="B123" s="84">
        <v>2</v>
      </c>
      <c r="C123" s="109">
        <v>150</v>
      </c>
      <c r="D123" s="109">
        <v>0.55000000000000004</v>
      </c>
      <c r="E123" s="109">
        <v>0.45</v>
      </c>
      <c r="F123" s="109">
        <v>0.92</v>
      </c>
      <c r="G123" s="109">
        <f t="shared" si="4"/>
        <v>151.80000000000001</v>
      </c>
      <c r="H123" s="110">
        <f t="shared" si="5"/>
        <v>124.2</v>
      </c>
    </row>
    <row r="124" spans="1:8" ht="15.75" thickBot="1" x14ac:dyDescent="0.3">
      <c r="A124" s="99" t="s">
        <v>317</v>
      </c>
      <c r="B124" s="84">
        <v>6</v>
      </c>
      <c r="C124" s="111">
        <v>100</v>
      </c>
      <c r="D124" s="111">
        <v>0.6</v>
      </c>
      <c r="E124" s="111">
        <v>0.4</v>
      </c>
      <c r="F124" s="111">
        <v>0.92</v>
      </c>
      <c r="G124" s="111">
        <f t="shared" si="4"/>
        <v>331.2</v>
      </c>
      <c r="H124" s="112">
        <f t="shared" si="5"/>
        <v>220.8</v>
      </c>
    </row>
    <row r="125" spans="1:8" ht="15.75" thickBot="1" x14ac:dyDescent="0.3">
      <c r="F125" s="131" t="s">
        <v>333</v>
      </c>
      <c r="G125" s="131">
        <f>SUM(Table20[Qs (W)])</f>
        <v>4326.2999999999993</v>
      </c>
      <c r="H125" s="131">
        <f>SUM(Table20[Ql (W)])</f>
        <v>2067.7000000000007</v>
      </c>
    </row>
    <row r="126" spans="1:8" ht="15.75" thickBot="1" x14ac:dyDescent="0.3">
      <c r="F126" s="177" t="s">
        <v>534</v>
      </c>
      <c r="G126" s="177"/>
      <c r="H126" s="131">
        <f>G125+H125</f>
        <v>6394</v>
      </c>
    </row>
  </sheetData>
  <mergeCells count="16">
    <mergeCell ref="F126:G126"/>
    <mergeCell ref="N3:S3"/>
    <mergeCell ref="N4:P4"/>
    <mergeCell ref="N5:P5"/>
    <mergeCell ref="N6:P6"/>
    <mergeCell ref="N7:P7"/>
    <mergeCell ref="N8:P9"/>
    <mergeCell ref="Q8:Q9"/>
    <mergeCell ref="R8:R9"/>
    <mergeCell ref="S8:S9"/>
    <mergeCell ref="A93:H93"/>
    <mergeCell ref="A1:H1"/>
    <mergeCell ref="A2:H2"/>
    <mergeCell ref="A44:H44"/>
    <mergeCell ref="F42:G42"/>
    <mergeCell ref="F91:G91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1"/>
  <sheetViews>
    <sheetView zoomScale="85" zoomScaleNormal="85" workbookViewId="0">
      <selection activeCell="K3" sqref="K3:P9"/>
    </sheetView>
  </sheetViews>
  <sheetFormatPr defaultRowHeight="15" x14ac:dyDescent="0.25"/>
  <cols>
    <col min="1" max="1" width="38.5703125" customWidth="1"/>
    <col min="2" max="2" width="35.42578125" customWidth="1"/>
    <col min="8" max="8" width="9.140625" hidden="1" customWidth="1"/>
  </cols>
  <sheetData>
    <row r="1" spans="1:16" ht="23.25" x14ac:dyDescent="0.25">
      <c r="A1" s="159" t="s">
        <v>535</v>
      </c>
      <c r="B1" s="159"/>
      <c r="C1" s="159"/>
      <c r="D1" s="159"/>
      <c r="E1" s="159"/>
      <c r="F1" s="159"/>
      <c r="G1" s="159"/>
      <c r="H1" s="132"/>
      <c r="I1" s="113"/>
    </row>
    <row r="2" spans="1:16" ht="24" thickBot="1" x14ac:dyDescent="0.4">
      <c r="A2" s="178" t="s">
        <v>160</v>
      </c>
      <c r="B2" s="178"/>
      <c r="C2" s="178"/>
      <c r="D2" s="178"/>
      <c r="E2" s="178"/>
      <c r="F2" s="178"/>
      <c r="G2" s="178"/>
      <c r="H2" s="105"/>
      <c r="I2" s="105"/>
    </row>
    <row r="3" spans="1:16" ht="15.75" thickBot="1" x14ac:dyDescent="0.3">
      <c r="A3" s="16" t="s">
        <v>546</v>
      </c>
      <c r="B3" s="17" t="s">
        <v>545</v>
      </c>
      <c r="C3" s="17" t="s">
        <v>2</v>
      </c>
      <c r="D3" s="17" t="s">
        <v>53</v>
      </c>
      <c r="E3" s="17" t="s">
        <v>7</v>
      </c>
      <c r="F3" s="17" t="s">
        <v>12</v>
      </c>
      <c r="G3" s="18" t="s">
        <v>23</v>
      </c>
      <c r="H3" s="87"/>
      <c r="K3" s="160" t="s">
        <v>539</v>
      </c>
      <c r="L3" s="160"/>
      <c r="M3" s="160"/>
      <c r="N3" s="160"/>
      <c r="O3" s="160"/>
      <c r="P3" s="160"/>
    </row>
    <row r="4" spans="1:16" ht="15.75" thickBot="1" x14ac:dyDescent="0.3">
      <c r="A4" s="83" t="s">
        <v>54</v>
      </c>
      <c r="B4" s="63" t="s">
        <v>64</v>
      </c>
      <c r="C4" s="63">
        <v>2.3576000000000001</v>
      </c>
      <c r="D4" s="63">
        <f>References!AW4*2</f>
        <v>1.8</v>
      </c>
      <c r="E4" s="63">
        <v>22.5</v>
      </c>
      <c r="F4" s="63">
        <v>28</v>
      </c>
      <c r="G4" s="64">
        <f t="shared" ref="G4:G35" si="0">C4*D4*(F4-E4)</f>
        <v>23.340240000000001</v>
      </c>
      <c r="H4" s="87"/>
      <c r="K4" s="161"/>
      <c r="L4" s="161"/>
      <c r="M4" s="161"/>
      <c r="N4" s="161" t="s">
        <v>430</v>
      </c>
      <c r="O4" s="161"/>
      <c r="P4" s="161"/>
    </row>
    <row r="5" spans="1:16" ht="15.75" thickBot="1" x14ac:dyDescent="0.3">
      <c r="A5" s="83" t="s">
        <v>431</v>
      </c>
      <c r="B5" s="63" t="s">
        <v>432</v>
      </c>
      <c r="C5" s="63">
        <v>1.5625</v>
      </c>
      <c r="D5" s="63">
        <f>References!AW5*2</f>
        <v>1.8</v>
      </c>
      <c r="E5" s="63">
        <v>22.5</v>
      </c>
      <c r="F5" s="63">
        <v>24</v>
      </c>
      <c r="G5" s="64">
        <f t="shared" si="0"/>
        <v>4.21875</v>
      </c>
      <c r="H5" s="114"/>
      <c r="K5" s="162" t="s">
        <v>160</v>
      </c>
      <c r="L5" s="162"/>
      <c r="M5" s="162"/>
      <c r="N5" s="162">
        <f>G63</f>
        <v>1135.1917399999998</v>
      </c>
      <c r="O5" s="162"/>
      <c r="P5" s="162"/>
    </row>
    <row r="6" spans="1:16" ht="15.75" thickBot="1" x14ac:dyDescent="0.3">
      <c r="A6" s="83" t="s">
        <v>433</v>
      </c>
      <c r="B6" s="63" t="s">
        <v>64</v>
      </c>
      <c r="C6" s="63">
        <v>2.3576000000000001</v>
      </c>
      <c r="D6" s="63">
        <f>References!AW6*2</f>
        <v>1.8</v>
      </c>
      <c r="E6" s="63">
        <v>22.5</v>
      </c>
      <c r="F6" s="63">
        <v>28</v>
      </c>
      <c r="G6" s="64">
        <f t="shared" si="0"/>
        <v>23.340240000000001</v>
      </c>
      <c r="H6" s="87"/>
      <c r="K6" s="162" t="s">
        <v>41</v>
      </c>
      <c r="L6" s="162"/>
      <c r="M6" s="162"/>
      <c r="N6" s="162">
        <f>G137</f>
        <v>1229.8197599999994</v>
      </c>
      <c r="O6" s="162"/>
      <c r="P6" s="162"/>
    </row>
    <row r="7" spans="1:16" ht="15.75" thickBot="1" x14ac:dyDescent="0.3">
      <c r="A7" s="83"/>
      <c r="B7" s="63" t="s">
        <v>434</v>
      </c>
      <c r="C7" s="63">
        <v>1.6048</v>
      </c>
      <c r="D7" s="63">
        <f>References!AW7*2</f>
        <v>1.6</v>
      </c>
      <c r="E7" s="63">
        <v>22.5</v>
      </c>
      <c r="F7" s="63">
        <v>24</v>
      </c>
      <c r="G7" s="64">
        <f t="shared" si="0"/>
        <v>3.8515200000000003</v>
      </c>
      <c r="H7" s="87"/>
      <c r="K7" s="162" t="s">
        <v>59</v>
      </c>
      <c r="L7" s="162"/>
      <c r="M7" s="162"/>
      <c r="N7" s="162">
        <f>G201</f>
        <v>1068.55</v>
      </c>
      <c r="O7" s="162"/>
      <c r="P7" s="162"/>
    </row>
    <row r="8" spans="1:16" ht="15.75" thickBot="1" x14ac:dyDescent="0.3">
      <c r="A8" s="83" t="s">
        <v>57</v>
      </c>
      <c r="B8" s="63" t="s">
        <v>525</v>
      </c>
      <c r="C8" s="63">
        <v>2.3576000000000001</v>
      </c>
      <c r="D8" s="63">
        <f>References!AW8*2</f>
        <v>1.8</v>
      </c>
      <c r="E8" s="63">
        <v>24</v>
      </c>
      <c r="F8" s="63">
        <v>28</v>
      </c>
      <c r="G8" s="64">
        <f t="shared" si="0"/>
        <v>16.974720000000001</v>
      </c>
      <c r="H8" s="87"/>
      <c r="K8" s="163" t="s">
        <v>540</v>
      </c>
      <c r="L8" s="163"/>
      <c r="M8" s="163"/>
      <c r="N8" s="151">
        <f>N5+N6+N7</f>
        <v>3433.5614999999989</v>
      </c>
      <c r="O8" s="152"/>
      <c r="P8" s="153"/>
    </row>
    <row r="9" spans="1:16" ht="15.75" thickBot="1" x14ac:dyDescent="0.3">
      <c r="A9" s="83" t="s">
        <v>58</v>
      </c>
      <c r="B9" s="63" t="s">
        <v>64</v>
      </c>
      <c r="C9" s="63">
        <v>2.3576000000000001</v>
      </c>
      <c r="D9" s="63">
        <f>References!AW9*2</f>
        <v>1.8</v>
      </c>
      <c r="E9" s="63">
        <v>24</v>
      </c>
      <c r="F9" s="63">
        <v>28</v>
      </c>
      <c r="G9" s="64">
        <f t="shared" si="0"/>
        <v>16.974720000000001</v>
      </c>
      <c r="H9" s="87"/>
      <c r="K9" s="163"/>
      <c r="L9" s="163"/>
      <c r="M9" s="163"/>
      <c r="N9" s="154"/>
      <c r="O9" s="155"/>
      <c r="P9" s="156"/>
    </row>
    <row r="10" spans="1:16" ht="15.75" thickBot="1" x14ac:dyDescent="0.3">
      <c r="A10" s="83" t="s">
        <v>105</v>
      </c>
      <c r="B10" s="63" t="s">
        <v>526</v>
      </c>
      <c r="C10" s="63">
        <v>2.3576000000000001</v>
      </c>
      <c r="D10" s="63">
        <f>References!AW10*2</f>
        <v>1.8</v>
      </c>
      <c r="E10" s="63">
        <v>22.5</v>
      </c>
      <c r="F10" s="63">
        <v>24</v>
      </c>
      <c r="G10" s="64">
        <f t="shared" si="0"/>
        <v>6.3655200000000001</v>
      </c>
      <c r="H10" s="114"/>
    </row>
    <row r="11" spans="1:16" ht="15.75" thickBot="1" x14ac:dyDescent="0.3">
      <c r="A11" s="83"/>
      <c r="B11" s="63" t="s">
        <v>64</v>
      </c>
      <c r="C11" s="63">
        <v>2.3576000000000001</v>
      </c>
      <c r="D11" s="63">
        <f>References!AW11*2</f>
        <v>3.6</v>
      </c>
      <c r="E11" s="63">
        <v>22.5</v>
      </c>
      <c r="F11" s="63">
        <v>28</v>
      </c>
      <c r="G11" s="64">
        <f t="shared" si="0"/>
        <v>46.680480000000003</v>
      </c>
      <c r="H11" s="114"/>
    </row>
    <row r="12" spans="1:16" ht="15.75" thickBot="1" x14ac:dyDescent="0.3">
      <c r="A12" s="83"/>
      <c r="B12" s="63" t="s">
        <v>64</v>
      </c>
      <c r="C12" s="63">
        <v>2.3576000000000001</v>
      </c>
      <c r="D12" s="63">
        <f>References!AW12*2</f>
        <v>3.6</v>
      </c>
      <c r="E12" s="63">
        <v>22.5</v>
      </c>
      <c r="F12" s="63">
        <v>28</v>
      </c>
      <c r="G12" s="64">
        <f t="shared" si="0"/>
        <v>46.680480000000003</v>
      </c>
      <c r="H12" s="114"/>
    </row>
    <row r="13" spans="1:16" ht="15.75" thickBot="1" x14ac:dyDescent="0.3">
      <c r="A13" s="83"/>
      <c r="B13" s="63" t="s">
        <v>439</v>
      </c>
      <c r="C13" s="63">
        <v>2.3576000000000001</v>
      </c>
      <c r="D13" s="63">
        <f>References!AW13*2</f>
        <v>1.6</v>
      </c>
      <c r="E13" s="63">
        <v>22.5</v>
      </c>
      <c r="F13" s="63">
        <v>24</v>
      </c>
      <c r="G13" s="64">
        <f t="shared" si="0"/>
        <v>5.658240000000001</v>
      </c>
      <c r="H13" s="114"/>
    </row>
    <row r="14" spans="1:16" ht="15.75" thickBot="1" x14ac:dyDescent="0.3">
      <c r="A14" s="83" t="s">
        <v>102</v>
      </c>
      <c r="B14" s="63" t="s">
        <v>105</v>
      </c>
      <c r="C14" s="63">
        <v>2.3576000000000001</v>
      </c>
      <c r="D14" s="63">
        <f>References!AW14*2</f>
        <v>3.2</v>
      </c>
      <c r="E14" s="63">
        <v>22</v>
      </c>
      <c r="F14" s="63">
        <v>22.5</v>
      </c>
      <c r="G14" s="64">
        <f t="shared" si="0"/>
        <v>3.7721600000000004</v>
      </c>
      <c r="H14" s="87"/>
    </row>
    <row r="15" spans="1:16" ht="15.75" thickBot="1" x14ac:dyDescent="0.3">
      <c r="A15" s="83" t="s">
        <v>435</v>
      </c>
      <c r="B15" s="63" t="s">
        <v>105</v>
      </c>
      <c r="C15" s="63">
        <v>2.3576000000000001</v>
      </c>
      <c r="D15" s="63">
        <f>References!AW15*2</f>
        <v>1.8</v>
      </c>
      <c r="E15" s="63">
        <v>24</v>
      </c>
      <c r="F15" s="63">
        <v>22.5</v>
      </c>
      <c r="G15" s="64">
        <f t="shared" si="0"/>
        <v>-6.3655200000000001</v>
      </c>
      <c r="H15" s="87"/>
    </row>
    <row r="16" spans="1:16" ht="15.75" thickBot="1" x14ac:dyDescent="0.3">
      <c r="A16" s="83" t="s">
        <v>40</v>
      </c>
      <c r="B16" s="63" t="s">
        <v>64</v>
      </c>
      <c r="C16" s="63">
        <v>2.3576000000000001</v>
      </c>
      <c r="D16" s="63">
        <f>References!AW16*2</f>
        <v>3.6</v>
      </c>
      <c r="E16" s="63">
        <v>22.5</v>
      </c>
      <c r="F16" s="63">
        <v>28</v>
      </c>
      <c r="G16" s="64">
        <f t="shared" si="0"/>
        <v>46.680480000000003</v>
      </c>
      <c r="H16" s="87"/>
    </row>
    <row r="17" spans="1:8" ht="15.75" thickBot="1" x14ac:dyDescent="0.3">
      <c r="A17" s="83" t="s">
        <v>512</v>
      </c>
      <c r="B17" s="63" t="s">
        <v>525</v>
      </c>
      <c r="C17" s="63">
        <v>2.3576000000000001</v>
      </c>
      <c r="D17" s="63">
        <f>References!AW17*2</f>
        <v>2</v>
      </c>
      <c r="E17" s="63">
        <v>22.5</v>
      </c>
      <c r="F17" s="63">
        <v>28</v>
      </c>
      <c r="G17" s="64">
        <f t="shared" si="0"/>
        <v>25.933600000000002</v>
      </c>
      <c r="H17" s="87"/>
    </row>
    <row r="18" spans="1:8" ht="15.75" thickBot="1" x14ac:dyDescent="0.3">
      <c r="A18" s="83" t="s">
        <v>347</v>
      </c>
      <c r="B18" s="63" t="s">
        <v>441</v>
      </c>
      <c r="C18" s="63">
        <v>1.5625</v>
      </c>
      <c r="D18" s="63">
        <f>References!AW18*2</f>
        <v>1.8</v>
      </c>
      <c r="E18" s="63">
        <v>22.5</v>
      </c>
      <c r="F18" s="63">
        <v>24</v>
      </c>
      <c r="G18" s="64">
        <f t="shared" si="0"/>
        <v>4.21875</v>
      </c>
      <c r="H18" s="87"/>
    </row>
    <row r="19" spans="1:8" ht="15.75" thickBot="1" x14ac:dyDescent="0.3">
      <c r="A19" s="83"/>
      <c r="B19" s="63" t="s">
        <v>64</v>
      </c>
      <c r="C19" s="63">
        <v>2.3576000000000001</v>
      </c>
      <c r="D19" s="63">
        <f>References!AW19*2</f>
        <v>1.8</v>
      </c>
      <c r="E19" s="63">
        <v>22.5</v>
      </c>
      <c r="F19" s="63">
        <v>28</v>
      </c>
      <c r="G19" s="64">
        <f t="shared" si="0"/>
        <v>23.340240000000001</v>
      </c>
      <c r="H19" s="87"/>
    </row>
    <row r="20" spans="1:8" ht="15.75" thickBot="1" x14ac:dyDescent="0.3">
      <c r="A20" s="83" t="s">
        <v>488</v>
      </c>
      <c r="B20" s="63" t="s">
        <v>64</v>
      </c>
      <c r="C20" s="63">
        <v>2.3576000000000001</v>
      </c>
      <c r="D20" s="63">
        <f>References!AW20*2</f>
        <v>1.8</v>
      </c>
      <c r="E20" s="63">
        <v>22.5</v>
      </c>
      <c r="F20" s="63">
        <v>28</v>
      </c>
      <c r="G20" s="64">
        <f t="shared" si="0"/>
        <v>23.340240000000001</v>
      </c>
      <c r="H20" s="87"/>
    </row>
    <row r="21" spans="1:8" ht="15.75" thickBot="1" x14ac:dyDescent="0.3">
      <c r="A21" s="83" t="s">
        <v>513</v>
      </c>
      <c r="B21" s="63" t="s">
        <v>64</v>
      </c>
      <c r="C21" s="63">
        <v>2.3576000000000001</v>
      </c>
      <c r="D21" s="63">
        <f>References!AW21*2</f>
        <v>1.8</v>
      </c>
      <c r="E21" s="63">
        <v>22.5</v>
      </c>
      <c r="F21" s="63">
        <v>28</v>
      </c>
      <c r="G21" s="64">
        <f t="shared" si="0"/>
        <v>23.340240000000001</v>
      </c>
      <c r="H21" s="87"/>
    </row>
    <row r="22" spans="1:8" ht="15.75" thickBot="1" x14ac:dyDescent="0.3">
      <c r="A22" s="83" t="s">
        <v>120</v>
      </c>
      <c r="B22" s="63" t="s">
        <v>308</v>
      </c>
      <c r="C22" s="63">
        <v>2.3576000000000001</v>
      </c>
      <c r="D22" s="63">
        <f>References!AW22*2</f>
        <v>1.8</v>
      </c>
      <c r="E22" s="63">
        <v>22</v>
      </c>
      <c r="F22" s="63">
        <v>22.5</v>
      </c>
      <c r="G22" s="64">
        <f t="shared" si="0"/>
        <v>2.1218400000000002</v>
      </c>
      <c r="H22" s="87"/>
    </row>
    <row r="23" spans="1:8" ht="15.75" thickBot="1" x14ac:dyDescent="0.3">
      <c r="A23" s="83" t="s">
        <v>308</v>
      </c>
      <c r="B23" s="63" t="s">
        <v>64</v>
      </c>
      <c r="C23" s="63">
        <v>2.3576000000000001</v>
      </c>
      <c r="D23" s="63">
        <f>References!AW23*2</f>
        <v>2.4</v>
      </c>
      <c r="E23" s="63">
        <v>22.5</v>
      </c>
      <c r="F23" s="63">
        <v>28</v>
      </c>
      <c r="G23" s="64">
        <f t="shared" si="0"/>
        <v>31.12032</v>
      </c>
      <c r="H23" s="87"/>
    </row>
    <row r="24" spans="1:8" ht="15.75" thickBot="1" x14ac:dyDescent="0.3">
      <c r="A24" s="83"/>
      <c r="B24" s="63" t="s">
        <v>119</v>
      </c>
      <c r="C24" s="63">
        <v>1.6048</v>
      </c>
      <c r="D24" s="63">
        <f>References!AW24*2</f>
        <v>1.8</v>
      </c>
      <c r="E24" s="63">
        <v>22.5</v>
      </c>
      <c r="F24" s="63">
        <v>24</v>
      </c>
      <c r="G24" s="64">
        <f t="shared" si="0"/>
        <v>4.3329599999999999</v>
      </c>
      <c r="H24" s="87"/>
    </row>
    <row r="25" spans="1:8" ht="15.75" thickBot="1" x14ac:dyDescent="0.3">
      <c r="A25" s="83" t="s">
        <v>357</v>
      </c>
      <c r="B25" s="63" t="s">
        <v>64</v>
      </c>
      <c r="C25" s="63">
        <v>2.3576000000000001</v>
      </c>
      <c r="D25" s="63">
        <f>References!AW25*2</f>
        <v>2.4</v>
      </c>
      <c r="E25" s="63">
        <v>22.5</v>
      </c>
      <c r="F25" s="63">
        <v>28</v>
      </c>
      <c r="G25" s="64">
        <f t="shared" si="0"/>
        <v>31.12032</v>
      </c>
      <c r="H25" s="87"/>
    </row>
    <row r="26" spans="1:8" ht="15.75" thickBot="1" x14ac:dyDescent="0.3">
      <c r="A26" s="83" t="s">
        <v>358</v>
      </c>
      <c r="B26" s="63" t="s">
        <v>64</v>
      </c>
      <c r="C26" s="63">
        <v>2.3576000000000001</v>
      </c>
      <c r="D26" s="63">
        <f>References!AW26*2</f>
        <v>2.4</v>
      </c>
      <c r="E26" s="63">
        <v>22.5</v>
      </c>
      <c r="F26" s="63">
        <v>28</v>
      </c>
      <c r="G26" s="64">
        <f t="shared" si="0"/>
        <v>31.12032</v>
      </c>
      <c r="H26" s="87"/>
    </row>
    <row r="27" spans="1:8" ht="15.75" thickBot="1" x14ac:dyDescent="0.3">
      <c r="A27" s="83" t="s">
        <v>517</v>
      </c>
      <c r="B27" s="63" t="s">
        <v>64</v>
      </c>
      <c r="C27" s="63">
        <v>2.3576000000000001</v>
      </c>
      <c r="D27" s="63">
        <f>References!AW27*2</f>
        <v>2.4</v>
      </c>
      <c r="E27" s="63">
        <v>22.5</v>
      </c>
      <c r="F27" s="63">
        <v>28</v>
      </c>
      <c r="G27" s="64">
        <f t="shared" si="0"/>
        <v>31.12032</v>
      </c>
      <c r="H27" s="87"/>
    </row>
    <row r="28" spans="1:8" ht="15.75" thickBot="1" x14ac:dyDescent="0.3">
      <c r="A28" s="83" t="s">
        <v>516</v>
      </c>
      <c r="B28" s="63" t="s">
        <v>64</v>
      </c>
      <c r="C28" s="63">
        <v>2.3576000000000001</v>
      </c>
      <c r="D28" s="63">
        <f>References!AW28*2</f>
        <v>2.4</v>
      </c>
      <c r="E28" s="63">
        <v>22.5</v>
      </c>
      <c r="F28" s="63">
        <v>28</v>
      </c>
      <c r="G28" s="64">
        <f t="shared" si="0"/>
        <v>31.12032</v>
      </c>
      <c r="H28" s="87"/>
    </row>
    <row r="29" spans="1:8" ht="15.75" thickBot="1" x14ac:dyDescent="0.3">
      <c r="A29" s="83" t="s">
        <v>76</v>
      </c>
      <c r="B29" s="63" t="s">
        <v>64</v>
      </c>
      <c r="C29" s="63">
        <v>2.3576000000000001</v>
      </c>
      <c r="D29" s="63">
        <f>References!AW29*2</f>
        <v>1.8</v>
      </c>
      <c r="E29" s="63">
        <v>22.5</v>
      </c>
      <c r="F29" s="63">
        <v>28</v>
      </c>
      <c r="G29" s="64">
        <f t="shared" si="0"/>
        <v>23.340240000000001</v>
      </c>
      <c r="H29" s="87"/>
    </row>
    <row r="30" spans="1:8" ht="15.75" thickBot="1" x14ac:dyDescent="0.3">
      <c r="A30" s="83" t="s">
        <v>75</v>
      </c>
      <c r="B30" s="63" t="s">
        <v>64</v>
      </c>
      <c r="C30" s="63">
        <v>2.3576000000000001</v>
      </c>
      <c r="D30" s="63">
        <f>References!AW30*2</f>
        <v>1.8</v>
      </c>
      <c r="E30" s="63">
        <v>22.5</v>
      </c>
      <c r="F30" s="63">
        <v>28</v>
      </c>
      <c r="G30" s="64">
        <f t="shared" si="0"/>
        <v>23.340240000000001</v>
      </c>
      <c r="H30" s="87"/>
    </row>
    <row r="31" spans="1:8" ht="15.75" thickBot="1" x14ac:dyDescent="0.3">
      <c r="A31" s="83" t="s">
        <v>72</v>
      </c>
      <c r="B31" s="63" t="s">
        <v>64</v>
      </c>
      <c r="C31" s="63">
        <v>2.3576000000000001</v>
      </c>
      <c r="D31" s="63">
        <f>References!AW31*2</f>
        <v>1.8</v>
      </c>
      <c r="E31" s="63">
        <v>22.5</v>
      </c>
      <c r="F31" s="63">
        <v>28</v>
      </c>
      <c r="G31" s="64">
        <f t="shared" si="0"/>
        <v>23.340240000000001</v>
      </c>
      <c r="H31" s="87"/>
    </row>
    <row r="32" spans="1:8" ht="15.75" thickBot="1" x14ac:dyDescent="0.3">
      <c r="A32" s="83" t="s">
        <v>514</v>
      </c>
      <c r="B32" s="63" t="s">
        <v>527</v>
      </c>
      <c r="C32" s="63">
        <v>2.3576000000000001</v>
      </c>
      <c r="D32" s="63">
        <f>References!AW32*2</f>
        <v>1.8</v>
      </c>
      <c r="E32" s="63">
        <v>22.5</v>
      </c>
      <c r="F32" s="63">
        <v>24</v>
      </c>
      <c r="G32" s="64">
        <f t="shared" si="0"/>
        <v>6.3655200000000001</v>
      </c>
      <c r="H32" s="87"/>
    </row>
    <row r="33" spans="1:8" ht="15.75" thickBot="1" x14ac:dyDescent="0.3">
      <c r="A33" s="83"/>
      <c r="B33" s="63" t="s">
        <v>64</v>
      </c>
      <c r="C33" s="63">
        <v>2.3576000000000001</v>
      </c>
      <c r="D33" s="63">
        <f>References!AW33*2</f>
        <v>1.8</v>
      </c>
      <c r="E33" s="63">
        <v>22.5</v>
      </c>
      <c r="F33" s="63">
        <v>28</v>
      </c>
      <c r="G33" s="64">
        <f t="shared" si="0"/>
        <v>23.340240000000001</v>
      </c>
      <c r="H33" s="87"/>
    </row>
    <row r="34" spans="1:8" ht="15.75" thickBot="1" x14ac:dyDescent="0.3">
      <c r="A34" s="83" t="s">
        <v>515</v>
      </c>
      <c r="B34" s="63" t="s">
        <v>528</v>
      </c>
      <c r="C34" s="63">
        <v>1.6048</v>
      </c>
      <c r="D34" s="63">
        <f>References!AW34*2</f>
        <v>1.8</v>
      </c>
      <c r="E34" s="63">
        <v>22.5</v>
      </c>
      <c r="F34" s="63">
        <v>24</v>
      </c>
      <c r="G34" s="64">
        <f t="shared" si="0"/>
        <v>4.3329599999999999</v>
      </c>
      <c r="H34" s="87"/>
    </row>
    <row r="35" spans="1:8" ht="15.75" thickBot="1" x14ac:dyDescent="0.3">
      <c r="A35" s="83"/>
      <c r="B35" s="63" t="s">
        <v>64</v>
      </c>
      <c r="C35" s="63">
        <v>2.3576000000000001</v>
      </c>
      <c r="D35" s="63">
        <f>References!AW35*2</f>
        <v>2.4</v>
      </c>
      <c r="E35" s="63">
        <v>22.5</v>
      </c>
      <c r="F35" s="63">
        <v>28</v>
      </c>
      <c r="G35" s="64">
        <f t="shared" si="0"/>
        <v>31.12032</v>
      </c>
      <c r="H35" s="87"/>
    </row>
    <row r="36" spans="1:8" ht="15.75" thickBot="1" x14ac:dyDescent="0.3">
      <c r="A36" s="83" t="s">
        <v>360</v>
      </c>
      <c r="B36" s="63" t="s">
        <v>64</v>
      </c>
      <c r="C36" s="63">
        <v>2.3576000000000001</v>
      </c>
      <c r="D36" s="63">
        <f>References!AW36*2</f>
        <v>2.4</v>
      </c>
      <c r="E36" s="63">
        <v>22.5</v>
      </c>
      <c r="F36" s="63">
        <v>28</v>
      </c>
      <c r="G36" s="64">
        <f t="shared" ref="G36:G62" si="1">C36*D36*(F36-E36)</f>
        <v>31.12032</v>
      </c>
      <c r="H36" s="87"/>
    </row>
    <row r="37" spans="1:8" ht="15.75" thickBot="1" x14ac:dyDescent="0.3">
      <c r="A37" s="83" t="s">
        <v>361</v>
      </c>
      <c r="B37" s="63" t="s">
        <v>64</v>
      </c>
      <c r="C37" s="63">
        <v>2.3576000000000001</v>
      </c>
      <c r="D37" s="63">
        <f>References!AW37*2</f>
        <v>2.4</v>
      </c>
      <c r="E37" s="63">
        <v>22.5</v>
      </c>
      <c r="F37" s="63">
        <v>28</v>
      </c>
      <c r="G37" s="64">
        <f t="shared" si="1"/>
        <v>31.12032</v>
      </c>
      <c r="H37" s="87"/>
    </row>
    <row r="38" spans="1:8" ht="15.75" thickBot="1" x14ac:dyDescent="0.3">
      <c r="A38" s="83" t="s">
        <v>454</v>
      </c>
      <c r="B38" s="63" t="s">
        <v>64</v>
      </c>
      <c r="C38" s="63">
        <v>2.3576000000000001</v>
      </c>
      <c r="D38" s="63">
        <f>References!AW38*2</f>
        <v>1.6</v>
      </c>
      <c r="E38" s="63">
        <v>22.5</v>
      </c>
      <c r="F38" s="63">
        <v>28</v>
      </c>
      <c r="G38" s="64">
        <f t="shared" si="1"/>
        <v>20.746880000000001</v>
      </c>
      <c r="H38" s="87"/>
    </row>
    <row r="39" spans="1:8" ht="15.75" thickBot="1" x14ac:dyDescent="0.3">
      <c r="A39" s="83" t="s">
        <v>362</v>
      </c>
      <c r="B39" s="63" t="s">
        <v>64</v>
      </c>
      <c r="C39" s="63">
        <v>2.3576000000000001</v>
      </c>
      <c r="D39" s="63">
        <f>References!AW39*2</f>
        <v>2.4</v>
      </c>
      <c r="E39" s="63">
        <v>22.5</v>
      </c>
      <c r="F39" s="63">
        <v>28</v>
      </c>
      <c r="G39" s="64">
        <f t="shared" si="1"/>
        <v>31.12032</v>
      </c>
      <c r="H39" s="87"/>
    </row>
    <row r="40" spans="1:8" ht="15.75" thickBot="1" x14ac:dyDescent="0.3">
      <c r="A40" s="83" t="s">
        <v>363</v>
      </c>
      <c r="B40" s="63" t="s">
        <v>64</v>
      </c>
      <c r="C40" s="63">
        <v>2.3576000000000001</v>
      </c>
      <c r="D40" s="63">
        <f>References!AW40*2</f>
        <v>2.4</v>
      </c>
      <c r="E40" s="63">
        <v>22.5</v>
      </c>
      <c r="F40" s="63">
        <v>28</v>
      </c>
      <c r="G40" s="64">
        <f t="shared" si="1"/>
        <v>31.12032</v>
      </c>
      <c r="H40" s="87"/>
    </row>
    <row r="41" spans="1:8" ht="15.75" thickBot="1" x14ac:dyDescent="0.3">
      <c r="A41" s="83" t="s">
        <v>36</v>
      </c>
      <c r="B41" s="63" t="s">
        <v>50</v>
      </c>
      <c r="C41" s="63">
        <v>2.3576000000000001</v>
      </c>
      <c r="D41" s="63">
        <f>References!AW41*2</f>
        <v>1.8</v>
      </c>
      <c r="E41" s="63">
        <v>22.5</v>
      </c>
      <c r="F41" s="63">
        <v>24</v>
      </c>
      <c r="G41" s="64">
        <f t="shared" si="1"/>
        <v>6.3655200000000001</v>
      </c>
      <c r="H41" s="114"/>
    </row>
    <row r="42" spans="1:8" ht="15.75" thickBot="1" x14ac:dyDescent="0.3">
      <c r="A42" s="83"/>
      <c r="B42" s="63" t="s">
        <v>449</v>
      </c>
      <c r="C42" s="63">
        <v>2.3576000000000001</v>
      </c>
      <c r="D42" s="63">
        <f>References!AW42*2</f>
        <v>1.8</v>
      </c>
      <c r="E42" s="63">
        <v>22.5</v>
      </c>
      <c r="F42" s="63">
        <v>24</v>
      </c>
      <c r="G42" s="64">
        <f t="shared" si="1"/>
        <v>6.3655200000000001</v>
      </c>
      <c r="H42" s="114"/>
    </row>
    <row r="43" spans="1:8" ht="15.75" thickBot="1" x14ac:dyDescent="0.3">
      <c r="A43" s="83" t="s">
        <v>50</v>
      </c>
      <c r="B43" s="63" t="s">
        <v>64</v>
      </c>
      <c r="C43" s="63">
        <v>2.3576000000000001</v>
      </c>
      <c r="D43" s="63">
        <f>References!AW43*2</f>
        <v>2</v>
      </c>
      <c r="E43" s="63">
        <v>22.5</v>
      </c>
      <c r="F43" s="63">
        <v>28</v>
      </c>
      <c r="G43" s="64">
        <f t="shared" si="1"/>
        <v>25.933600000000002</v>
      </c>
      <c r="H43" s="114"/>
    </row>
    <row r="44" spans="1:8" ht="15.75" thickBot="1" x14ac:dyDescent="0.3">
      <c r="A44" s="83"/>
      <c r="B44" s="137" t="s">
        <v>450</v>
      </c>
      <c r="C44" s="137">
        <v>1.6048</v>
      </c>
      <c r="D44" s="137">
        <f>References!AW44*2</f>
        <v>1.6</v>
      </c>
      <c r="E44" s="137">
        <v>22.5</v>
      </c>
      <c r="F44" s="137">
        <v>24</v>
      </c>
      <c r="G44" s="138">
        <f t="shared" si="1"/>
        <v>3.8515200000000003</v>
      </c>
      <c r="H44" s="120"/>
    </row>
    <row r="45" spans="1:8" ht="15.75" thickBot="1" x14ac:dyDescent="0.3">
      <c r="A45" s="139" t="s">
        <v>367</v>
      </c>
      <c r="B45" s="137" t="s">
        <v>64</v>
      </c>
      <c r="C45" s="137">
        <v>2.3576000000000001</v>
      </c>
      <c r="D45" s="137">
        <f>References!AW45*2</f>
        <v>1.8</v>
      </c>
      <c r="E45" s="137">
        <v>22.5</v>
      </c>
      <c r="F45" s="137">
        <v>28</v>
      </c>
      <c r="G45" s="138">
        <f t="shared" si="1"/>
        <v>23.340240000000001</v>
      </c>
      <c r="H45" s="120"/>
    </row>
    <row r="46" spans="1:8" ht="15.75" thickBot="1" x14ac:dyDescent="0.3">
      <c r="A46" s="83" t="s">
        <v>370</v>
      </c>
      <c r="B46" s="63" t="s">
        <v>64</v>
      </c>
      <c r="C46" s="63">
        <v>2.3576000000000001</v>
      </c>
      <c r="D46" s="63">
        <f>References!AW46*2</f>
        <v>1.8</v>
      </c>
      <c r="E46" s="63">
        <v>22.5</v>
      </c>
      <c r="F46" s="63">
        <v>28</v>
      </c>
      <c r="G46" s="64">
        <f t="shared" si="1"/>
        <v>23.340240000000001</v>
      </c>
      <c r="H46" s="87"/>
    </row>
    <row r="47" spans="1:8" ht="15.75" thickBot="1" x14ac:dyDescent="0.3">
      <c r="A47" s="83" t="s">
        <v>58</v>
      </c>
      <c r="B47" s="63" t="s">
        <v>64</v>
      </c>
      <c r="C47" s="63">
        <v>2.3576000000000001</v>
      </c>
      <c r="D47" s="63">
        <f>References!AW47*2</f>
        <v>1.8</v>
      </c>
      <c r="E47" s="63">
        <v>24</v>
      </c>
      <c r="F47" s="63">
        <v>28</v>
      </c>
      <c r="G47" s="64">
        <f t="shared" si="1"/>
        <v>16.974720000000001</v>
      </c>
      <c r="H47" s="87"/>
    </row>
    <row r="48" spans="1:8" ht="15.75" thickBot="1" x14ac:dyDescent="0.3">
      <c r="A48" s="83" t="s">
        <v>57</v>
      </c>
      <c r="B48" s="63" t="s">
        <v>64</v>
      </c>
      <c r="C48" s="63">
        <v>2.3576000000000001</v>
      </c>
      <c r="D48" s="63">
        <f>References!AW48*2</f>
        <v>1.8</v>
      </c>
      <c r="E48" s="63">
        <v>24</v>
      </c>
      <c r="F48" s="63">
        <v>28</v>
      </c>
      <c r="G48" s="64">
        <f t="shared" si="1"/>
        <v>16.974720000000001</v>
      </c>
      <c r="H48" s="87"/>
    </row>
    <row r="49" spans="1:8" ht="15.75" thickBot="1" x14ac:dyDescent="0.3">
      <c r="A49" s="83" t="s">
        <v>518</v>
      </c>
      <c r="B49" s="63" t="s">
        <v>64</v>
      </c>
      <c r="C49" s="63">
        <v>2.3576000000000001</v>
      </c>
      <c r="D49" s="63">
        <f>References!AW49*2</f>
        <v>1.8</v>
      </c>
      <c r="E49" s="63">
        <v>22.5</v>
      </c>
      <c r="F49" s="63">
        <v>28</v>
      </c>
      <c r="G49" s="64">
        <f t="shared" si="1"/>
        <v>23.340240000000001</v>
      </c>
      <c r="H49" s="87"/>
    </row>
    <row r="50" spans="1:8" ht="15.75" thickBot="1" x14ac:dyDescent="0.3">
      <c r="A50" s="83" t="s">
        <v>35</v>
      </c>
      <c r="B50" s="63" t="s">
        <v>64</v>
      </c>
      <c r="C50" s="63">
        <v>2.3576000000000001</v>
      </c>
      <c r="D50" s="63">
        <f>References!AW50*2</f>
        <v>1.8</v>
      </c>
      <c r="E50" s="63">
        <v>22.5</v>
      </c>
      <c r="F50" s="63">
        <v>28</v>
      </c>
      <c r="G50" s="64">
        <f t="shared" si="1"/>
        <v>23.340240000000001</v>
      </c>
      <c r="H50" s="87"/>
    </row>
    <row r="51" spans="1:8" ht="15.75" thickBot="1" x14ac:dyDescent="0.3">
      <c r="A51" s="83"/>
      <c r="B51" s="63" t="s">
        <v>106</v>
      </c>
      <c r="C51" s="63">
        <v>1.6048</v>
      </c>
      <c r="D51" s="63">
        <f>References!AW51*2</f>
        <v>1.8</v>
      </c>
      <c r="E51" s="63">
        <v>22.5</v>
      </c>
      <c r="F51" s="63">
        <v>24</v>
      </c>
      <c r="G51" s="64">
        <f t="shared" si="1"/>
        <v>4.3329599999999999</v>
      </c>
      <c r="H51" s="87"/>
    </row>
    <row r="52" spans="1:8" ht="15.75" thickBot="1" x14ac:dyDescent="0.3">
      <c r="A52" s="83" t="s">
        <v>115</v>
      </c>
      <c r="B52" s="63" t="s">
        <v>461</v>
      </c>
      <c r="C52" s="63">
        <v>1.5625</v>
      </c>
      <c r="D52" s="63">
        <f>References!AW52*2</f>
        <v>1.2</v>
      </c>
      <c r="E52" s="63">
        <v>22.5</v>
      </c>
      <c r="F52" s="63">
        <v>24</v>
      </c>
      <c r="G52" s="64">
        <f t="shared" si="1"/>
        <v>2.8125</v>
      </c>
      <c r="H52" s="87"/>
    </row>
    <row r="53" spans="1:8" ht="15.75" thickBot="1" x14ac:dyDescent="0.3">
      <c r="A53" s="83"/>
      <c r="B53" s="63" t="s">
        <v>460</v>
      </c>
      <c r="C53" s="63">
        <v>1.5625</v>
      </c>
      <c r="D53" s="63">
        <f>References!AW53*2</f>
        <v>1.2</v>
      </c>
      <c r="E53" s="63">
        <v>22.5</v>
      </c>
      <c r="F53" s="63">
        <v>24</v>
      </c>
      <c r="G53" s="64">
        <f t="shared" si="1"/>
        <v>2.8125</v>
      </c>
      <c r="H53" s="87"/>
    </row>
    <row r="54" spans="1:8" ht="15.75" thickBot="1" x14ac:dyDescent="0.3">
      <c r="A54" s="83"/>
      <c r="B54" s="63" t="s">
        <v>529</v>
      </c>
      <c r="C54" s="63">
        <v>2.3576000000000001</v>
      </c>
      <c r="D54" s="63">
        <f>References!AW54*2</f>
        <v>1.8</v>
      </c>
      <c r="E54" s="63">
        <v>22.5</v>
      </c>
      <c r="F54" s="63">
        <v>24</v>
      </c>
      <c r="G54" s="64">
        <f t="shared" si="1"/>
        <v>6.3655200000000001</v>
      </c>
      <c r="H54" s="87"/>
    </row>
    <row r="55" spans="1:8" ht="15.75" thickBot="1" x14ac:dyDescent="0.3">
      <c r="A55" s="83"/>
      <c r="B55" s="63" t="s">
        <v>64</v>
      </c>
      <c r="C55" s="63">
        <v>2.3576000000000001</v>
      </c>
      <c r="D55" s="63">
        <f>References!AW55*2</f>
        <v>2.4</v>
      </c>
      <c r="E55" s="63">
        <v>22.5</v>
      </c>
      <c r="F55" s="63">
        <v>28</v>
      </c>
      <c r="G55" s="64">
        <f t="shared" si="1"/>
        <v>31.12032</v>
      </c>
      <c r="H55" s="87"/>
    </row>
    <row r="56" spans="1:8" ht="15.75" thickBot="1" x14ac:dyDescent="0.3">
      <c r="A56" s="83"/>
      <c r="B56" s="63" t="s">
        <v>64</v>
      </c>
      <c r="C56" s="63">
        <v>2.3576000000000001</v>
      </c>
      <c r="D56" s="63">
        <f>References!AW56*2</f>
        <v>2.4</v>
      </c>
      <c r="E56" s="63">
        <v>22.5</v>
      </c>
      <c r="F56" s="63">
        <v>28</v>
      </c>
      <c r="G56" s="64">
        <f t="shared" si="1"/>
        <v>31.12032</v>
      </c>
      <c r="H56" s="87"/>
    </row>
    <row r="57" spans="1:8" ht="15.75" thickBot="1" x14ac:dyDescent="0.3">
      <c r="A57" s="83"/>
      <c r="B57" s="63" t="s">
        <v>64</v>
      </c>
      <c r="C57" s="63">
        <v>2.3576000000000001</v>
      </c>
      <c r="D57" s="63">
        <f>References!AW57*2</f>
        <v>1.8</v>
      </c>
      <c r="E57" s="63">
        <v>22.5</v>
      </c>
      <c r="F57" s="63">
        <v>28</v>
      </c>
      <c r="G57" s="64">
        <f t="shared" si="1"/>
        <v>23.340240000000001</v>
      </c>
      <c r="H57" s="87"/>
    </row>
    <row r="58" spans="1:8" ht="15.75" thickBot="1" x14ac:dyDescent="0.3">
      <c r="A58" s="83"/>
      <c r="B58" s="63" t="s">
        <v>30</v>
      </c>
      <c r="C58" s="63">
        <v>1.5625</v>
      </c>
      <c r="D58" s="63">
        <f>References!AW58*2</f>
        <v>2.4</v>
      </c>
      <c r="E58" s="63">
        <v>22.5</v>
      </c>
      <c r="F58" s="63">
        <v>24</v>
      </c>
      <c r="G58" s="64">
        <f t="shared" si="1"/>
        <v>5.625</v>
      </c>
      <c r="H58" s="87"/>
    </row>
    <row r="59" spans="1:8" ht="15.75" thickBot="1" x14ac:dyDescent="0.3">
      <c r="A59" s="140" t="s">
        <v>492</v>
      </c>
      <c r="B59" s="63" t="s">
        <v>530</v>
      </c>
      <c r="C59" s="63">
        <v>1.6048</v>
      </c>
      <c r="D59" s="63">
        <f>References!AW59*2</f>
        <v>1.6</v>
      </c>
      <c r="E59" s="63">
        <v>22.5</v>
      </c>
      <c r="F59" s="63">
        <v>24</v>
      </c>
      <c r="G59" s="64">
        <f t="shared" si="1"/>
        <v>3.8515200000000003</v>
      </c>
      <c r="H59" s="114"/>
    </row>
    <row r="60" spans="1:8" ht="15.75" thickBot="1" x14ac:dyDescent="0.3">
      <c r="A60" s="139" t="s">
        <v>30</v>
      </c>
      <c r="B60" s="137" t="s">
        <v>64</v>
      </c>
      <c r="C60" s="137">
        <v>2.3576000000000001</v>
      </c>
      <c r="D60" s="137">
        <f>References!AW60*2</f>
        <v>4</v>
      </c>
      <c r="E60" s="137">
        <v>24</v>
      </c>
      <c r="F60" s="137">
        <v>28</v>
      </c>
      <c r="G60" s="138">
        <f t="shared" si="1"/>
        <v>37.721600000000002</v>
      </c>
      <c r="H60" s="120"/>
    </row>
    <row r="61" spans="1:8" ht="15.75" thickBot="1" x14ac:dyDescent="0.3">
      <c r="A61" s="83" t="s">
        <v>457</v>
      </c>
      <c r="B61" s="63" t="s">
        <v>64</v>
      </c>
      <c r="C61" s="63">
        <v>2.3576000000000001</v>
      </c>
      <c r="D61" s="63">
        <f>References!AW61*2</f>
        <v>2.4</v>
      </c>
      <c r="E61" s="63">
        <v>22.5</v>
      </c>
      <c r="F61" s="63">
        <v>28</v>
      </c>
      <c r="G61" s="64">
        <f t="shared" si="1"/>
        <v>31.12032</v>
      </c>
      <c r="H61" s="87"/>
    </row>
    <row r="62" spans="1:8" ht="15.75" thickBot="1" x14ac:dyDescent="0.3">
      <c r="A62" s="85"/>
      <c r="B62" s="71" t="s">
        <v>457</v>
      </c>
      <c r="C62" s="71">
        <v>1.6048</v>
      </c>
      <c r="D62" s="71">
        <f>References!AW62*2</f>
        <v>1.8</v>
      </c>
      <c r="E62" s="71">
        <v>22.5</v>
      </c>
      <c r="F62" s="71">
        <v>24</v>
      </c>
      <c r="G62" s="72">
        <f t="shared" si="1"/>
        <v>4.3329599999999999</v>
      </c>
      <c r="H62" s="87"/>
    </row>
    <row r="63" spans="1:8" ht="15.75" thickBot="1" x14ac:dyDescent="0.3">
      <c r="F63" s="43" t="s">
        <v>333</v>
      </c>
      <c r="G63" s="43">
        <f>SUM(Table26[Qs (W)])</f>
        <v>1135.1917399999998</v>
      </c>
    </row>
    <row r="65" spans="1:9" ht="24" thickBot="1" x14ac:dyDescent="0.4">
      <c r="A65" s="178" t="s">
        <v>41</v>
      </c>
      <c r="B65" s="178"/>
      <c r="C65" s="178"/>
      <c r="D65" s="178"/>
      <c r="E65" s="178"/>
      <c r="F65" s="178"/>
      <c r="G65" s="178"/>
      <c r="H65" s="133"/>
      <c r="I65" s="121"/>
    </row>
    <row r="66" spans="1:9" ht="15.75" thickBot="1" x14ac:dyDescent="0.3">
      <c r="A66" s="16" t="s">
        <v>546</v>
      </c>
      <c r="B66" s="17" t="s">
        <v>545</v>
      </c>
      <c r="C66" s="17" t="s">
        <v>2</v>
      </c>
      <c r="D66" s="17" t="s">
        <v>53</v>
      </c>
      <c r="E66" s="17" t="s">
        <v>7</v>
      </c>
      <c r="F66" s="17" t="s">
        <v>12</v>
      </c>
      <c r="G66" s="18" t="s">
        <v>23</v>
      </c>
      <c r="H66" s="87"/>
    </row>
    <row r="67" spans="1:9" ht="15.75" thickBot="1" x14ac:dyDescent="0.3">
      <c r="A67" s="83" t="s">
        <v>60</v>
      </c>
      <c r="B67" s="63" t="s">
        <v>64</v>
      </c>
      <c r="C67" s="63">
        <v>2.3576000000000001</v>
      </c>
      <c r="D67" s="63">
        <f>2*References!AX4</f>
        <v>2.4</v>
      </c>
      <c r="E67" s="63">
        <v>22.5</v>
      </c>
      <c r="F67" s="63">
        <v>28</v>
      </c>
      <c r="G67" s="64">
        <f>C67*D67*(F67-E67)</f>
        <v>31.12032</v>
      </c>
      <c r="H67" s="87"/>
    </row>
    <row r="68" spans="1:9" ht="15.75" thickBot="1" x14ac:dyDescent="0.3">
      <c r="A68" s="83"/>
      <c r="B68" s="63" t="s">
        <v>482</v>
      </c>
      <c r="C68" s="63">
        <v>1.6048</v>
      </c>
      <c r="D68" s="63">
        <f>2*References!AX5</f>
        <v>1.4</v>
      </c>
      <c r="E68" s="63">
        <v>22.5</v>
      </c>
      <c r="F68" s="63">
        <v>24</v>
      </c>
      <c r="G68" s="64">
        <f t="shared" ref="G68:G136" si="2">C68*D68*(F68-E68)</f>
        <v>3.3700799999999997</v>
      </c>
      <c r="H68" s="87"/>
    </row>
    <row r="69" spans="1:9" ht="15.75" thickBot="1" x14ac:dyDescent="0.3">
      <c r="A69" s="83" t="s">
        <v>60</v>
      </c>
      <c r="B69" s="63" t="s">
        <v>64</v>
      </c>
      <c r="C69" s="63">
        <v>2.3576000000000001</v>
      </c>
      <c r="D69" s="63">
        <f>2*References!AX6</f>
        <v>2.4</v>
      </c>
      <c r="E69" s="63">
        <v>22.5</v>
      </c>
      <c r="F69" s="63">
        <v>28</v>
      </c>
      <c r="G69" s="64">
        <f t="shared" si="2"/>
        <v>31.12032</v>
      </c>
      <c r="H69" s="87"/>
    </row>
    <row r="70" spans="1:9" ht="15.75" thickBot="1" x14ac:dyDescent="0.3">
      <c r="A70" s="83"/>
      <c r="B70" s="63" t="s">
        <v>482</v>
      </c>
      <c r="C70" s="63">
        <v>1.6048</v>
      </c>
      <c r="D70" s="63">
        <f>2*References!AX7</f>
        <v>1.4</v>
      </c>
      <c r="E70" s="63">
        <v>22.5</v>
      </c>
      <c r="F70" s="63">
        <v>24</v>
      </c>
      <c r="G70" s="64">
        <f t="shared" si="2"/>
        <v>3.3700799999999997</v>
      </c>
      <c r="H70" s="87"/>
    </row>
    <row r="71" spans="1:9" ht="15.75" thickBot="1" x14ac:dyDescent="0.3">
      <c r="A71" s="83" t="s">
        <v>60</v>
      </c>
      <c r="B71" s="63" t="s">
        <v>64</v>
      </c>
      <c r="C71" s="63">
        <v>2.3576000000000001</v>
      </c>
      <c r="D71" s="63">
        <f>2*References!AX8</f>
        <v>2.4</v>
      </c>
      <c r="E71" s="63">
        <v>22.5</v>
      </c>
      <c r="F71" s="63">
        <v>28</v>
      </c>
      <c r="G71" s="64">
        <f t="shared" si="2"/>
        <v>31.12032</v>
      </c>
      <c r="H71" s="87"/>
    </row>
    <row r="72" spans="1:9" ht="15.75" thickBot="1" x14ac:dyDescent="0.3">
      <c r="A72" s="83"/>
      <c r="B72" s="63" t="s">
        <v>482</v>
      </c>
      <c r="C72" s="63">
        <v>1.6048</v>
      </c>
      <c r="D72" s="63">
        <f>2*References!AX9</f>
        <v>1.4</v>
      </c>
      <c r="E72" s="63">
        <v>22.5</v>
      </c>
      <c r="F72" s="63">
        <v>24</v>
      </c>
      <c r="G72" s="64">
        <f t="shared" si="2"/>
        <v>3.3700799999999997</v>
      </c>
      <c r="H72" s="87"/>
    </row>
    <row r="73" spans="1:9" ht="15.75" thickBot="1" x14ac:dyDescent="0.3">
      <c r="A73" s="83" t="s">
        <v>60</v>
      </c>
      <c r="B73" s="63" t="s">
        <v>64</v>
      </c>
      <c r="C73" s="63">
        <v>2.3576000000000001</v>
      </c>
      <c r="D73" s="63">
        <f>2*References!AX10</f>
        <v>2.4</v>
      </c>
      <c r="E73" s="63">
        <v>22.5</v>
      </c>
      <c r="F73" s="63">
        <v>28</v>
      </c>
      <c r="G73" s="64">
        <f t="shared" si="2"/>
        <v>31.12032</v>
      </c>
      <c r="H73" s="87"/>
    </row>
    <row r="74" spans="1:9" ht="15.75" thickBot="1" x14ac:dyDescent="0.3">
      <c r="A74" s="83"/>
      <c r="B74" s="63" t="s">
        <v>482</v>
      </c>
      <c r="C74" s="63">
        <v>1.6048</v>
      </c>
      <c r="D74" s="63">
        <f>2*References!AX11</f>
        <v>1.4</v>
      </c>
      <c r="E74" s="63">
        <v>22.5</v>
      </c>
      <c r="F74" s="63">
        <v>24</v>
      </c>
      <c r="G74" s="64">
        <f t="shared" si="2"/>
        <v>3.3700799999999997</v>
      </c>
      <c r="H74" s="87"/>
    </row>
    <row r="75" spans="1:9" ht="15.75" thickBot="1" x14ac:dyDescent="0.3">
      <c r="A75" s="83" t="s">
        <v>66</v>
      </c>
      <c r="B75" s="63" t="s">
        <v>64</v>
      </c>
      <c r="C75" s="63">
        <v>2.3576000000000001</v>
      </c>
      <c r="D75" s="63">
        <f>2*References!AX12</f>
        <v>2.4</v>
      </c>
      <c r="E75" s="63">
        <v>22.5</v>
      </c>
      <c r="F75" s="63">
        <v>28</v>
      </c>
      <c r="G75" s="64">
        <f t="shared" si="2"/>
        <v>31.12032</v>
      </c>
      <c r="H75" s="87"/>
    </row>
    <row r="76" spans="1:9" ht="15.75" thickBot="1" x14ac:dyDescent="0.3">
      <c r="A76" s="83"/>
      <c r="B76" s="63" t="s">
        <v>88</v>
      </c>
      <c r="C76" s="63">
        <v>1.6048</v>
      </c>
      <c r="D76" s="63">
        <f>2*References!AX13</f>
        <v>1.4</v>
      </c>
      <c r="E76" s="63">
        <v>22.5</v>
      </c>
      <c r="F76" s="63">
        <v>24</v>
      </c>
      <c r="G76" s="64">
        <f t="shared" si="2"/>
        <v>3.3700799999999997</v>
      </c>
      <c r="H76" s="87"/>
    </row>
    <row r="77" spans="1:9" ht="15.75" thickBot="1" x14ac:dyDescent="0.3">
      <c r="A77" s="83" t="s">
        <v>70</v>
      </c>
      <c r="B77" s="63" t="s">
        <v>64</v>
      </c>
      <c r="C77" s="63">
        <v>2.3576000000000001</v>
      </c>
      <c r="D77" s="63">
        <f>2*References!AX14</f>
        <v>2.4</v>
      </c>
      <c r="E77" s="63">
        <v>22.5</v>
      </c>
      <c r="F77" s="63">
        <v>28</v>
      </c>
      <c r="G77" s="64">
        <f t="shared" si="2"/>
        <v>31.12032</v>
      </c>
      <c r="H77" s="87"/>
    </row>
    <row r="78" spans="1:9" ht="15.75" thickBot="1" x14ac:dyDescent="0.3">
      <c r="A78" s="83"/>
      <c r="B78" s="63" t="s">
        <v>469</v>
      </c>
      <c r="C78" s="63">
        <v>1.6048</v>
      </c>
      <c r="D78" s="63">
        <f>2*References!AX15</f>
        <v>1.4</v>
      </c>
      <c r="E78" s="63">
        <v>22.5</v>
      </c>
      <c r="F78" s="63">
        <v>24</v>
      </c>
      <c r="G78" s="64">
        <f t="shared" si="2"/>
        <v>3.3700799999999997</v>
      </c>
      <c r="H78" s="87"/>
    </row>
    <row r="79" spans="1:9" ht="15.75" thickBot="1" x14ac:dyDescent="0.3">
      <c r="A79" s="83" t="s">
        <v>70</v>
      </c>
      <c r="B79" s="63" t="s">
        <v>64</v>
      </c>
      <c r="C79" s="63">
        <v>2.3576000000000001</v>
      </c>
      <c r="D79" s="63">
        <f>2*References!AX16</f>
        <v>2.4</v>
      </c>
      <c r="E79" s="63">
        <v>22.5</v>
      </c>
      <c r="F79" s="63">
        <v>28</v>
      </c>
      <c r="G79" s="64">
        <f t="shared" si="2"/>
        <v>31.12032</v>
      </c>
      <c r="H79" s="87"/>
    </row>
    <row r="80" spans="1:9" ht="15.75" thickBot="1" x14ac:dyDescent="0.3">
      <c r="A80" s="83"/>
      <c r="B80" s="63" t="s">
        <v>469</v>
      </c>
      <c r="C80" s="63">
        <v>1.6048</v>
      </c>
      <c r="D80" s="63">
        <f>2*References!AX17</f>
        <v>1.4</v>
      </c>
      <c r="E80" s="63">
        <v>22.5</v>
      </c>
      <c r="F80" s="63">
        <v>24</v>
      </c>
      <c r="G80" s="64">
        <f t="shared" si="2"/>
        <v>3.3700799999999997</v>
      </c>
      <c r="H80" s="87"/>
    </row>
    <row r="81" spans="1:8" ht="15.75" thickBot="1" x14ac:dyDescent="0.3">
      <c r="A81" s="83" t="s">
        <v>519</v>
      </c>
      <c r="B81" s="63" t="s">
        <v>64</v>
      </c>
      <c r="C81" s="63">
        <v>2.3576000000000001</v>
      </c>
      <c r="D81" s="63">
        <f>2*References!AX18</f>
        <v>1.8</v>
      </c>
      <c r="E81" s="63">
        <v>22.5</v>
      </c>
      <c r="F81" s="63">
        <v>28</v>
      </c>
      <c r="G81" s="64">
        <f t="shared" si="2"/>
        <v>23.340240000000001</v>
      </c>
      <c r="H81" s="87"/>
    </row>
    <row r="82" spans="1:8" ht="15.75" thickBot="1" x14ac:dyDescent="0.3">
      <c r="A82" s="83"/>
      <c r="B82" s="84" t="s">
        <v>212</v>
      </c>
      <c r="C82" s="63">
        <v>1.6048</v>
      </c>
      <c r="D82" s="63">
        <f>2*References!AX19</f>
        <v>1.4</v>
      </c>
      <c r="E82" s="63">
        <v>22.5</v>
      </c>
      <c r="F82" s="63">
        <v>24</v>
      </c>
      <c r="G82" s="64">
        <f t="shared" si="2"/>
        <v>3.3700799999999997</v>
      </c>
      <c r="H82" s="114"/>
    </row>
    <row r="83" spans="1:8" ht="15.75" thickBot="1" x14ac:dyDescent="0.3">
      <c r="A83" s="83" t="s">
        <v>174</v>
      </c>
      <c r="B83" s="63" t="s">
        <v>64</v>
      </c>
      <c r="C83" s="63">
        <v>2.3576000000000001</v>
      </c>
      <c r="D83" s="63">
        <f>2*References!AX20</f>
        <v>2.4</v>
      </c>
      <c r="E83" s="63">
        <v>22.5</v>
      </c>
      <c r="F83" s="63">
        <v>28</v>
      </c>
      <c r="G83" s="64">
        <f t="shared" si="2"/>
        <v>31.12032</v>
      </c>
      <c r="H83" s="87"/>
    </row>
    <row r="84" spans="1:8" ht="15.75" thickBot="1" x14ac:dyDescent="0.3">
      <c r="A84" s="83" t="s">
        <v>176</v>
      </c>
      <c r="B84" s="63" t="s">
        <v>64</v>
      </c>
      <c r="C84" s="63">
        <v>2.3576000000000001</v>
      </c>
      <c r="D84" s="63">
        <f>2*References!AX21</f>
        <v>1.2</v>
      </c>
      <c r="E84" s="63">
        <v>24</v>
      </c>
      <c r="F84" s="63">
        <v>28</v>
      </c>
      <c r="G84" s="64">
        <f t="shared" si="2"/>
        <v>11.31648</v>
      </c>
      <c r="H84" s="87"/>
    </row>
    <row r="85" spans="1:8" ht="15.75" thickBot="1" x14ac:dyDescent="0.3">
      <c r="A85" s="83" t="s">
        <v>177</v>
      </c>
      <c r="B85" s="63" t="s">
        <v>64</v>
      </c>
      <c r="C85" s="63">
        <v>2.3576000000000001</v>
      </c>
      <c r="D85" s="63">
        <f>2*References!AX22</f>
        <v>1.2</v>
      </c>
      <c r="E85" s="63">
        <v>24</v>
      </c>
      <c r="F85" s="63">
        <v>28</v>
      </c>
      <c r="G85" s="64">
        <f t="shared" si="2"/>
        <v>11.31648</v>
      </c>
      <c r="H85" s="87"/>
    </row>
    <row r="86" spans="1:8" ht="15.75" thickBot="1" x14ac:dyDescent="0.3">
      <c r="A86" s="83" t="s">
        <v>204</v>
      </c>
      <c r="B86" s="63" t="s">
        <v>64</v>
      </c>
      <c r="C86" s="63">
        <v>2.3576000000000001</v>
      </c>
      <c r="D86" s="63">
        <f>2*References!AX23</f>
        <v>1.2</v>
      </c>
      <c r="E86" s="63">
        <v>24</v>
      </c>
      <c r="F86" s="63">
        <v>28</v>
      </c>
      <c r="G86" s="64">
        <f t="shared" si="2"/>
        <v>11.31648</v>
      </c>
      <c r="H86" s="87"/>
    </row>
    <row r="87" spans="1:8" ht="15.75" thickBot="1" x14ac:dyDescent="0.3">
      <c r="A87" s="83" t="s">
        <v>70</v>
      </c>
      <c r="B87" s="63" t="s">
        <v>64</v>
      </c>
      <c r="C87" s="63">
        <v>2.3576000000000001</v>
      </c>
      <c r="D87" s="63">
        <f>2*References!AX24</f>
        <v>2.4</v>
      </c>
      <c r="E87" s="63">
        <v>22.5</v>
      </c>
      <c r="F87" s="63">
        <v>28</v>
      </c>
      <c r="G87" s="64">
        <f t="shared" ref="G87:G88" si="3">C87*D87*(F87-E87)</f>
        <v>31.12032</v>
      </c>
      <c r="H87" s="114"/>
    </row>
    <row r="88" spans="1:8" ht="15.75" thickBot="1" x14ac:dyDescent="0.3">
      <c r="A88" s="83"/>
      <c r="B88" s="63" t="s">
        <v>469</v>
      </c>
      <c r="C88" s="63">
        <v>1.6048</v>
      </c>
      <c r="D88" s="63">
        <f>2*References!AX25</f>
        <v>1.4</v>
      </c>
      <c r="E88" s="63">
        <v>22.5</v>
      </c>
      <c r="F88" s="63">
        <v>24</v>
      </c>
      <c r="G88" s="64">
        <f t="shared" si="3"/>
        <v>3.3700799999999997</v>
      </c>
      <c r="H88" s="114"/>
    </row>
    <row r="89" spans="1:8" ht="15.75" thickBot="1" x14ac:dyDescent="0.3">
      <c r="A89" s="83" t="s">
        <v>70</v>
      </c>
      <c r="B89" s="63" t="s">
        <v>64</v>
      </c>
      <c r="C89" s="63">
        <v>2.3576000000000001</v>
      </c>
      <c r="D89" s="63">
        <f>2*References!AX26</f>
        <v>2.4</v>
      </c>
      <c r="E89" s="63">
        <v>22.5</v>
      </c>
      <c r="F89" s="63">
        <v>28</v>
      </c>
      <c r="G89" s="64">
        <f t="shared" si="2"/>
        <v>31.12032</v>
      </c>
      <c r="H89" s="87"/>
    </row>
    <row r="90" spans="1:8" ht="15.75" thickBot="1" x14ac:dyDescent="0.3">
      <c r="A90" s="83"/>
      <c r="B90" s="63" t="s">
        <v>469</v>
      </c>
      <c r="C90" s="63">
        <v>1.6048</v>
      </c>
      <c r="D90" s="63">
        <f>2*References!AX27</f>
        <v>1.4</v>
      </c>
      <c r="E90" s="63">
        <v>22.5</v>
      </c>
      <c r="F90" s="63">
        <v>24</v>
      </c>
      <c r="G90" s="64">
        <f t="shared" ref="G90" si="4">C90*D90*(F90-E90)</f>
        <v>3.3700799999999997</v>
      </c>
      <c r="H90" s="114"/>
    </row>
    <row r="91" spans="1:8" ht="15.75" thickBot="1" x14ac:dyDescent="0.3">
      <c r="A91" s="83" t="s">
        <v>66</v>
      </c>
      <c r="B91" s="63" t="s">
        <v>64</v>
      </c>
      <c r="C91" s="63">
        <v>2.3576000000000001</v>
      </c>
      <c r="D91" s="63">
        <f>2*References!AX28</f>
        <v>2.4</v>
      </c>
      <c r="E91" s="63">
        <v>22.5</v>
      </c>
      <c r="F91" s="63">
        <v>28</v>
      </c>
      <c r="G91" s="64">
        <f t="shared" si="2"/>
        <v>31.12032</v>
      </c>
      <c r="H91" s="87"/>
    </row>
    <row r="92" spans="1:8" ht="15.75" thickBot="1" x14ac:dyDescent="0.3">
      <c r="A92" s="83"/>
      <c r="B92" s="63" t="s">
        <v>88</v>
      </c>
      <c r="C92" s="63">
        <v>1.6048</v>
      </c>
      <c r="D92" s="63">
        <f>2*References!AX29</f>
        <v>1.4</v>
      </c>
      <c r="E92" s="63">
        <v>22.5</v>
      </c>
      <c r="F92" s="63">
        <v>24</v>
      </c>
      <c r="G92" s="64">
        <f t="shared" si="2"/>
        <v>3.3700799999999997</v>
      </c>
      <c r="H92" s="87"/>
    </row>
    <row r="93" spans="1:8" ht="15.75" thickBot="1" x14ac:dyDescent="0.3">
      <c r="A93" s="83" t="s">
        <v>181</v>
      </c>
      <c r="B93" s="63" t="s">
        <v>64</v>
      </c>
      <c r="C93" s="63">
        <v>2.3576000000000001</v>
      </c>
      <c r="D93" s="63">
        <f>2*References!AX30</f>
        <v>1.6</v>
      </c>
      <c r="E93" s="63">
        <v>22.5</v>
      </c>
      <c r="F93" s="63">
        <v>28</v>
      </c>
      <c r="G93" s="64">
        <f t="shared" si="2"/>
        <v>20.746880000000001</v>
      </c>
      <c r="H93" s="87"/>
    </row>
    <row r="94" spans="1:8" ht="15.75" thickBot="1" x14ac:dyDescent="0.3">
      <c r="A94" s="83" t="s">
        <v>520</v>
      </c>
      <c r="B94" s="63" t="s">
        <v>64</v>
      </c>
      <c r="C94" s="63">
        <v>2.3576000000000001</v>
      </c>
      <c r="D94" s="63">
        <f>2*References!AX31</f>
        <v>1.8</v>
      </c>
      <c r="E94" s="63">
        <v>22.5</v>
      </c>
      <c r="F94" s="63">
        <v>28</v>
      </c>
      <c r="G94" s="64">
        <f t="shared" si="2"/>
        <v>23.340240000000001</v>
      </c>
      <c r="H94" s="87"/>
    </row>
    <row r="95" spans="1:8" ht="15.75" thickBot="1" x14ac:dyDescent="0.3">
      <c r="A95" s="83"/>
      <c r="B95" s="63" t="s">
        <v>217</v>
      </c>
      <c r="C95" s="63">
        <v>1.6048</v>
      </c>
      <c r="D95" s="63">
        <f>2*References!AX32</f>
        <v>1.2</v>
      </c>
      <c r="E95" s="63">
        <v>22.5</v>
      </c>
      <c r="F95" s="63">
        <v>24</v>
      </c>
      <c r="G95" s="64">
        <f t="shared" si="2"/>
        <v>2.8886399999999997</v>
      </c>
      <c r="H95" s="87"/>
    </row>
    <row r="96" spans="1:8" ht="15.75" thickBot="1" x14ac:dyDescent="0.3">
      <c r="A96" s="83" t="s">
        <v>471</v>
      </c>
      <c r="B96" s="63" t="s">
        <v>64</v>
      </c>
      <c r="C96" s="63">
        <v>2.3576000000000001</v>
      </c>
      <c r="D96" s="63">
        <f>2*References!AX33</f>
        <v>2.4</v>
      </c>
      <c r="E96" s="63">
        <v>22.5</v>
      </c>
      <c r="F96" s="63">
        <v>28</v>
      </c>
      <c r="G96" s="64">
        <f t="shared" si="2"/>
        <v>31.12032</v>
      </c>
      <c r="H96" s="87"/>
    </row>
    <row r="97" spans="1:8" ht="15.75" thickBot="1" x14ac:dyDescent="0.3">
      <c r="A97" s="83"/>
      <c r="B97" s="63" t="s">
        <v>472</v>
      </c>
      <c r="C97" s="63">
        <v>1.6048</v>
      </c>
      <c r="D97" s="63">
        <f>2*References!AX34</f>
        <v>1.4</v>
      </c>
      <c r="E97" s="63">
        <v>22.5</v>
      </c>
      <c r="F97" s="63">
        <v>24</v>
      </c>
      <c r="G97" s="64">
        <f t="shared" si="2"/>
        <v>3.3700799999999997</v>
      </c>
      <c r="H97" s="87"/>
    </row>
    <row r="98" spans="1:8" ht="15.75" thickBot="1" x14ac:dyDescent="0.3">
      <c r="A98" s="83" t="s">
        <v>471</v>
      </c>
      <c r="B98" s="63" t="s">
        <v>64</v>
      </c>
      <c r="C98" s="63">
        <v>2.3576000000000001</v>
      </c>
      <c r="D98" s="63">
        <f>2*References!AX35</f>
        <v>2.4</v>
      </c>
      <c r="E98" s="63">
        <v>22.5</v>
      </c>
      <c r="F98" s="63">
        <v>28</v>
      </c>
      <c r="G98" s="64">
        <f t="shared" si="2"/>
        <v>31.12032</v>
      </c>
      <c r="H98" s="87"/>
    </row>
    <row r="99" spans="1:8" ht="15.75" thickBot="1" x14ac:dyDescent="0.3">
      <c r="A99" s="83"/>
      <c r="B99" s="63" t="s">
        <v>472</v>
      </c>
      <c r="C99" s="63">
        <v>1.6048</v>
      </c>
      <c r="D99" s="63">
        <f>2*References!AX36</f>
        <v>1.4</v>
      </c>
      <c r="E99" s="63">
        <v>22.5</v>
      </c>
      <c r="F99" s="63">
        <v>24</v>
      </c>
      <c r="G99" s="64">
        <f t="shared" si="2"/>
        <v>3.3700799999999997</v>
      </c>
      <c r="H99" s="87"/>
    </row>
    <row r="100" spans="1:8" ht="15.75" thickBot="1" x14ac:dyDescent="0.3">
      <c r="A100" s="83" t="s">
        <v>70</v>
      </c>
      <c r="B100" s="63" t="s">
        <v>64</v>
      </c>
      <c r="C100" s="63">
        <v>2.3576000000000001</v>
      </c>
      <c r="D100" s="63">
        <f>2*References!AX37</f>
        <v>2.4</v>
      </c>
      <c r="E100" s="63">
        <v>22.5</v>
      </c>
      <c r="F100" s="63">
        <v>28</v>
      </c>
      <c r="G100" s="64">
        <f t="shared" si="2"/>
        <v>31.12032</v>
      </c>
      <c r="H100" s="87"/>
    </row>
    <row r="101" spans="1:8" ht="15.75" thickBot="1" x14ac:dyDescent="0.3">
      <c r="A101" s="83"/>
      <c r="B101" s="63" t="s">
        <v>469</v>
      </c>
      <c r="C101" s="63">
        <v>1.6048</v>
      </c>
      <c r="D101" s="63">
        <f>2*References!AX38</f>
        <v>1.4</v>
      </c>
      <c r="E101" s="63">
        <v>22.5</v>
      </c>
      <c r="F101" s="63">
        <v>24</v>
      </c>
      <c r="G101" s="64">
        <f t="shared" si="2"/>
        <v>3.3700799999999997</v>
      </c>
      <c r="H101" s="87"/>
    </row>
    <row r="102" spans="1:8" ht="15.75" thickBot="1" x14ac:dyDescent="0.3">
      <c r="A102" s="83" t="s">
        <v>70</v>
      </c>
      <c r="B102" s="63" t="s">
        <v>64</v>
      </c>
      <c r="C102" s="63">
        <v>2.3576000000000001</v>
      </c>
      <c r="D102" s="63">
        <f>2*References!AX39</f>
        <v>2.4</v>
      </c>
      <c r="E102" s="63">
        <v>22.5</v>
      </c>
      <c r="F102" s="63">
        <v>28</v>
      </c>
      <c r="G102" s="64">
        <f t="shared" si="2"/>
        <v>31.12032</v>
      </c>
      <c r="H102" s="87"/>
    </row>
    <row r="103" spans="1:8" ht="15.75" thickBot="1" x14ac:dyDescent="0.3">
      <c r="A103" s="83"/>
      <c r="B103" s="63" t="s">
        <v>469</v>
      </c>
      <c r="C103" s="63">
        <v>1.6048</v>
      </c>
      <c r="D103" s="63">
        <f>2*References!AX40</f>
        <v>1.4</v>
      </c>
      <c r="E103" s="63">
        <v>22.5</v>
      </c>
      <c r="F103" s="63">
        <v>24</v>
      </c>
      <c r="G103" s="64">
        <f t="shared" si="2"/>
        <v>3.3700799999999997</v>
      </c>
      <c r="H103" s="87"/>
    </row>
    <row r="104" spans="1:8" ht="15.75" thickBot="1" x14ac:dyDescent="0.3">
      <c r="A104" s="83" t="s">
        <v>141</v>
      </c>
      <c r="B104" s="63" t="s">
        <v>64</v>
      </c>
      <c r="C104" s="63">
        <v>2.3576000000000001</v>
      </c>
      <c r="D104" s="63">
        <f>2*References!AX41</f>
        <v>2</v>
      </c>
      <c r="E104" s="63">
        <v>22.5</v>
      </c>
      <c r="F104" s="63">
        <v>28</v>
      </c>
      <c r="G104" s="64">
        <f t="shared" si="2"/>
        <v>25.933600000000002</v>
      </c>
      <c r="H104" s="87"/>
    </row>
    <row r="105" spans="1:8" ht="15.75" thickBot="1" x14ac:dyDescent="0.3">
      <c r="A105" s="83" t="s">
        <v>471</v>
      </c>
      <c r="B105" s="63" t="s">
        <v>64</v>
      </c>
      <c r="C105" s="63">
        <v>2.3576000000000001</v>
      </c>
      <c r="D105" s="63">
        <f>2*References!AX42</f>
        <v>2.4</v>
      </c>
      <c r="E105" s="63">
        <v>22.5</v>
      </c>
      <c r="F105" s="63">
        <v>28</v>
      </c>
      <c r="G105" s="64">
        <f t="shared" si="2"/>
        <v>31.12032</v>
      </c>
      <c r="H105" s="87"/>
    </row>
    <row r="106" spans="1:8" ht="15.75" thickBot="1" x14ac:dyDescent="0.3">
      <c r="A106" s="83"/>
      <c r="B106" s="63" t="s">
        <v>472</v>
      </c>
      <c r="C106" s="63">
        <v>1.6048</v>
      </c>
      <c r="D106" s="63">
        <f>2*References!AX43</f>
        <v>1.4</v>
      </c>
      <c r="E106" s="63">
        <v>22.5</v>
      </c>
      <c r="F106" s="63">
        <v>24</v>
      </c>
      <c r="G106" s="64">
        <f t="shared" si="2"/>
        <v>3.3700799999999997</v>
      </c>
      <c r="H106" s="87"/>
    </row>
    <row r="107" spans="1:8" ht="15.75" thickBot="1" x14ac:dyDescent="0.3">
      <c r="A107" s="83" t="s">
        <v>471</v>
      </c>
      <c r="B107" s="63" t="s">
        <v>64</v>
      </c>
      <c r="C107" s="63">
        <v>2.3576000000000001</v>
      </c>
      <c r="D107" s="63">
        <f>2*References!AX44</f>
        <v>2.4</v>
      </c>
      <c r="E107" s="63">
        <v>22.5</v>
      </c>
      <c r="F107" s="63">
        <v>28</v>
      </c>
      <c r="G107" s="64">
        <f t="shared" si="2"/>
        <v>31.12032</v>
      </c>
      <c r="H107" s="87"/>
    </row>
    <row r="108" spans="1:8" ht="15.75" thickBot="1" x14ac:dyDescent="0.3">
      <c r="A108" s="83"/>
      <c r="B108" s="63" t="s">
        <v>472</v>
      </c>
      <c r="C108" s="63">
        <v>1.6048</v>
      </c>
      <c r="D108" s="63">
        <f>2*References!AX45</f>
        <v>1.4</v>
      </c>
      <c r="E108" s="63">
        <v>22.5</v>
      </c>
      <c r="F108" s="63">
        <v>24</v>
      </c>
      <c r="G108" s="64">
        <f t="shared" si="2"/>
        <v>3.3700799999999997</v>
      </c>
      <c r="H108" s="87"/>
    </row>
    <row r="109" spans="1:8" ht="15.75" thickBot="1" x14ac:dyDescent="0.3">
      <c r="A109" s="83" t="s">
        <v>70</v>
      </c>
      <c r="B109" s="63" t="s">
        <v>64</v>
      </c>
      <c r="C109" s="63">
        <v>2.3576000000000001</v>
      </c>
      <c r="D109" s="63">
        <f>2*References!AX46</f>
        <v>2.4</v>
      </c>
      <c r="E109" s="63">
        <v>22.5</v>
      </c>
      <c r="F109" s="63">
        <v>28</v>
      </c>
      <c r="G109" s="64">
        <f t="shared" si="2"/>
        <v>31.12032</v>
      </c>
      <c r="H109" s="87"/>
    </row>
    <row r="110" spans="1:8" ht="15.75" thickBot="1" x14ac:dyDescent="0.3">
      <c r="A110" s="83"/>
      <c r="B110" s="63" t="s">
        <v>469</v>
      </c>
      <c r="C110" s="63">
        <v>1.6048</v>
      </c>
      <c r="D110" s="63">
        <f>2*References!AX47</f>
        <v>1.4</v>
      </c>
      <c r="E110" s="63">
        <v>22.5</v>
      </c>
      <c r="F110" s="63">
        <v>24</v>
      </c>
      <c r="G110" s="64">
        <f t="shared" si="2"/>
        <v>3.3700799999999997</v>
      </c>
      <c r="H110" s="87"/>
    </row>
    <row r="111" spans="1:8" ht="15.75" thickBot="1" x14ac:dyDescent="0.3">
      <c r="A111" s="83" t="s">
        <v>70</v>
      </c>
      <c r="B111" s="63" t="s">
        <v>64</v>
      </c>
      <c r="C111" s="63">
        <v>2.3576000000000001</v>
      </c>
      <c r="D111" s="63">
        <f>2*References!AX48</f>
        <v>2.4</v>
      </c>
      <c r="E111" s="63">
        <v>22.5</v>
      </c>
      <c r="F111" s="63">
        <v>28</v>
      </c>
      <c r="G111" s="64">
        <f t="shared" si="2"/>
        <v>31.12032</v>
      </c>
      <c r="H111" s="87"/>
    </row>
    <row r="112" spans="1:8" ht="15.75" thickBot="1" x14ac:dyDescent="0.3">
      <c r="A112" s="83"/>
      <c r="B112" s="63" t="s">
        <v>469</v>
      </c>
      <c r="C112" s="63">
        <v>1.6048</v>
      </c>
      <c r="D112" s="63">
        <f>2*References!AX49</f>
        <v>1.4</v>
      </c>
      <c r="E112" s="63">
        <v>22.5</v>
      </c>
      <c r="F112" s="63">
        <v>24</v>
      </c>
      <c r="G112" s="64">
        <f t="shared" si="2"/>
        <v>3.3700799999999997</v>
      </c>
      <c r="H112" s="87"/>
    </row>
    <row r="113" spans="1:8" ht="15.75" thickBot="1" x14ac:dyDescent="0.3">
      <c r="A113" s="83" t="s">
        <v>523</v>
      </c>
      <c r="B113" s="63" t="s">
        <v>64</v>
      </c>
      <c r="C113" s="63">
        <v>2.3576000000000001</v>
      </c>
      <c r="D113" s="63">
        <f>2*References!AX50</f>
        <v>1.8</v>
      </c>
      <c r="E113" s="63">
        <v>22.5</v>
      </c>
      <c r="F113" s="63">
        <v>28</v>
      </c>
      <c r="G113" s="64">
        <f t="shared" si="2"/>
        <v>23.340240000000001</v>
      </c>
      <c r="H113" s="87"/>
    </row>
    <row r="114" spans="1:8" ht="15.75" thickBot="1" x14ac:dyDescent="0.3">
      <c r="A114" s="83"/>
      <c r="B114" s="63" t="s">
        <v>225</v>
      </c>
      <c r="C114" s="63">
        <v>1.6048</v>
      </c>
      <c r="D114" s="63">
        <f>2*References!AX51</f>
        <v>1.2</v>
      </c>
      <c r="E114" s="63">
        <v>22.5</v>
      </c>
      <c r="F114" s="63">
        <v>24</v>
      </c>
      <c r="G114" s="64">
        <f t="shared" si="2"/>
        <v>2.8886399999999997</v>
      </c>
      <c r="H114" s="87"/>
    </row>
    <row r="115" spans="1:8" ht="15.75" thickBot="1" x14ac:dyDescent="0.3">
      <c r="A115" s="83" t="s">
        <v>127</v>
      </c>
      <c r="B115" s="63" t="s">
        <v>64</v>
      </c>
      <c r="C115" s="63">
        <v>2.3576000000000001</v>
      </c>
      <c r="D115" s="63">
        <f>2*References!AX52</f>
        <v>2</v>
      </c>
      <c r="E115" s="63">
        <v>22.5</v>
      </c>
      <c r="F115" s="63">
        <v>28</v>
      </c>
      <c r="G115" s="64">
        <f t="shared" si="2"/>
        <v>25.933600000000002</v>
      </c>
      <c r="H115" s="87"/>
    </row>
    <row r="116" spans="1:8" ht="15.75" thickBot="1" x14ac:dyDescent="0.3">
      <c r="A116" s="83"/>
      <c r="B116" s="63" t="s">
        <v>128</v>
      </c>
      <c r="C116" s="63">
        <v>2.3576000000000001</v>
      </c>
      <c r="D116" s="63">
        <f>2*References!AX53</f>
        <v>1.8</v>
      </c>
      <c r="E116" s="63">
        <v>22.5</v>
      </c>
      <c r="F116" s="63">
        <v>24</v>
      </c>
      <c r="G116" s="64">
        <f t="shared" si="2"/>
        <v>6.3655200000000001</v>
      </c>
      <c r="H116" s="114"/>
    </row>
    <row r="117" spans="1:8" ht="15.75" thickBot="1" x14ac:dyDescent="0.3">
      <c r="A117" s="83" t="s">
        <v>139</v>
      </c>
      <c r="B117" s="63" t="s">
        <v>64</v>
      </c>
      <c r="C117" s="63">
        <v>2.3576000000000001</v>
      </c>
      <c r="D117" s="63">
        <f>2*References!AX54</f>
        <v>3.2</v>
      </c>
      <c r="E117" s="63">
        <v>22</v>
      </c>
      <c r="F117" s="63">
        <v>28</v>
      </c>
      <c r="G117" s="64">
        <f t="shared" si="2"/>
        <v>45.265920000000008</v>
      </c>
      <c r="H117" s="87"/>
    </row>
    <row r="118" spans="1:8" ht="15.75" thickBot="1" x14ac:dyDescent="0.3">
      <c r="A118" s="83"/>
      <c r="B118" s="63" t="s">
        <v>524</v>
      </c>
      <c r="C118" s="63">
        <v>2.3576000000000001</v>
      </c>
      <c r="D118" s="63">
        <f>2*References!AX55</f>
        <v>1.8</v>
      </c>
      <c r="E118" s="63">
        <v>22</v>
      </c>
      <c r="F118" s="63">
        <v>24</v>
      </c>
      <c r="G118" s="64">
        <f t="shared" si="2"/>
        <v>8.4873600000000007</v>
      </c>
      <c r="H118" s="114"/>
    </row>
    <row r="119" spans="1:8" ht="15.75" thickBot="1" x14ac:dyDescent="0.3">
      <c r="A119" s="83" t="s">
        <v>192</v>
      </c>
      <c r="B119" s="63" t="s">
        <v>226</v>
      </c>
      <c r="C119" s="63">
        <v>1.6048</v>
      </c>
      <c r="D119" s="63">
        <f>2*References!AX56</f>
        <v>1.4</v>
      </c>
      <c r="E119" s="63">
        <v>22.5</v>
      </c>
      <c r="F119" s="63">
        <v>24</v>
      </c>
      <c r="G119" s="64">
        <f t="shared" si="2"/>
        <v>3.3700799999999997</v>
      </c>
      <c r="H119" s="87"/>
    </row>
    <row r="120" spans="1:8" ht="15.75" thickBot="1" x14ac:dyDescent="0.3">
      <c r="A120" s="83"/>
      <c r="B120" s="63" t="s">
        <v>64</v>
      </c>
      <c r="C120" s="63">
        <v>2.3576000000000001</v>
      </c>
      <c r="D120" s="63">
        <f>2*References!AX57</f>
        <v>2</v>
      </c>
      <c r="E120" s="63">
        <v>22.5</v>
      </c>
      <c r="F120" s="63">
        <v>28</v>
      </c>
      <c r="G120" s="64">
        <f t="shared" si="2"/>
        <v>25.933600000000002</v>
      </c>
      <c r="H120" s="87"/>
    </row>
    <row r="121" spans="1:8" ht="15.75" thickBot="1" x14ac:dyDescent="0.3">
      <c r="A121" s="83"/>
      <c r="B121" s="63" t="s">
        <v>64</v>
      </c>
      <c r="C121" s="63">
        <v>2.3576000000000001</v>
      </c>
      <c r="D121" s="63">
        <f>2*References!AX58</f>
        <v>3.2</v>
      </c>
      <c r="E121" s="63">
        <v>22.5</v>
      </c>
      <c r="F121" s="63">
        <v>28</v>
      </c>
      <c r="G121" s="64">
        <f t="shared" si="2"/>
        <v>41.493760000000002</v>
      </c>
      <c r="H121" s="87"/>
    </row>
    <row r="122" spans="1:8" ht="15.75" thickBot="1" x14ac:dyDescent="0.3">
      <c r="A122" s="83" t="s">
        <v>522</v>
      </c>
      <c r="B122" s="63" t="s">
        <v>64</v>
      </c>
      <c r="C122" s="63">
        <v>2.3576000000000001</v>
      </c>
      <c r="D122" s="63">
        <f>2*References!AX59</f>
        <v>1.6</v>
      </c>
      <c r="E122" s="63">
        <v>22.5</v>
      </c>
      <c r="F122" s="63">
        <v>28</v>
      </c>
      <c r="G122" s="64">
        <f t="shared" si="2"/>
        <v>20.746880000000001</v>
      </c>
      <c r="H122" s="87"/>
    </row>
    <row r="123" spans="1:8" ht="15.75" thickBot="1" x14ac:dyDescent="0.3">
      <c r="A123" s="83" t="s">
        <v>477</v>
      </c>
      <c r="B123" s="63" t="s">
        <v>64</v>
      </c>
      <c r="C123" s="63">
        <v>2.3576000000000001</v>
      </c>
      <c r="D123" s="63">
        <f>2*References!AX60</f>
        <v>1.8</v>
      </c>
      <c r="E123" s="63">
        <v>22</v>
      </c>
      <c r="F123" s="63">
        <v>28</v>
      </c>
      <c r="G123" s="64">
        <f t="shared" si="2"/>
        <v>25.46208</v>
      </c>
      <c r="H123" s="87"/>
    </row>
    <row r="124" spans="1:8" ht="15.75" thickBot="1" x14ac:dyDescent="0.3">
      <c r="A124" s="83" t="s">
        <v>412</v>
      </c>
      <c r="B124" s="63" t="s">
        <v>64</v>
      </c>
      <c r="C124" s="63">
        <v>2.3576000000000001</v>
      </c>
      <c r="D124" s="63">
        <f>2*References!AX61</f>
        <v>3.2</v>
      </c>
      <c r="E124" s="63">
        <v>22</v>
      </c>
      <c r="F124" s="63">
        <v>28</v>
      </c>
      <c r="G124" s="64">
        <f t="shared" si="2"/>
        <v>45.265920000000008</v>
      </c>
      <c r="H124" s="87"/>
    </row>
    <row r="125" spans="1:8" ht="15.75" thickBot="1" x14ac:dyDescent="0.3">
      <c r="A125" s="83"/>
      <c r="B125" s="63" t="s">
        <v>524</v>
      </c>
      <c r="C125" s="63">
        <v>2.3576000000000001</v>
      </c>
      <c r="D125" s="63">
        <f>2*References!AX62</f>
        <v>1.8</v>
      </c>
      <c r="E125" s="63">
        <v>22</v>
      </c>
      <c r="F125" s="63">
        <v>24</v>
      </c>
      <c r="G125" s="64">
        <f t="shared" si="2"/>
        <v>8.4873600000000007</v>
      </c>
      <c r="H125" s="87"/>
    </row>
    <row r="126" spans="1:8" ht="15.75" thickBot="1" x14ac:dyDescent="0.3">
      <c r="A126" s="83" t="s">
        <v>480</v>
      </c>
      <c r="B126" s="63" t="s">
        <v>64</v>
      </c>
      <c r="C126" s="63">
        <v>2.3576000000000001</v>
      </c>
      <c r="D126" s="63">
        <f>2*References!AX63</f>
        <v>1.4</v>
      </c>
      <c r="E126" s="63">
        <v>24</v>
      </c>
      <c r="F126" s="63">
        <v>28</v>
      </c>
      <c r="G126" s="64">
        <f t="shared" si="2"/>
        <v>13.20256</v>
      </c>
      <c r="H126" s="87"/>
    </row>
    <row r="127" spans="1:8" ht="15.75" thickBot="1" x14ac:dyDescent="0.3">
      <c r="A127" s="83" t="s">
        <v>414</v>
      </c>
      <c r="B127" s="63" t="s">
        <v>64</v>
      </c>
      <c r="C127" s="63">
        <v>2.3576000000000001</v>
      </c>
      <c r="D127" s="63">
        <f>2*References!AX64</f>
        <v>2</v>
      </c>
      <c r="E127" s="63">
        <v>24</v>
      </c>
      <c r="F127" s="63">
        <v>28</v>
      </c>
      <c r="G127" s="64">
        <f t="shared" si="2"/>
        <v>18.860800000000001</v>
      </c>
      <c r="H127" s="87"/>
    </row>
    <row r="128" spans="1:8" ht="15.75" thickBot="1" x14ac:dyDescent="0.3">
      <c r="A128" s="83" t="s">
        <v>228</v>
      </c>
      <c r="B128" s="63" t="s">
        <v>64</v>
      </c>
      <c r="C128" s="63">
        <v>2.3576000000000001</v>
      </c>
      <c r="D128" s="63">
        <f>2*References!AX65</f>
        <v>1.6</v>
      </c>
      <c r="E128" s="63">
        <v>24</v>
      </c>
      <c r="F128" s="63">
        <v>28</v>
      </c>
      <c r="G128" s="64">
        <f t="shared" si="2"/>
        <v>15.088640000000002</v>
      </c>
      <c r="H128" s="87"/>
    </row>
    <row r="129" spans="1:8" ht="15.75" thickBot="1" x14ac:dyDescent="0.3">
      <c r="A129" s="83" t="s">
        <v>521</v>
      </c>
      <c r="B129" s="63" t="s">
        <v>64</v>
      </c>
      <c r="C129" s="63">
        <v>2.3576000000000001</v>
      </c>
      <c r="D129" s="63">
        <f>2*References!AX66</f>
        <v>1.8</v>
      </c>
      <c r="E129" s="63">
        <v>24</v>
      </c>
      <c r="F129" s="63">
        <v>28</v>
      </c>
      <c r="G129" s="64">
        <f t="shared" si="2"/>
        <v>16.974720000000001</v>
      </c>
      <c r="H129" s="87"/>
    </row>
    <row r="130" spans="1:8" ht="15.75" thickBot="1" x14ac:dyDescent="0.3">
      <c r="A130" s="83" t="s">
        <v>131</v>
      </c>
      <c r="B130" s="63" t="s">
        <v>64</v>
      </c>
      <c r="C130" s="63">
        <v>2.3576000000000001</v>
      </c>
      <c r="D130" s="63">
        <f>2*References!AX67</f>
        <v>1.6</v>
      </c>
      <c r="E130" s="63">
        <v>22.5</v>
      </c>
      <c r="F130" s="63">
        <v>28</v>
      </c>
      <c r="G130" s="64">
        <f t="shared" si="2"/>
        <v>20.746880000000001</v>
      </c>
      <c r="H130" s="87"/>
    </row>
    <row r="131" spans="1:8" ht="15.75" thickBot="1" x14ac:dyDescent="0.3">
      <c r="A131" s="83"/>
      <c r="B131" s="63" t="s">
        <v>64</v>
      </c>
      <c r="C131" s="63">
        <v>2.3576000000000001</v>
      </c>
      <c r="D131" s="63">
        <f>2*References!AX68</f>
        <v>1.8</v>
      </c>
      <c r="E131" s="63">
        <v>22.5</v>
      </c>
      <c r="F131" s="63">
        <v>28</v>
      </c>
      <c r="G131" s="64">
        <f t="shared" si="2"/>
        <v>23.340240000000001</v>
      </c>
      <c r="H131" s="87"/>
    </row>
    <row r="132" spans="1:8" ht="15.75" thickBot="1" x14ac:dyDescent="0.3">
      <c r="A132" s="83"/>
      <c r="B132" s="63" t="s">
        <v>162</v>
      </c>
      <c r="C132" s="63">
        <v>1.6048</v>
      </c>
      <c r="D132" s="63">
        <f>2*References!AX69</f>
        <v>1.2</v>
      </c>
      <c r="E132" s="63">
        <v>22.5</v>
      </c>
      <c r="F132" s="63">
        <v>24</v>
      </c>
      <c r="G132" s="64">
        <f t="shared" si="2"/>
        <v>2.8886399999999997</v>
      </c>
      <c r="H132" s="87"/>
    </row>
    <row r="133" spans="1:8" ht="15.75" thickBot="1" x14ac:dyDescent="0.3">
      <c r="A133" s="83"/>
      <c r="B133" s="63" t="s">
        <v>163</v>
      </c>
      <c r="C133" s="63">
        <v>1.6048</v>
      </c>
      <c r="D133" s="63">
        <f>2*References!AX70</f>
        <v>1.2</v>
      </c>
      <c r="E133" s="63">
        <v>22.5</v>
      </c>
      <c r="F133" s="63">
        <v>24</v>
      </c>
      <c r="G133" s="64">
        <f t="shared" si="2"/>
        <v>2.8886399999999997</v>
      </c>
      <c r="H133" s="87"/>
    </row>
    <row r="134" spans="1:8" ht="15.75" thickBot="1" x14ac:dyDescent="0.3">
      <c r="A134" s="83"/>
      <c r="B134" s="63" t="s">
        <v>164</v>
      </c>
      <c r="C134" s="63">
        <v>1.6048</v>
      </c>
      <c r="D134" s="63">
        <f>2*References!AX71</f>
        <v>1.2</v>
      </c>
      <c r="E134" s="63">
        <v>22.5</v>
      </c>
      <c r="F134" s="63">
        <v>24</v>
      </c>
      <c r="G134" s="64">
        <f t="shared" si="2"/>
        <v>2.8886399999999997</v>
      </c>
      <c r="H134" s="87"/>
    </row>
    <row r="135" spans="1:8" ht="15.75" thickBot="1" x14ac:dyDescent="0.3">
      <c r="A135" s="83" t="s">
        <v>129</v>
      </c>
      <c r="B135" s="63" t="s">
        <v>64</v>
      </c>
      <c r="C135" s="63">
        <v>2.3576000000000001</v>
      </c>
      <c r="D135" s="63">
        <f>2*References!AX72</f>
        <v>3.2</v>
      </c>
      <c r="E135" s="63">
        <v>22.5</v>
      </c>
      <c r="F135" s="63">
        <v>28</v>
      </c>
      <c r="G135" s="64">
        <f t="shared" si="2"/>
        <v>41.493760000000002</v>
      </c>
    </row>
    <row r="136" spans="1:8" ht="15.75" thickBot="1" x14ac:dyDescent="0.3">
      <c r="A136" s="85"/>
      <c r="B136" s="71" t="s">
        <v>155</v>
      </c>
      <c r="C136" s="71">
        <v>1.6048</v>
      </c>
      <c r="D136" s="71">
        <f>2*References!AX73</f>
        <v>1.2</v>
      </c>
      <c r="E136" s="71">
        <v>22.5</v>
      </c>
      <c r="F136" s="71">
        <v>24</v>
      </c>
      <c r="G136" s="72">
        <f t="shared" si="2"/>
        <v>2.8886399999999997</v>
      </c>
    </row>
    <row r="137" spans="1:8" ht="15.75" thickBot="1" x14ac:dyDescent="0.3">
      <c r="F137" s="124" t="s">
        <v>333</v>
      </c>
      <c r="G137" s="124">
        <f>SUM(Table27[Qs (W)])</f>
        <v>1229.8197599999994</v>
      </c>
    </row>
    <row r="138" spans="1:8" s="121" customFormat="1" x14ac:dyDescent="0.25"/>
    <row r="139" spans="1:8" s="121" customFormat="1" x14ac:dyDescent="0.25"/>
    <row r="140" spans="1:8" ht="15.75" thickBot="1" x14ac:dyDescent="0.3">
      <c r="A140" s="16" t="s">
        <v>546</v>
      </c>
      <c r="B140" s="17" t="s">
        <v>545</v>
      </c>
      <c r="C140" s="17" t="s">
        <v>2</v>
      </c>
      <c r="D140" s="17" t="s">
        <v>53</v>
      </c>
      <c r="E140" s="17" t="s">
        <v>7</v>
      </c>
      <c r="F140" s="17" t="s">
        <v>12</v>
      </c>
      <c r="G140" s="18" t="s">
        <v>23</v>
      </c>
      <c r="H140" s="87"/>
    </row>
    <row r="141" spans="1:8" ht="15.75" thickBot="1" x14ac:dyDescent="0.3">
      <c r="A141" s="85" t="s">
        <v>60</v>
      </c>
      <c r="B141" s="63" t="s">
        <v>64</v>
      </c>
      <c r="C141" s="63">
        <v>2.3576000000000001</v>
      </c>
      <c r="D141" s="63">
        <f>2*References!AY4</f>
        <v>2.4</v>
      </c>
      <c r="E141" s="63">
        <v>22.5</v>
      </c>
      <c r="F141" s="63">
        <v>28</v>
      </c>
      <c r="G141" s="64">
        <f>C141*D141*(F141-E141)</f>
        <v>31.12032</v>
      </c>
      <c r="H141" s="87"/>
    </row>
    <row r="142" spans="1:8" ht="15.75" thickBot="1" x14ac:dyDescent="0.3">
      <c r="A142" s="81"/>
      <c r="B142" s="63" t="s">
        <v>482</v>
      </c>
      <c r="C142" s="63">
        <v>1.6048</v>
      </c>
      <c r="D142" s="63">
        <f>2*References!AY5</f>
        <v>1.4</v>
      </c>
      <c r="E142" s="63">
        <v>22.5</v>
      </c>
      <c r="F142" s="63">
        <v>24</v>
      </c>
      <c r="G142" s="64">
        <f t="shared" ref="G142:G200" si="5">C142*D142*(F142-E142)</f>
        <v>3.3700799999999997</v>
      </c>
      <c r="H142" s="87"/>
    </row>
    <row r="143" spans="1:8" ht="15.75" thickBot="1" x14ac:dyDescent="0.3">
      <c r="A143" s="85" t="s">
        <v>60</v>
      </c>
      <c r="B143" s="63" t="s">
        <v>64</v>
      </c>
      <c r="C143" s="63">
        <v>2.3576000000000001</v>
      </c>
      <c r="D143" s="63">
        <f>2*References!AY6</f>
        <v>2.4</v>
      </c>
      <c r="E143" s="63">
        <v>22.5</v>
      </c>
      <c r="F143" s="63">
        <v>28</v>
      </c>
      <c r="G143" s="64">
        <f t="shared" si="5"/>
        <v>31.12032</v>
      </c>
      <c r="H143" s="87"/>
    </row>
    <row r="144" spans="1:8" ht="15.75" thickBot="1" x14ac:dyDescent="0.3">
      <c r="A144" s="81"/>
      <c r="B144" s="63" t="s">
        <v>482</v>
      </c>
      <c r="C144" s="63">
        <v>1.6048</v>
      </c>
      <c r="D144" s="63">
        <f>2*References!AY7</f>
        <v>1.4</v>
      </c>
      <c r="E144" s="63">
        <v>22.5</v>
      </c>
      <c r="F144" s="63">
        <v>24</v>
      </c>
      <c r="G144" s="64">
        <f t="shared" si="5"/>
        <v>3.3700799999999997</v>
      </c>
      <c r="H144" s="87"/>
    </row>
    <row r="145" spans="1:8" ht="15.75" thickBot="1" x14ac:dyDescent="0.3">
      <c r="A145" s="85" t="s">
        <v>60</v>
      </c>
      <c r="B145" s="63" t="s">
        <v>64</v>
      </c>
      <c r="C145" s="63">
        <v>2.3576000000000001</v>
      </c>
      <c r="D145" s="63">
        <f>2*References!AY8</f>
        <v>2.4</v>
      </c>
      <c r="E145" s="63">
        <v>22.5</v>
      </c>
      <c r="F145" s="63">
        <v>28</v>
      </c>
      <c r="G145" s="64">
        <f t="shared" si="5"/>
        <v>31.12032</v>
      </c>
      <c r="H145" s="87"/>
    </row>
    <row r="146" spans="1:8" ht="15.75" thickBot="1" x14ac:dyDescent="0.3">
      <c r="A146" s="81"/>
      <c r="B146" s="63" t="s">
        <v>482</v>
      </c>
      <c r="C146" s="63">
        <v>1.6048</v>
      </c>
      <c r="D146" s="63">
        <f>2*References!AY9</f>
        <v>1.4</v>
      </c>
      <c r="E146" s="63">
        <v>22.5</v>
      </c>
      <c r="F146" s="63">
        <v>24</v>
      </c>
      <c r="G146" s="64">
        <f t="shared" si="5"/>
        <v>3.3700799999999997</v>
      </c>
      <c r="H146" s="87"/>
    </row>
    <row r="147" spans="1:8" ht="15.75" thickBot="1" x14ac:dyDescent="0.3">
      <c r="A147" s="85" t="s">
        <v>60</v>
      </c>
      <c r="B147" s="63" t="s">
        <v>64</v>
      </c>
      <c r="C147" s="63">
        <v>2.3576000000000001</v>
      </c>
      <c r="D147" s="63">
        <f>2*References!AY10</f>
        <v>2.4</v>
      </c>
      <c r="E147" s="63">
        <v>22.5</v>
      </c>
      <c r="F147" s="63">
        <v>28</v>
      </c>
      <c r="G147" s="64">
        <f t="shared" si="5"/>
        <v>31.12032</v>
      </c>
      <c r="H147" s="87"/>
    </row>
    <row r="148" spans="1:8" ht="15.75" thickBot="1" x14ac:dyDescent="0.3">
      <c r="A148" s="81"/>
      <c r="B148" s="63" t="s">
        <v>482</v>
      </c>
      <c r="C148" s="63">
        <v>1.6048</v>
      </c>
      <c r="D148" s="63">
        <f>2*References!AY11</f>
        <v>1.4</v>
      </c>
      <c r="E148" s="63">
        <v>22.5</v>
      </c>
      <c r="F148" s="63">
        <v>24</v>
      </c>
      <c r="G148" s="64">
        <f t="shared" si="5"/>
        <v>3.3700799999999997</v>
      </c>
      <c r="H148" s="87"/>
    </row>
    <row r="149" spans="1:8" ht="15.75" thickBot="1" x14ac:dyDescent="0.3">
      <c r="A149" s="141" t="s">
        <v>66</v>
      </c>
      <c r="B149" s="63" t="s">
        <v>64</v>
      </c>
      <c r="C149" s="63">
        <v>2.3576000000000001</v>
      </c>
      <c r="D149" s="63">
        <f>2*References!AY12</f>
        <v>2.4</v>
      </c>
      <c r="E149" s="63">
        <v>22.5</v>
      </c>
      <c r="F149" s="63">
        <v>28</v>
      </c>
      <c r="G149" s="64">
        <f t="shared" si="5"/>
        <v>31.12032</v>
      </c>
      <c r="H149" s="87"/>
    </row>
    <row r="150" spans="1:8" ht="15.75" thickBot="1" x14ac:dyDescent="0.3">
      <c r="A150" s="142"/>
      <c r="B150" s="63" t="s">
        <v>88</v>
      </c>
      <c r="C150" s="63">
        <v>1.6048</v>
      </c>
      <c r="D150" s="63">
        <f>2*References!AY13</f>
        <v>1.4</v>
      </c>
      <c r="E150" s="63">
        <v>22.5</v>
      </c>
      <c r="F150" s="63">
        <v>24</v>
      </c>
      <c r="G150" s="64">
        <f t="shared" si="5"/>
        <v>3.3700799999999997</v>
      </c>
      <c r="H150" s="87"/>
    </row>
    <row r="151" spans="1:8" ht="15.75" thickBot="1" x14ac:dyDescent="0.3">
      <c r="A151" s="141" t="s">
        <v>70</v>
      </c>
      <c r="B151" s="63" t="s">
        <v>64</v>
      </c>
      <c r="C151" s="63">
        <v>2.3576000000000001</v>
      </c>
      <c r="D151" s="63">
        <f>2*References!AY14</f>
        <v>2.4</v>
      </c>
      <c r="E151" s="63">
        <v>22.5</v>
      </c>
      <c r="F151" s="63">
        <v>28</v>
      </c>
      <c r="G151" s="64">
        <f t="shared" si="5"/>
        <v>31.12032</v>
      </c>
      <c r="H151" s="87"/>
    </row>
    <row r="152" spans="1:8" ht="15.75" thickBot="1" x14ac:dyDescent="0.3">
      <c r="A152" s="142"/>
      <c r="B152" s="63" t="s">
        <v>469</v>
      </c>
      <c r="C152" s="63">
        <v>1.6048</v>
      </c>
      <c r="D152" s="63">
        <f>2*References!AY15</f>
        <v>1.4</v>
      </c>
      <c r="E152" s="63">
        <v>22.5</v>
      </c>
      <c r="F152" s="63">
        <v>24</v>
      </c>
      <c r="G152" s="64">
        <f t="shared" si="5"/>
        <v>3.3700799999999997</v>
      </c>
      <c r="H152" s="87"/>
    </row>
    <row r="153" spans="1:8" ht="15.75" thickBot="1" x14ac:dyDescent="0.3">
      <c r="A153" s="141" t="s">
        <v>70</v>
      </c>
      <c r="B153" s="63" t="s">
        <v>64</v>
      </c>
      <c r="C153" s="63">
        <v>2.3576000000000001</v>
      </c>
      <c r="D153" s="63">
        <f>2*References!AY16</f>
        <v>2.4</v>
      </c>
      <c r="E153" s="63">
        <v>22.5</v>
      </c>
      <c r="F153" s="63">
        <v>28</v>
      </c>
      <c r="G153" s="64">
        <f t="shared" si="5"/>
        <v>31.12032</v>
      </c>
      <c r="H153" s="87"/>
    </row>
    <row r="154" spans="1:8" ht="15.75" thickBot="1" x14ac:dyDescent="0.3">
      <c r="A154" s="142"/>
      <c r="B154" s="63" t="s">
        <v>469</v>
      </c>
      <c r="C154" s="63">
        <v>1.6048</v>
      </c>
      <c r="D154" s="63">
        <f>2*References!AY17</f>
        <v>1.4</v>
      </c>
      <c r="E154" s="63">
        <v>22.5</v>
      </c>
      <c r="F154" s="63">
        <v>24</v>
      </c>
      <c r="G154" s="64">
        <f t="shared" si="5"/>
        <v>3.3700799999999997</v>
      </c>
      <c r="H154" s="87"/>
    </row>
    <row r="155" spans="1:8" ht="15.75" thickBot="1" x14ac:dyDescent="0.3">
      <c r="A155" s="141" t="s">
        <v>519</v>
      </c>
      <c r="B155" s="63" t="s">
        <v>64</v>
      </c>
      <c r="C155" s="63">
        <v>2.3576000000000001</v>
      </c>
      <c r="D155" s="63">
        <f>2*References!AY18</f>
        <v>1.8</v>
      </c>
      <c r="E155" s="63">
        <v>22.5</v>
      </c>
      <c r="F155" s="63">
        <v>28</v>
      </c>
      <c r="G155" s="64">
        <f t="shared" si="5"/>
        <v>23.340240000000001</v>
      </c>
      <c r="H155" s="87"/>
    </row>
    <row r="156" spans="1:8" ht="15.75" thickBot="1" x14ac:dyDescent="0.3">
      <c r="A156" s="142"/>
      <c r="B156" s="63" t="s">
        <v>212</v>
      </c>
      <c r="C156" s="63">
        <v>1.6048</v>
      </c>
      <c r="D156" s="63">
        <f>2*References!AY19</f>
        <v>1.4</v>
      </c>
      <c r="E156" s="63">
        <v>22.5</v>
      </c>
      <c r="F156" s="63">
        <v>24</v>
      </c>
      <c r="G156" s="64">
        <f t="shared" si="5"/>
        <v>3.3700799999999997</v>
      </c>
      <c r="H156" s="87"/>
    </row>
    <row r="157" spans="1:8" ht="15.75" thickBot="1" x14ac:dyDescent="0.3">
      <c r="A157" s="140" t="s">
        <v>174</v>
      </c>
      <c r="B157" s="63" t="s">
        <v>64</v>
      </c>
      <c r="C157" s="63">
        <v>2.3576000000000001</v>
      </c>
      <c r="D157" s="63">
        <f>2*References!AY20</f>
        <v>2.4</v>
      </c>
      <c r="E157" s="63">
        <v>22.5</v>
      </c>
      <c r="F157" s="63">
        <v>28</v>
      </c>
      <c r="G157" s="64">
        <f t="shared" si="5"/>
        <v>31.12032</v>
      </c>
      <c r="H157" s="87"/>
    </row>
    <row r="158" spans="1:8" ht="15.75" thickBot="1" x14ac:dyDescent="0.3">
      <c r="A158" s="140" t="s">
        <v>176</v>
      </c>
      <c r="B158" s="63" t="s">
        <v>64</v>
      </c>
      <c r="C158" s="63">
        <v>2.3576000000000001</v>
      </c>
      <c r="D158" s="63">
        <f>2*References!AY21</f>
        <v>1.2</v>
      </c>
      <c r="E158" s="63">
        <v>24</v>
      </c>
      <c r="F158" s="63">
        <v>28</v>
      </c>
      <c r="G158" s="64">
        <f t="shared" si="5"/>
        <v>11.31648</v>
      </c>
      <c r="H158" s="87"/>
    </row>
    <row r="159" spans="1:8" ht="15.75" thickBot="1" x14ac:dyDescent="0.3">
      <c r="A159" s="140" t="s">
        <v>177</v>
      </c>
      <c r="B159" s="63" t="s">
        <v>64</v>
      </c>
      <c r="C159" s="63">
        <v>2.3576000000000001</v>
      </c>
      <c r="D159" s="63">
        <f>2*References!AY22</f>
        <v>1.2</v>
      </c>
      <c r="E159" s="63">
        <v>24</v>
      </c>
      <c r="F159" s="63">
        <v>28</v>
      </c>
      <c r="G159" s="64">
        <f t="shared" si="5"/>
        <v>11.31648</v>
      </c>
      <c r="H159" s="87"/>
    </row>
    <row r="160" spans="1:8" ht="15.75" thickBot="1" x14ac:dyDescent="0.3">
      <c r="A160" s="140" t="s">
        <v>204</v>
      </c>
      <c r="B160" s="63" t="s">
        <v>64</v>
      </c>
      <c r="C160" s="63">
        <v>2.3576000000000001</v>
      </c>
      <c r="D160" s="63">
        <f>2*References!AY23</f>
        <v>1.2</v>
      </c>
      <c r="E160" s="63">
        <v>24</v>
      </c>
      <c r="F160" s="63">
        <v>28</v>
      </c>
      <c r="G160" s="64">
        <f t="shared" si="5"/>
        <v>11.31648</v>
      </c>
      <c r="H160" s="114"/>
    </row>
    <row r="161" spans="1:8" ht="15.75" thickBot="1" x14ac:dyDescent="0.3">
      <c r="A161" s="141" t="s">
        <v>70</v>
      </c>
      <c r="B161" s="63" t="s">
        <v>64</v>
      </c>
      <c r="C161" s="63">
        <v>2.3576000000000001</v>
      </c>
      <c r="D161" s="63">
        <f>2*References!AY24</f>
        <v>2.4</v>
      </c>
      <c r="E161" s="63">
        <v>22.5</v>
      </c>
      <c r="F161" s="63">
        <v>28</v>
      </c>
      <c r="G161" s="64">
        <f t="shared" si="5"/>
        <v>31.12032</v>
      </c>
      <c r="H161" s="87"/>
    </row>
    <row r="162" spans="1:8" ht="15.75" thickBot="1" x14ac:dyDescent="0.3">
      <c r="A162" s="142"/>
      <c r="B162" s="63" t="s">
        <v>469</v>
      </c>
      <c r="C162" s="63">
        <v>1.6048</v>
      </c>
      <c r="D162" s="63">
        <f>2*References!AY25</f>
        <v>1.4</v>
      </c>
      <c r="E162" s="63">
        <v>22.5</v>
      </c>
      <c r="F162" s="63">
        <v>24</v>
      </c>
      <c r="G162" s="64">
        <f t="shared" si="5"/>
        <v>3.3700799999999997</v>
      </c>
      <c r="H162" s="87"/>
    </row>
    <row r="163" spans="1:8" ht="15.75" thickBot="1" x14ac:dyDescent="0.3">
      <c r="A163" s="141" t="s">
        <v>70</v>
      </c>
      <c r="B163" s="63" t="s">
        <v>64</v>
      </c>
      <c r="C163" s="63">
        <v>2.3576000000000001</v>
      </c>
      <c r="D163" s="63">
        <f>2*References!AY26</f>
        <v>2.4</v>
      </c>
      <c r="E163" s="63">
        <v>22.5</v>
      </c>
      <c r="F163" s="63">
        <v>28</v>
      </c>
      <c r="G163" s="64">
        <f t="shared" si="5"/>
        <v>31.12032</v>
      </c>
      <c r="H163" s="87"/>
    </row>
    <row r="164" spans="1:8" ht="15.75" thickBot="1" x14ac:dyDescent="0.3">
      <c r="A164" s="142"/>
      <c r="B164" s="63" t="s">
        <v>469</v>
      </c>
      <c r="C164" s="63">
        <v>1.6048</v>
      </c>
      <c r="D164" s="63">
        <f>2*References!AY27</f>
        <v>1.4</v>
      </c>
      <c r="E164" s="63">
        <v>22.5</v>
      </c>
      <c r="F164" s="63">
        <v>24</v>
      </c>
      <c r="G164" s="64">
        <f t="shared" si="5"/>
        <v>3.3700799999999997</v>
      </c>
      <c r="H164" s="87"/>
    </row>
    <row r="165" spans="1:8" ht="15.75" thickBot="1" x14ac:dyDescent="0.3">
      <c r="A165" s="141" t="s">
        <v>66</v>
      </c>
      <c r="B165" s="63" t="s">
        <v>64</v>
      </c>
      <c r="C165" s="63">
        <v>2.3576000000000001</v>
      </c>
      <c r="D165" s="63">
        <f>2*References!AY28</f>
        <v>2.4</v>
      </c>
      <c r="E165" s="63">
        <v>22.5</v>
      </c>
      <c r="F165" s="63">
        <v>28</v>
      </c>
      <c r="G165" s="64">
        <f t="shared" si="5"/>
        <v>31.12032</v>
      </c>
      <c r="H165" s="87"/>
    </row>
    <row r="166" spans="1:8" ht="15.75" thickBot="1" x14ac:dyDescent="0.3">
      <c r="A166" s="142"/>
      <c r="B166" s="63" t="s">
        <v>88</v>
      </c>
      <c r="C166" s="63">
        <v>1.6048</v>
      </c>
      <c r="D166" s="63">
        <f>2*References!AY29</f>
        <v>1.4</v>
      </c>
      <c r="E166" s="63">
        <v>22.5</v>
      </c>
      <c r="F166" s="63">
        <v>24</v>
      </c>
      <c r="G166" s="64">
        <f t="shared" si="5"/>
        <v>3.3700799999999997</v>
      </c>
      <c r="H166" s="87"/>
    </row>
    <row r="167" spans="1:8" ht="15.75" thickBot="1" x14ac:dyDescent="0.3">
      <c r="A167" s="141" t="s">
        <v>70</v>
      </c>
      <c r="B167" s="63" t="s">
        <v>64</v>
      </c>
      <c r="C167" s="63">
        <v>2.3576000000000001</v>
      </c>
      <c r="D167" s="63">
        <f>2*References!AY30</f>
        <v>2.4</v>
      </c>
      <c r="E167" s="63">
        <v>22.5</v>
      </c>
      <c r="F167" s="63">
        <v>28</v>
      </c>
      <c r="G167" s="64">
        <f t="shared" si="5"/>
        <v>31.12032</v>
      </c>
      <c r="H167" s="87"/>
    </row>
    <row r="168" spans="1:8" ht="15.75" thickBot="1" x14ac:dyDescent="0.3">
      <c r="A168" s="142"/>
      <c r="B168" s="63" t="s">
        <v>469</v>
      </c>
      <c r="C168" s="63">
        <v>1.6048</v>
      </c>
      <c r="D168" s="63">
        <f>2*References!AY31</f>
        <v>1.4</v>
      </c>
      <c r="E168" s="63">
        <v>22.5</v>
      </c>
      <c r="F168" s="63">
        <v>24</v>
      </c>
      <c r="G168" s="64">
        <f t="shared" si="5"/>
        <v>3.3700799999999997</v>
      </c>
      <c r="H168" s="87"/>
    </row>
    <row r="169" spans="1:8" ht="15.75" thickBot="1" x14ac:dyDescent="0.3">
      <c r="A169" s="141" t="s">
        <v>70</v>
      </c>
      <c r="B169" s="63" t="s">
        <v>64</v>
      </c>
      <c r="C169" s="63">
        <v>2.3576000000000001</v>
      </c>
      <c r="D169" s="63">
        <f>2*References!AY32</f>
        <v>2.4</v>
      </c>
      <c r="E169" s="63">
        <v>22.5</v>
      </c>
      <c r="F169" s="63">
        <v>28</v>
      </c>
      <c r="G169" s="64">
        <f t="shared" si="5"/>
        <v>31.12032</v>
      </c>
      <c r="H169" s="87"/>
    </row>
    <row r="170" spans="1:8" ht="15.75" thickBot="1" x14ac:dyDescent="0.3">
      <c r="A170" s="142"/>
      <c r="B170" s="63" t="s">
        <v>469</v>
      </c>
      <c r="C170" s="63">
        <v>1.6048</v>
      </c>
      <c r="D170" s="63">
        <f>2*References!AY33</f>
        <v>1.4</v>
      </c>
      <c r="E170" s="63">
        <v>22.5</v>
      </c>
      <c r="F170" s="63">
        <v>24</v>
      </c>
      <c r="G170" s="64">
        <f t="shared" si="5"/>
        <v>3.3700799999999997</v>
      </c>
      <c r="H170" s="87"/>
    </row>
    <row r="171" spans="1:8" ht="15.75" thickBot="1" x14ac:dyDescent="0.3">
      <c r="A171" s="141" t="s">
        <v>70</v>
      </c>
      <c r="B171" s="63" t="s">
        <v>64</v>
      </c>
      <c r="C171" s="63">
        <v>2.3576000000000001</v>
      </c>
      <c r="D171" s="63">
        <f>2*References!AY34</f>
        <v>2.4</v>
      </c>
      <c r="E171" s="63">
        <v>22.5</v>
      </c>
      <c r="F171" s="63">
        <v>28</v>
      </c>
      <c r="G171" s="64">
        <f t="shared" si="5"/>
        <v>31.12032</v>
      </c>
      <c r="H171" s="87"/>
    </row>
    <row r="172" spans="1:8" ht="15.75" thickBot="1" x14ac:dyDescent="0.3">
      <c r="A172" s="142"/>
      <c r="B172" s="63" t="s">
        <v>469</v>
      </c>
      <c r="C172" s="63">
        <v>1.6048</v>
      </c>
      <c r="D172" s="63">
        <f>2*References!AY35</f>
        <v>1.4</v>
      </c>
      <c r="E172" s="63">
        <v>22.5</v>
      </c>
      <c r="F172" s="63">
        <v>24</v>
      </c>
      <c r="G172" s="64">
        <f t="shared" si="5"/>
        <v>3.3700799999999997</v>
      </c>
      <c r="H172" s="87"/>
    </row>
    <row r="173" spans="1:8" ht="15.75" thickBot="1" x14ac:dyDescent="0.3">
      <c r="A173" s="141" t="s">
        <v>471</v>
      </c>
      <c r="B173" s="63" t="s">
        <v>64</v>
      </c>
      <c r="C173" s="63">
        <v>2.3576000000000001</v>
      </c>
      <c r="D173" s="63">
        <f>2*References!AY36</f>
        <v>2.4</v>
      </c>
      <c r="E173" s="63">
        <v>22.5</v>
      </c>
      <c r="F173" s="63">
        <v>28</v>
      </c>
      <c r="G173" s="64">
        <f t="shared" si="5"/>
        <v>31.12032</v>
      </c>
      <c r="H173" s="87"/>
    </row>
    <row r="174" spans="1:8" ht="15.75" thickBot="1" x14ac:dyDescent="0.3">
      <c r="A174" s="142"/>
      <c r="B174" s="63" t="s">
        <v>472</v>
      </c>
      <c r="C174" s="63">
        <v>1.6048</v>
      </c>
      <c r="D174" s="63">
        <f>2*References!AY37</f>
        <v>1.4</v>
      </c>
      <c r="E174" s="63">
        <v>22.5</v>
      </c>
      <c r="F174" s="63">
        <v>24</v>
      </c>
      <c r="G174" s="64">
        <f t="shared" si="5"/>
        <v>3.3700799999999997</v>
      </c>
      <c r="H174" s="87"/>
    </row>
    <row r="175" spans="1:8" ht="15.75" thickBot="1" x14ac:dyDescent="0.3">
      <c r="A175" s="141" t="s">
        <v>471</v>
      </c>
      <c r="B175" s="63" t="s">
        <v>64</v>
      </c>
      <c r="C175" s="63">
        <v>2.3576000000000001</v>
      </c>
      <c r="D175" s="63">
        <f>2*References!AY38</f>
        <v>2.4</v>
      </c>
      <c r="E175" s="63">
        <v>22.5</v>
      </c>
      <c r="F175" s="63">
        <v>28</v>
      </c>
      <c r="G175" s="64">
        <f t="shared" si="5"/>
        <v>31.12032</v>
      </c>
      <c r="H175" s="87"/>
    </row>
    <row r="176" spans="1:8" ht="15.75" thickBot="1" x14ac:dyDescent="0.3">
      <c r="A176" s="142"/>
      <c r="B176" s="63" t="s">
        <v>472</v>
      </c>
      <c r="C176" s="63">
        <v>1.6048</v>
      </c>
      <c r="D176" s="63">
        <f>2*References!AY39</f>
        <v>1.4</v>
      </c>
      <c r="E176" s="63">
        <v>22.5</v>
      </c>
      <c r="F176" s="63">
        <v>24</v>
      </c>
      <c r="G176" s="64">
        <f t="shared" si="5"/>
        <v>3.3700799999999997</v>
      </c>
      <c r="H176" s="87"/>
    </row>
    <row r="177" spans="1:8" ht="15.75" thickBot="1" x14ac:dyDescent="0.3">
      <c r="A177" s="141" t="s">
        <v>70</v>
      </c>
      <c r="B177" s="63" t="s">
        <v>64</v>
      </c>
      <c r="C177" s="63">
        <v>2.3576000000000001</v>
      </c>
      <c r="D177" s="63">
        <f>2*References!AY40</f>
        <v>2.4</v>
      </c>
      <c r="E177" s="63">
        <v>22.5</v>
      </c>
      <c r="F177" s="63">
        <v>28</v>
      </c>
      <c r="G177" s="64">
        <f t="shared" si="5"/>
        <v>31.12032</v>
      </c>
      <c r="H177" s="87"/>
    </row>
    <row r="178" spans="1:8" ht="15.75" thickBot="1" x14ac:dyDescent="0.3">
      <c r="A178" s="142"/>
      <c r="B178" s="63" t="s">
        <v>469</v>
      </c>
      <c r="C178" s="63">
        <v>1.6048</v>
      </c>
      <c r="D178" s="63">
        <f>2*References!AY41</f>
        <v>1.4</v>
      </c>
      <c r="E178" s="63">
        <v>22.5</v>
      </c>
      <c r="F178" s="63">
        <v>24</v>
      </c>
      <c r="G178" s="64">
        <f t="shared" si="5"/>
        <v>3.3700799999999997</v>
      </c>
      <c r="H178" s="87"/>
    </row>
    <row r="179" spans="1:8" ht="15.75" thickBot="1" x14ac:dyDescent="0.3">
      <c r="A179" s="141" t="s">
        <v>70</v>
      </c>
      <c r="B179" s="63" t="s">
        <v>64</v>
      </c>
      <c r="C179" s="63">
        <v>2.3576000000000001</v>
      </c>
      <c r="D179" s="63">
        <f>2*References!AY42</f>
        <v>2.4</v>
      </c>
      <c r="E179" s="63">
        <v>22.5</v>
      </c>
      <c r="F179" s="63">
        <v>28</v>
      </c>
      <c r="G179" s="64">
        <f t="shared" si="5"/>
        <v>31.12032</v>
      </c>
      <c r="H179" s="87"/>
    </row>
    <row r="180" spans="1:8" ht="15.75" thickBot="1" x14ac:dyDescent="0.3">
      <c r="A180" s="142"/>
      <c r="B180" s="63" t="s">
        <v>469</v>
      </c>
      <c r="C180" s="63">
        <v>1.6048</v>
      </c>
      <c r="D180" s="63">
        <f>2*References!AY43</f>
        <v>1.4</v>
      </c>
      <c r="E180" s="63">
        <v>22.5</v>
      </c>
      <c r="F180" s="63">
        <v>24</v>
      </c>
      <c r="G180" s="64">
        <f t="shared" si="5"/>
        <v>3.3700799999999997</v>
      </c>
      <c r="H180" s="87"/>
    </row>
    <row r="181" spans="1:8" ht="15.75" thickBot="1" x14ac:dyDescent="0.3">
      <c r="A181" s="141" t="s">
        <v>70</v>
      </c>
      <c r="B181" s="63" t="s">
        <v>64</v>
      </c>
      <c r="C181" s="63">
        <v>2.3576000000000001</v>
      </c>
      <c r="D181" s="63">
        <f>2*References!AY44</f>
        <v>2.4</v>
      </c>
      <c r="E181" s="63">
        <v>22.5</v>
      </c>
      <c r="F181" s="63">
        <v>28</v>
      </c>
      <c r="G181" s="64">
        <f t="shared" si="5"/>
        <v>31.12032</v>
      </c>
      <c r="H181" s="87"/>
    </row>
    <row r="182" spans="1:8" ht="15.75" thickBot="1" x14ac:dyDescent="0.3">
      <c r="A182" s="142"/>
      <c r="B182" s="63" t="s">
        <v>469</v>
      </c>
      <c r="C182" s="63">
        <v>1.6048</v>
      </c>
      <c r="D182" s="63">
        <f>2*References!AY45</f>
        <v>1.4</v>
      </c>
      <c r="E182" s="63">
        <v>22.5</v>
      </c>
      <c r="F182" s="63">
        <v>24</v>
      </c>
      <c r="G182" s="64">
        <f t="shared" si="5"/>
        <v>3.3700799999999997</v>
      </c>
      <c r="H182" s="87"/>
    </row>
    <row r="183" spans="1:8" ht="15.75" thickBot="1" x14ac:dyDescent="0.3">
      <c r="A183" s="141" t="s">
        <v>70</v>
      </c>
      <c r="B183" s="63" t="s">
        <v>64</v>
      </c>
      <c r="C183" s="63">
        <v>2.3576000000000001</v>
      </c>
      <c r="D183" s="63">
        <f>2*References!AY46</f>
        <v>2.4</v>
      </c>
      <c r="E183" s="63">
        <v>22.5</v>
      </c>
      <c r="F183" s="63">
        <v>28</v>
      </c>
      <c r="G183" s="64">
        <f t="shared" si="5"/>
        <v>31.12032</v>
      </c>
      <c r="H183" s="87"/>
    </row>
    <row r="184" spans="1:8" ht="15.75" thickBot="1" x14ac:dyDescent="0.3">
      <c r="A184" s="142"/>
      <c r="B184" s="63" t="s">
        <v>469</v>
      </c>
      <c r="C184" s="63">
        <v>1.6048</v>
      </c>
      <c r="D184" s="63">
        <f>2*References!AY47</f>
        <v>1.4</v>
      </c>
      <c r="E184" s="63">
        <v>22.5</v>
      </c>
      <c r="F184" s="63">
        <v>24</v>
      </c>
      <c r="G184" s="64">
        <f t="shared" si="5"/>
        <v>3.3700799999999997</v>
      </c>
      <c r="H184" s="87"/>
    </row>
    <row r="185" spans="1:8" ht="15.75" thickBot="1" x14ac:dyDescent="0.3">
      <c r="A185" s="141" t="s">
        <v>70</v>
      </c>
      <c r="B185" s="63" t="s">
        <v>64</v>
      </c>
      <c r="C185" s="63">
        <v>2.3576000000000001</v>
      </c>
      <c r="D185" s="63">
        <f>2*References!AY48</f>
        <v>2.4</v>
      </c>
      <c r="E185" s="63">
        <v>22.5</v>
      </c>
      <c r="F185" s="63">
        <v>28</v>
      </c>
      <c r="G185" s="64">
        <f t="shared" si="5"/>
        <v>31.12032</v>
      </c>
      <c r="H185" s="87"/>
    </row>
    <row r="186" spans="1:8" ht="15.75" thickBot="1" x14ac:dyDescent="0.3">
      <c r="A186" s="142"/>
      <c r="B186" s="63" t="s">
        <v>469</v>
      </c>
      <c r="C186" s="63">
        <v>1.6048</v>
      </c>
      <c r="D186" s="63">
        <f>2*References!AY49</f>
        <v>1.4</v>
      </c>
      <c r="E186" s="63">
        <v>22.5</v>
      </c>
      <c r="F186" s="63">
        <v>24</v>
      </c>
      <c r="G186" s="64">
        <f t="shared" si="5"/>
        <v>3.3700799999999997</v>
      </c>
      <c r="H186" s="87"/>
    </row>
    <row r="187" spans="1:8" ht="15.75" thickBot="1" x14ac:dyDescent="0.3">
      <c r="A187" s="141" t="s">
        <v>70</v>
      </c>
      <c r="B187" s="63" t="s">
        <v>64</v>
      </c>
      <c r="C187" s="63">
        <v>2.3576000000000001</v>
      </c>
      <c r="D187" s="63">
        <f>2*References!AY50</f>
        <v>2.4</v>
      </c>
      <c r="E187" s="63">
        <v>22.5</v>
      </c>
      <c r="F187" s="63">
        <v>28</v>
      </c>
      <c r="G187" s="64">
        <f t="shared" si="5"/>
        <v>31.12032</v>
      </c>
      <c r="H187" s="87"/>
    </row>
    <row r="188" spans="1:8" ht="15.75" thickBot="1" x14ac:dyDescent="0.3">
      <c r="A188" s="142"/>
      <c r="B188" s="63" t="s">
        <v>469</v>
      </c>
      <c r="C188" s="63">
        <v>1.6048</v>
      </c>
      <c r="D188" s="63">
        <f>2*References!AY51</f>
        <v>1.4</v>
      </c>
      <c r="E188" s="63">
        <v>22.5</v>
      </c>
      <c r="F188" s="63">
        <v>24</v>
      </c>
      <c r="G188" s="64">
        <f t="shared" si="5"/>
        <v>3.3700799999999997</v>
      </c>
      <c r="H188" s="87"/>
    </row>
    <row r="189" spans="1:8" ht="15.75" thickBot="1" x14ac:dyDescent="0.3">
      <c r="A189" s="141" t="s">
        <v>70</v>
      </c>
      <c r="B189" s="63" t="s">
        <v>64</v>
      </c>
      <c r="C189" s="63">
        <v>2.3576000000000001</v>
      </c>
      <c r="D189" s="63">
        <f>2*References!AY52</f>
        <v>2.4</v>
      </c>
      <c r="E189" s="63">
        <v>22.5</v>
      </c>
      <c r="F189" s="63">
        <v>28</v>
      </c>
      <c r="G189" s="64">
        <f t="shared" si="5"/>
        <v>31.12032</v>
      </c>
      <c r="H189" s="87"/>
    </row>
    <row r="190" spans="1:8" ht="15.75" thickBot="1" x14ac:dyDescent="0.3">
      <c r="A190" s="142"/>
      <c r="B190" s="63" t="s">
        <v>469</v>
      </c>
      <c r="C190" s="63">
        <v>1.6048</v>
      </c>
      <c r="D190" s="63">
        <f>2*References!AY53</f>
        <v>1.4</v>
      </c>
      <c r="E190" s="63">
        <v>22.5</v>
      </c>
      <c r="F190" s="63">
        <v>24</v>
      </c>
      <c r="G190" s="64">
        <f t="shared" si="5"/>
        <v>3.3700799999999997</v>
      </c>
      <c r="H190" s="87"/>
    </row>
    <row r="191" spans="1:8" ht="15.75" thickBot="1" x14ac:dyDescent="0.3">
      <c r="A191" s="141" t="s">
        <v>70</v>
      </c>
      <c r="B191" s="63" t="s">
        <v>64</v>
      </c>
      <c r="C191" s="63">
        <v>2.3576000000000001</v>
      </c>
      <c r="D191" s="63">
        <f>2*References!AY54</f>
        <v>2.4</v>
      </c>
      <c r="E191" s="63">
        <v>22.5</v>
      </c>
      <c r="F191" s="63">
        <v>28</v>
      </c>
      <c r="G191" s="64">
        <f t="shared" si="5"/>
        <v>31.12032</v>
      </c>
      <c r="H191" s="87"/>
    </row>
    <row r="192" spans="1:8" ht="15.75" thickBot="1" x14ac:dyDescent="0.3">
      <c r="A192" s="142"/>
      <c r="B192" s="63" t="s">
        <v>469</v>
      </c>
      <c r="C192" s="63">
        <v>1.6048</v>
      </c>
      <c r="D192" s="63">
        <f>2*References!AY55</f>
        <v>1.4</v>
      </c>
      <c r="E192" s="63">
        <v>22.5</v>
      </c>
      <c r="F192" s="63">
        <v>24</v>
      </c>
      <c r="G192" s="64">
        <f t="shared" si="5"/>
        <v>3.3700799999999997</v>
      </c>
      <c r="H192" s="87"/>
    </row>
    <row r="193" spans="1:8" ht="15.75" thickBot="1" x14ac:dyDescent="0.3">
      <c r="A193" s="141" t="s">
        <v>70</v>
      </c>
      <c r="B193" s="63" t="s">
        <v>64</v>
      </c>
      <c r="C193" s="63">
        <v>2.3576000000000001</v>
      </c>
      <c r="D193" s="63">
        <f>2*References!AY56</f>
        <v>2.4</v>
      </c>
      <c r="E193" s="63">
        <v>22.5</v>
      </c>
      <c r="F193" s="63">
        <v>28</v>
      </c>
      <c r="G193" s="64">
        <f t="shared" si="5"/>
        <v>31.12032</v>
      </c>
      <c r="H193" s="87"/>
    </row>
    <row r="194" spans="1:8" ht="15.75" thickBot="1" x14ac:dyDescent="0.3">
      <c r="A194" s="142"/>
      <c r="B194" s="63" t="s">
        <v>469</v>
      </c>
      <c r="C194" s="63">
        <v>1.6048</v>
      </c>
      <c r="D194" s="63">
        <f>2*References!AY57</f>
        <v>1.4</v>
      </c>
      <c r="E194" s="63">
        <v>22.5</v>
      </c>
      <c r="F194" s="63">
        <v>24</v>
      </c>
      <c r="G194" s="64">
        <f t="shared" si="5"/>
        <v>3.3700799999999997</v>
      </c>
      <c r="H194" s="87"/>
    </row>
    <row r="195" spans="1:8" ht="15.75" thickBot="1" x14ac:dyDescent="0.3">
      <c r="A195" s="140" t="s">
        <v>71</v>
      </c>
      <c r="B195" s="63" t="s">
        <v>64</v>
      </c>
      <c r="C195" s="63">
        <v>2.3576000000000001</v>
      </c>
      <c r="D195" s="63">
        <f>2*References!AY58</f>
        <v>2.4</v>
      </c>
      <c r="E195" s="63">
        <v>22.5</v>
      </c>
      <c r="F195" s="63">
        <v>28</v>
      </c>
      <c r="G195" s="64">
        <f t="shared" si="5"/>
        <v>31.12032</v>
      </c>
      <c r="H195" s="87"/>
    </row>
    <row r="196" spans="1:8" ht="15.75" thickBot="1" x14ac:dyDescent="0.3">
      <c r="A196" s="140" t="s">
        <v>71</v>
      </c>
      <c r="B196" s="63" t="s">
        <v>64</v>
      </c>
      <c r="C196" s="63">
        <v>2.3576000000000001</v>
      </c>
      <c r="D196" s="63">
        <f>2*References!AY59</f>
        <v>2.4</v>
      </c>
      <c r="E196" s="63">
        <v>22.5</v>
      </c>
      <c r="F196" s="63">
        <v>28</v>
      </c>
      <c r="G196" s="64">
        <f t="shared" si="5"/>
        <v>31.12032</v>
      </c>
      <c r="H196" s="87"/>
    </row>
    <row r="197" spans="1:8" ht="15.75" thickBot="1" x14ac:dyDescent="0.3">
      <c r="A197" s="85" t="s">
        <v>308</v>
      </c>
      <c r="B197" s="63" t="s">
        <v>64</v>
      </c>
      <c r="C197" s="63">
        <v>2.3576000000000001</v>
      </c>
      <c r="D197" s="63">
        <f>2*References!AY60</f>
        <v>3.2</v>
      </c>
      <c r="E197" s="63">
        <v>22.5</v>
      </c>
      <c r="F197" s="63">
        <v>28</v>
      </c>
      <c r="G197" s="64">
        <f t="shared" si="5"/>
        <v>41.493760000000002</v>
      </c>
      <c r="H197" s="87"/>
    </row>
    <row r="198" spans="1:8" ht="15.75" thickBot="1" x14ac:dyDescent="0.3">
      <c r="A198" s="81"/>
      <c r="B198" s="63" t="s">
        <v>531</v>
      </c>
      <c r="C198" s="63">
        <v>2.3576000000000001</v>
      </c>
      <c r="D198" s="63">
        <f>2*References!AY61</f>
        <v>3.2</v>
      </c>
      <c r="E198" s="63">
        <v>22.5</v>
      </c>
      <c r="F198" s="63">
        <v>24</v>
      </c>
      <c r="G198" s="64">
        <f t="shared" si="5"/>
        <v>11.316480000000002</v>
      </c>
      <c r="H198" s="87"/>
    </row>
    <row r="199" spans="1:8" ht="15.75" thickBot="1" x14ac:dyDescent="0.3">
      <c r="A199" s="140" t="s">
        <v>58</v>
      </c>
      <c r="B199" s="63" t="s">
        <v>64</v>
      </c>
      <c r="C199" s="63">
        <v>2.3576000000000001</v>
      </c>
      <c r="D199" s="63">
        <f>2*References!AY62</f>
        <v>1.8</v>
      </c>
      <c r="E199" s="63">
        <v>24</v>
      </c>
      <c r="F199" s="63">
        <v>28</v>
      </c>
      <c r="G199" s="64">
        <f t="shared" si="5"/>
        <v>16.974720000000001</v>
      </c>
      <c r="H199" s="87"/>
    </row>
    <row r="200" spans="1:8" ht="15.75" thickBot="1" x14ac:dyDescent="0.3">
      <c r="A200" s="141" t="s">
        <v>57</v>
      </c>
      <c r="B200" s="71" t="s">
        <v>64</v>
      </c>
      <c r="C200" s="71">
        <v>2.3576000000000001</v>
      </c>
      <c r="D200" s="71">
        <f>2*References!AY63</f>
        <v>1.8</v>
      </c>
      <c r="E200" s="71">
        <v>24</v>
      </c>
      <c r="F200" s="71">
        <v>28</v>
      </c>
      <c r="G200" s="72">
        <f t="shared" si="5"/>
        <v>16.974720000000001</v>
      </c>
      <c r="H200" s="87"/>
    </row>
    <row r="201" spans="1:8" ht="15.75" thickBot="1" x14ac:dyDescent="0.3">
      <c r="A201" s="114"/>
      <c r="B201" s="114"/>
      <c r="E201" s="114"/>
      <c r="F201" s="124" t="s">
        <v>333</v>
      </c>
      <c r="G201" s="43">
        <f>SUM(Table31[Qs (W)])</f>
        <v>1068.55</v>
      </c>
    </row>
  </sheetData>
  <mergeCells count="14">
    <mergeCell ref="A65:G65"/>
    <mergeCell ref="A1:G1"/>
    <mergeCell ref="A2:G2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C4:H62">
    <cfRule type="cellIs" dxfId="80" priority="7" operator="equal">
      <formula>$J$1</formula>
    </cfRule>
  </conditionalFormatting>
  <conditionalFormatting sqref="D135:G136 D67:H134 C67:C136">
    <cfRule type="cellIs" dxfId="79" priority="6" operator="equal">
      <formula>$I$65</formula>
    </cfRule>
  </conditionalFormatting>
  <conditionalFormatting sqref="D141:H200">
    <cfRule type="cellIs" dxfId="78" priority="5" operator="equal">
      <formula>$J$182</formula>
    </cfRule>
  </conditionalFormatting>
  <conditionalFormatting sqref="C141:C200">
    <cfRule type="cellIs" dxfId="77" priority="1" operator="equal">
      <formula>$J$182</formula>
    </cfRule>
  </conditionalFormatting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DOOR PARTITION LOAD</vt:lpstr>
      <vt:lpstr>LIGHTING LOAD</vt:lpstr>
      <vt:lpstr>SUMMARY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2019-11-09T16:28:04Z</dcterms:modified>
</cp:coreProperties>
</file>