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69C97CB5-EAE7-41A0-931F-221CE9058BE5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SUMMARY" sheetId="12" r:id="rId11"/>
    <sheet name="References" sheetId="4" r:id="rId12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1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6" i="10" l="1"/>
  <c r="F166" i="10" s="1"/>
  <c r="B165" i="10"/>
  <c r="F165" i="10" s="1"/>
  <c r="G126" i="9"/>
  <c r="H126" i="9"/>
  <c r="G125" i="9"/>
  <c r="H125" i="9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I237" i="3" l="1"/>
  <c r="K27" i="2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8" i="12"/>
  <c r="B8" i="12"/>
  <c r="D6" i="12"/>
  <c r="C6" i="12"/>
  <c r="B6" i="12"/>
  <c r="Q6" i="9"/>
  <c r="Q5" i="9"/>
  <c r="R6" i="9"/>
  <c r="R5" i="9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S5" i="9"/>
  <c r="S6" i="9"/>
  <c r="O6" i="6"/>
  <c r="P7" i="5"/>
  <c r="P6" i="5"/>
  <c r="P5" i="5"/>
  <c r="O7" i="5"/>
  <c r="O6" i="5"/>
  <c r="O5" i="5"/>
  <c r="Q7" i="5"/>
  <c r="Q6" i="5"/>
  <c r="P8" i="5"/>
  <c r="O8" i="5"/>
  <c r="B164" i="10"/>
  <c r="H127" i="9"/>
  <c r="R7" i="9" s="1"/>
  <c r="R8" i="9" s="1"/>
  <c r="C10" i="12" s="1"/>
  <c r="G127" i="9"/>
  <c r="Q7" i="9" s="1"/>
  <c r="H91" i="9"/>
  <c r="H90" i="9"/>
  <c r="G90" i="9"/>
  <c r="H42" i="9"/>
  <c r="H41" i="9"/>
  <c r="G41" i="9"/>
  <c r="H128" i="9" l="1"/>
  <c r="S7" i="9"/>
  <c r="S8" i="9" s="1"/>
  <c r="Q8" i="9"/>
  <c r="B10" i="12" s="1"/>
  <c r="D10" i="12" s="1"/>
  <c r="Q5" i="5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F92" i="10" s="1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F79" i="10" s="1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F8" i="10" s="1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M5" i="10" s="1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G124" i="9"/>
  <c r="H123" i="9"/>
  <c r="G123" i="9"/>
  <c r="H122" i="9"/>
  <c r="G122" i="9"/>
  <c r="H121" i="9"/>
  <c r="G121" i="9"/>
  <c r="H120" i="9"/>
  <c r="G120" i="9"/>
  <c r="H119" i="9"/>
  <c r="G119" i="9"/>
  <c r="H118" i="9"/>
  <c r="G118" i="9"/>
  <c r="H117" i="9"/>
  <c r="G117" i="9"/>
  <c r="H116" i="9"/>
  <c r="G116" i="9"/>
  <c r="H115" i="9"/>
  <c r="G115" i="9"/>
  <c r="H114" i="9"/>
  <c r="G114" i="9"/>
  <c r="H113" i="9"/>
  <c r="G113" i="9"/>
  <c r="H112" i="9"/>
  <c r="G112" i="9"/>
  <c r="H111" i="9"/>
  <c r="G111" i="9"/>
  <c r="H110" i="9"/>
  <c r="G110" i="9"/>
  <c r="H109" i="9"/>
  <c r="G109" i="9"/>
  <c r="H108" i="9"/>
  <c r="G108" i="9"/>
  <c r="H107" i="9"/>
  <c r="G107" i="9"/>
  <c r="H106" i="9"/>
  <c r="G106" i="9"/>
  <c r="H105" i="9"/>
  <c r="G105" i="9"/>
  <c r="H104" i="9"/>
  <c r="G104" i="9"/>
  <c r="H103" i="9"/>
  <c r="G103" i="9"/>
  <c r="H102" i="9"/>
  <c r="G102" i="9"/>
  <c r="H101" i="9"/>
  <c r="G101" i="9"/>
  <c r="H100" i="9"/>
  <c r="G100" i="9"/>
  <c r="H99" i="9"/>
  <c r="G99" i="9"/>
  <c r="H98" i="9"/>
  <c r="G98" i="9"/>
  <c r="H97" i="9"/>
  <c r="G97" i="9"/>
  <c r="H96" i="9"/>
  <c r="G96" i="9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G124" i="8"/>
  <c r="C124" i="8"/>
  <c r="G123" i="8"/>
  <c r="C123" i="8"/>
  <c r="G122" i="8"/>
  <c r="C122" i="8"/>
  <c r="G121" i="8"/>
  <c r="C121" i="8"/>
  <c r="G120" i="8"/>
  <c r="C120" i="8"/>
  <c r="G119" i="8"/>
  <c r="C119" i="8"/>
  <c r="G118" i="8"/>
  <c r="C118" i="8"/>
  <c r="G117" i="8"/>
  <c r="C117" i="8"/>
  <c r="G116" i="8"/>
  <c r="C116" i="8"/>
  <c r="G115" i="8"/>
  <c r="C115" i="8"/>
  <c r="G114" i="8"/>
  <c r="C114" i="8"/>
  <c r="G113" i="8"/>
  <c r="C113" i="8"/>
  <c r="G112" i="8"/>
  <c r="C112" i="8"/>
  <c r="G111" i="8"/>
  <c r="C111" i="8"/>
  <c r="G110" i="8"/>
  <c r="C110" i="8"/>
  <c r="G109" i="8"/>
  <c r="C109" i="8"/>
  <c r="G108" i="8"/>
  <c r="C108" i="8"/>
  <c r="G107" i="8"/>
  <c r="C107" i="8"/>
  <c r="G106" i="8"/>
  <c r="C106" i="8"/>
  <c r="G105" i="8"/>
  <c r="C105" i="8"/>
  <c r="G104" i="8"/>
  <c r="C104" i="8"/>
  <c r="G103" i="8"/>
  <c r="C103" i="8"/>
  <c r="G102" i="8"/>
  <c r="C102" i="8"/>
  <c r="G101" i="8"/>
  <c r="C101" i="8"/>
  <c r="G100" i="8"/>
  <c r="C100" i="8"/>
  <c r="G99" i="8"/>
  <c r="C99" i="8"/>
  <c r="G98" i="8"/>
  <c r="C98" i="8"/>
  <c r="G97" i="8"/>
  <c r="C97" i="8"/>
  <c r="G96" i="8"/>
  <c r="C96" i="8"/>
  <c r="G95" i="8"/>
  <c r="C95" i="8"/>
  <c r="G89" i="8"/>
  <c r="C89" i="8"/>
  <c r="G88" i="8"/>
  <c r="C88" i="8"/>
  <c r="G87" i="8"/>
  <c r="C87" i="8"/>
  <c r="G86" i="8"/>
  <c r="C86" i="8"/>
  <c r="G85" i="8"/>
  <c r="C85" i="8"/>
  <c r="G84" i="8"/>
  <c r="C84" i="8"/>
  <c r="G83" i="8"/>
  <c r="C83" i="8"/>
  <c r="G82" i="8"/>
  <c r="C82" i="8"/>
  <c r="G81" i="8"/>
  <c r="C81" i="8"/>
  <c r="G80" i="8"/>
  <c r="C80" i="8"/>
  <c r="G79" i="8"/>
  <c r="C79" i="8"/>
  <c r="G78" i="8"/>
  <c r="C78" i="8"/>
  <c r="G77" i="8"/>
  <c r="C77" i="8"/>
  <c r="G76" i="8"/>
  <c r="C76" i="8"/>
  <c r="G75" i="8"/>
  <c r="C75" i="8"/>
  <c r="G74" i="8"/>
  <c r="C74" i="8"/>
  <c r="G73" i="8"/>
  <c r="C73" i="8"/>
  <c r="G72" i="8"/>
  <c r="C72" i="8"/>
  <c r="G71" i="8"/>
  <c r="C71" i="8"/>
  <c r="G70" i="8"/>
  <c r="C70" i="8"/>
  <c r="G69" i="8"/>
  <c r="C69" i="8"/>
  <c r="G68" i="8"/>
  <c r="C68" i="8"/>
  <c r="G67" i="8"/>
  <c r="C67" i="8"/>
  <c r="G66" i="8"/>
  <c r="C66" i="8"/>
  <c r="G65" i="8"/>
  <c r="C65" i="8"/>
  <c r="G64" i="8"/>
  <c r="C64" i="8"/>
  <c r="G63" i="8"/>
  <c r="C63" i="8"/>
  <c r="G62" i="8"/>
  <c r="C62" i="8"/>
  <c r="G61" i="8"/>
  <c r="C61" i="8"/>
  <c r="G60" i="8"/>
  <c r="C60" i="8"/>
  <c r="G59" i="8"/>
  <c r="C59" i="8"/>
  <c r="G58" i="8"/>
  <c r="C58" i="8"/>
  <c r="G57" i="8"/>
  <c r="C57" i="8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8" i="10" l="1"/>
  <c r="B12" i="12" s="1"/>
  <c r="D12" i="12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H127" i="8" s="1"/>
  <c r="R7" i="8" s="1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H90" i="8" l="1"/>
  <c r="I91" i="8" s="1"/>
  <c r="I90" i="8"/>
  <c r="S6" i="8" s="1"/>
  <c r="H41" i="8"/>
  <c r="R5" i="8" s="1"/>
  <c r="I127" i="8"/>
  <c r="S7" i="8" s="1"/>
  <c r="T7" i="8" s="1"/>
  <c r="S5" i="8"/>
  <c r="G296" i="7"/>
  <c r="N7" i="7" s="1"/>
  <c r="D107" i="7"/>
  <c r="G107" i="7" s="1"/>
  <c r="D108" i="7"/>
  <c r="G108" i="7" s="1"/>
  <c r="D130" i="7"/>
  <c r="G130" i="7" s="1"/>
  <c r="D131" i="7"/>
  <c r="G131" i="7" s="1"/>
  <c r="R8" i="8" l="1"/>
  <c r="B9" i="12" s="1"/>
  <c r="I42" i="8"/>
  <c r="T5" i="8"/>
  <c r="R6" i="8"/>
  <c r="T6" i="8" s="1"/>
  <c r="I128" i="8"/>
  <c r="S8" i="8"/>
  <c r="C9" i="12" s="1"/>
  <c r="T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D9" i="12" l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C208" i="3" s="1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C192" i="3" s="1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70" i="3" s="1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H233" i="3" l="1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8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47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120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<sst xmlns="http://schemas.openxmlformats.org/spreadsheetml/2006/main" count="2516" uniqueCount="556">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</sst>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18" borderId="2" xfId="0" applyFill="1" applyBorder="1"/>
    <xf numFmtId="0" fontId="0" fillId="18" borderId="1" xfId="0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18" borderId="3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83" headerRowBorderDxfId="382" tableBorderDxfId="381" totalsRowBorderDxfId="380">
  <tableColumns count="11">
    <tableColumn id="1" xr3:uid="{00000000-0010-0000-0000-000001000000}" name="Space" dataDxfId="379"/>
    <tableColumn id="2" xr3:uid="{00000000-0010-0000-0000-000002000000}" name="Orientation" dataDxfId="378"/>
    <tableColumn id="3" xr3:uid="{00000000-0010-0000-0000-000003000000}" name="U" dataDxfId="377"/>
    <tableColumn id="4" xr3:uid="{00000000-0010-0000-0000-000004000000}" name="A(m^2)" dataDxfId="376"/>
    <tableColumn id="5" xr3:uid="{00000000-0010-0000-0000-000005000000}" name="CLTDsel" dataDxfId="375"/>
    <tableColumn id="6" xr3:uid="{00000000-0010-0000-0000-000006000000}" name="LM" dataDxfId="374"/>
    <tableColumn id="7" xr3:uid="{00000000-0010-0000-0000-000007000000}" name="k" dataDxfId="373"/>
    <tableColumn id="8" xr3:uid="{00000000-0010-0000-0000-000008000000}" name="Ti" dataDxfId="372"/>
    <tableColumn id="9" xr3:uid="{00000000-0010-0000-0000-000009000000}" name="Tave" dataDxfId="371">
      <calculatedColumnFormula>(References!T$4)-(References!T$3/2)</calculatedColumnFormula>
    </tableColumn>
    <tableColumn id="10" xr3:uid="{00000000-0010-0000-0000-00000A000000}" name="CLTD adj" dataDxfId="370">
      <calculatedColumnFormula>(E4+F4)*G4+(25-H4)+(I4-29)</calculatedColumnFormula>
    </tableColumn>
    <tableColumn id="11" xr3:uid="{00000000-0010-0000-0000-00000B000000}" name="Q(W)" dataDxfId="369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54" dataDxfId="252" headerRowBorderDxfId="253" tableBorderDxfId="251" totalsRowBorderDxfId="250">
  <tableColumns count="8">
    <tableColumn id="1" xr3:uid="{00000000-0010-0000-0900-000001000000}" name="SPACE" dataDxfId="249"/>
    <tableColumn id="2" xr3:uid="{00000000-0010-0000-0900-000002000000}" name="Equipment" dataDxfId="248"/>
    <tableColumn id="3" xr3:uid="{00000000-0010-0000-0900-000003000000}" name="WATTAGE" dataDxfId="247"/>
    <tableColumn id="4" xr3:uid="{00000000-0010-0000-0900-000004000000}" name="Cs" dataDxfId="246"/>
    <tableColumn id="5" xr3:uid="{00000000-0010-0000-0900-000005000000}" name="Cl" dataDxfId="245"/>
    <tableColumn id="6" xr3:uid="{00000000-0010-0000-0900-000006000000}" name="CLF" dataDxfId="244"/>
    <tableColumn id="7" xr3:uid="{00000000-0010-0000-0900-000007000000}" name="Qs (W)" dataDxfId="243">
      <calculatedColumnFormula>D4*C4*F4</calculatedColumnFormula>
    </tableColumn>
    <tableColumn id="8" xr3:uid="{00000000-0010-0000-0900-000008000000}" name="Ql (W)" dataDxfId="242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41" headerRowBorderDxfId="240" tableBorderDxfId="239" totalsRowBorderDxfId="238">
  <tableColumns count="8">
    <tableColumn id="1" xr3:uid="{00000000-0010-0000-0A00-000001000000}" name="SPACE" dataDxfId="237"/>
    <tableColumn id="2" xr3:uid="{00000000-0010-0000-0A00-000002000000}" name="Equipment" dataDxfId="236"/>
    <tableColumn id="3" xr3:uid="{00000000-0010-0000-0A00-000003000000}" name="Wattage" dataDxfId="235"/>
    <tableColumn id="4" xr3:uid="{00000000-0010-0000-0A00-000004000000}" name="CS" dataDxfId="234"/>
    <tableColumn id="5" xr3:uid="{00000000-0010-0000-0A00-000005000000}" name="Cl" dataDxfId="233"/>
    <tableColumn id="6" xr3:uid="{00000000-0010-0000-0A00-000006000000}" name="CLF" dataDxfId="232"/>
    <tableColumn id="7" xr3:uid="{00000000-0010-0000-0A00-000007000000}" name="Qs (W)" dataDxfId="231">
      <calculatedColumnFormula>D50*C50*F50</calculatedColumnFormula>
    </tableColumn>
    <tableColumn id="8" xr3:uid="{00000000-0010-0000-0A00-000008000000}" name="Ql (W)" dataDxfId="230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29" headerRowBorderDxfId="228" tableBorderDxfId="227" totalsRowBorderDxfId="226">
  <tableColumns count="8">
    <tableColumn id="1" xr3:uid="{00000000-0010-0000-0B00-000001000000}" name="SPACE" dataDxfId="225"/>
    <tableColumn id="2" xr3:uid="{00000000-0010-0000-0B00-000002000000}" name="Equipment" dataDxfId="224"/>
    <tableColumn id="3" xr3:uid="{00000000-0010-0000-0B00-000003000000}" name="Wattage" dataDxfId="223"/>
    <tableColumn id="4" xr3:uid="{00000000-0010-0000-0B00-000004000000}" name="Cs" dataDxfId="222"/>
    <tableColumn id="5" xr3:uid="{00000000-0010-0000-0B00-000005000000}" name="Cl" dataDxfId="221"/>
    <tableColumn id="6" xr3:uid="{00000000-0010-0000-0B00-000006000000}" name="CLF" dataDxfId="220"/>
    <tableColumn id="7" xr3:uid="{00000000-0010-0000-0B00-000007000000}" name="Qs (W)" dataDxfId="219">
      <calculatedColumnFormula>C95*D95*F95</calculatedColumnFormula>
    </tableColumn>
    <tableColumn id="8" xr3:uid="{00000000-0010-0000-0B00-000008000000}" name="Qw (W)" dataDxfId="218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17" headerRowBorderDxfId="216" tableBorderDxfId="215" totalsRowBorderDxfId="214">
  <tableColumns count="8">
    <tableColumn id="1" xr3:uid="{00000000-0010-0000-0C00-000001000000}" name="SPACE" dataDxfId="213"/>
    <tableColumn id="2" xr3:uid="{00000000-0010-0000-0C00-000002000000}" name="U" dataDxfId="212"/>
    <tableColumn id="3" xr3:uid="{00000000-0010-0000-0C00-000003000000}" name="Area (m2)" dataDxfId="211"/>
    <tableColumn id="4" xr3:uid="{00000000-0010-0000-0C00-000004000000}" name="CLTDmax" dataDxfId="210"/>
    <tableColumn id="5" xr3:uid="{00000000-0010-0000-0C00-000005000000}" name="Ti" dataDxfId="209"/>
    <tableColumn id="6" xr3:uid="{00000000-0010-0000-0C00-000006000000}" name="Tave" dataDxfId="208"/>
    <tableColumn id="7" xr3:uid="{00000000-0010-0000-0C00-000007000000}" name="CLTDadj" dataDxfId="207">
      <calculatedColumnFormula>((D5*0.75)+(25-E5)+(F5-29))*0.75</calculatedColumnFormula>
    </tableColumn>
    <tableColumn id="8" xr3:uid="{00000000-0010-0000-0C00-000008000000}" name="Q(W)" dataDxfId="206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05" headerRowBorderDxfId="204" tableBorderDxfId="203" totalsRowBorderDxfId="202">
  <tableColumns count="7">
    <tableColumn id="1" xr3:uid="{00000000-0010-0000-0E00-000001000000}" name="Space" dataDxfId="201"/>
    <tableColumn id="2" xr3:uid="{00000000-0010-0000-0E00-000002000000}" name="Spaces" dataDxfId="200"/>
    <tableColumn id="3" xr3:uid="{00000000-0010-0000-0E00-000003000000}" name="U" dataDxfId="199"/>
    <tableColumn id="4" xr3:uid="{00000000-0010-0000-0E00-000004000000}" name="A" dataDxfId="198">
      <calculatedColumnFormula>References!AM4-References!AL4-References!AK4</calculatedColumnFormula>
    </tableColumn>
    <tableColumn id="5" xr3:uid="{00000000-0010-0000-0E00-000005000000}" name="Ti" dataDxfId="197"/>
    <tableColumn id="6" xr3:uid="{00000000-0010-0000-0E00-000006000000}" name="Ti2" dataDxfId="196"/>
    <tableColumn id="7" xr3:uid="{00000000-0010-0000-0E00-000007000000}" name="Q" dataDxfId="195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194" headerRowBorderDxfId="193" tableBorderDxfId="192" totalsRowBorderDxfId="191">
  <tableColumns count="7">
    <tableColumn id="1" xr3:uid="{00000000-0010-0000-0F00-000001000000}" name="Space" dataDxfId="190"/>
    <tableColumn id="2" xr3:uid="{00000000-0010-0000-0F00-000002000000}" name="Spaces" dataDxfId="189"/>
    <tableColumn id="3" xr3:uid="{00000000-0010-0000-0F00-000003000000}" name="U" dataDxfId="188"/>
    <tableColumn id="4" xr3:uid="{00000000-0010-0000-0F00-000004000000}" name="A" dataDxfId="187">
      <calculatedColumnFormula>References!AQ4-References!AP4-References!AO4</calculatedColumnFormula>
    </tableColumn>
    <tableColumn id="5" xr3:uid="{00000000-0010-0000-0F00-000005000000}" name="Ti" dataDxfId="186"/>
    <tableColumn id="6" xr3:uid="{00000000-0010-0000-0F00-000006000000}" name="Ti2" dataDxfId="185"/>
    <tableColumn id="7" xr3:uid="{00000000-0010-0000-0F00-000007000000}" name="Q" dataDxfId="184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83" headerRowBorderDxfId="182" tableBorderDxfId="181" totalsRowBorderDxfId="180">
  <tableColumns count="7">
    <tableColumn id="1" xr3:uid="{00000000-0010-0000-0D00-000001000000}" name="Space" dataDxfId="179"/>
    <tableColumn id="2" xr3:uid="{00000000-0010-0000-0D00-000002000000}" name="Spaces" dataDxfId="178"/>
    <tableColumn id="3" xr3:uid="{00000000-0010-0000-0D00-000003000000}" name="U" dataDxfId="177"/>
    <tableColumn id="4" xr3:uid="{00000000-0010-0000-0D00-000004000000}" name="A" dataDxfId="176">
      <calculatedColumnFormula>References!AI4-References!AH4-References!AG4</calculatedColumnFormula>
    </tableColumn>
    <tableColumn id="5" xr3:uid="{00000000-0010-0000-0D00-000005000000}" name="Ti" dataDxfId="175"/>
    <tableColumn id="6" xr3:uid="{00000000-0010-0000-0D00-000006000000}" name="Ti2" dataDxfId="174"/>
    <tableColumn id="7" xr3:uid="{00000000-0010-0000-0D00-000007000000}" name="Q" dataDxfId="173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I40" totalsRowShown="0" headerRowDxfId="172" dataDxfId="170" headerRowBorderDxfId="171" tableBorderDxfId="169" totalsRowBorderDxfId="168">
  <tableColumns count="9">
    <tableColumn id="1" xr3:uid="{00000000-0010-0000-1000-000001000000}" name="SPACE" dataDxfId="167" totalsRowDxfId="166"/>
    <tableColumn id="2" xr3:uid="{00000000-0010-0000-1000-000002000000}" name="Occ" dataDxfId="165" totalsRowDxfId="164"/>
    <tableColumn id="3" xr3:uid="{00000000-0010-0000-1000-000003000000}" name="L/s" dataDxfId="163" totalsRowDxfId="162">
      <calculatedColumnFormula>B4*References!AS4</calculatedColumnFormula>
    </tableColumn>
    <tableColumn id="4" xr3:uid="{00000000-0010-0000-1000-000004000000}" name="To" dataDxfId="161" totalsRowDxfId="160"/>
    <tableColumn id="5" xr3:uid="{00000000-0010-0000-1000-000005000000}" name="Ti" dataDxfId="159" totalsRowDxfId="158"/>
    <tableColumn id="6" xr3:uid="{00000000-0010-0000-1000-000006000000}" name="Wo" dataDxfId="157" totalsRowDxfId="156"/>
    <tableColumn id="7" xr3:uid="{00000000-0010-0000-1000-000007000000}" name="Wi" dataDxfId="155" totalsRowDxfId="154"/>
    <tableColumn id="8" xr3:uid="{00000000-0010-0000-1000-000008000000}" name="Qs (W)" dataDxfId="153" totalsRowDxfId="152">
      <calculatedColumnFormula>ABS(1.232*C4*(D4-E4))</calculatedColumnFormula>
    </tableColumn>
    <tableColumn id="9" xr3:uid="{00000000-0010-0000-1000-000009000000}" name="Qw (W)" dataDxfId="151">
      <calculatedColumnFormula>ABS(3000*C4*(F4-G4))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I89" totalsRowShown="0" headerRowDxfId="150" dataDxfId="148" headerRowBorderDxfId="149" tableBorderDxfId="147" totalsRowBorderDxfId="146">
  <tableColumns count="9">
    <tableColumn id="1" xr3:uid="{00000000-0010-0000-1100-000001000000}" name="SPACE" dataDxfId="145"/>
    <tableColumn id="2" xr3:uid="{00000000-0010-0000-1100-000002000000}" name="Occ." dataDxfId="144"/>
    <tableColumn id="3" xr3:uid="{00000000-0010-0000-1100-000003000000}" name="L/s" dataDxfId="143">
      <calculatedColumnFormula>B46*References!AT4</calculatedColumnFormula>
    </tableColumn>
    <tableColumn id="4" xr3:uid="{00000000-0010-0000-1100-000004000000}" name="To" dataDxfId="142"/>
    <tableColumn id="5" xr3:uid="{00000000-0010-0000-1100-000005000000}" name="Ti" dataDxfId="141"/>
    <tableColumn id="6" xr3:uid="{00000000-0010-0000-1100-000006000000}" name="Wo" dataDxfId="140"/>
    <tableColumn id="7" xr3:uid="{00000000-0010-0000-1100-000007000000}" name="Wi" dataDxfId="139">
      <calculatedColumnFormula>_xlfn.IFS(E46=22.5,0.00848061,E46=22,0.00821976,E46=24,0.00929323)</calculatedColumnFormula>
    </tableColumn>
    <tableColumn id="8" xr3:uid="{00000000-0010-0000-1100-000008000000}" name="Qs(W)" dataDxfId="138">
      <calculatedColumnFormula>ABS(1.232*C46*(D46-E46))</calculatedColumnFormula>
    </tableColumn>
    <tableColumn id="9" xr3:uid="{00000000-0010-0000-1100-000009000000}" name="Ql(W)" dataDxfId="137">
      <calculatedColumnFormula>ABS(3000*C46*(F46-G46))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I126" totalsRowShown="0" headerRowDxfId="136" dataDxfId="134" headerRowBorderDxfId="135" tableBorderDxfId="133" totalsRowBorderDxfId="132">
  <tableColumns count="9">
    <tableColumn id="1" xr3:uid="{00000000-0010-0000-1200-000001000000}" name="Space" dataDxfId="131"/>
    <tableColumn id="2" xr3:uid="{00000000-0010-0000-1200-000002000000}" name="Occ." dataDxfId="130"/>
    <tableColumn id="3" xr3:uid="{00000000-0010-0000-1200-000003000000}" name="L/s" dataDxfId="129">
      <calculatedColumnFormula>B95*References!AU4</calculatedColumnFormula>
    </tableColumn>
    <tableColumn id="4" xr3:uid="{00000000-0010-0000-1200-000004000000}" name="To" dataDxfId="128"/>
    <tableColumn id="5" xr3:uid="{00000000-0010-0000-1200-000005000000}" name="Ti" dataDxfId="127"/>
    <tableColumn id="6" xr3:uid="{00000000-0010-0000-1200-000006000000}" name="Wo" dataDxfId="126"/>
    <tableColumn id="7" xr3:uid="{00000000-0010-0000-1200-000007000000}" name="Wi" dataDxfId="125">
      <calculatedColumnFormula>_xlfn.IFS(E95=22.5,0.00848031,E95=24,0.009293235,E95=22,0.00821976)</calculatedColumnFormula>
    </tableColumn>
    <tableColumn id="8" xr3:uid="{00000000-0010-0000-1200-000008000000}" name="Qs(W)" dataDxfId="124">
      <calculatedColumnFormula>ABS(1.232*C95*(D95-E95))</calculatedColumnFormula>
    </tableColumn>
    <tableColumn id="9" xr3:uid="{00000000-0010-0000-1200-000009000000}" name="Ql(W)" dataDxfId="123">
      <calculatedColumnFormula>ABS(3000*C95*(F95-G95))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68" headerRowBorderDxfId="367" tableBorderDxfId="366" totalsRowBorderDxfId="365">
  <tableColumns count="11">
    <tableColumn id="1" xr3:uid="{00000000-0010-0000-0100-000001000000}" name="Space" dataDxfId="364"/>
    <tableColumn id="2" xr3:uid="{00000000-0010-0000-0100-000002000000}" name="Orientation" dataDxfId="363"/>
    <tableColumn id="3" xr3:uid="{00000000-0010-0000-0100-000003000000}" name="U" dataDxfId="362"/>
    <tableColumn id="4" xr3:uid="{00000000-0010-0000-0100-000004000000}" name="A(m^2)" dataDxfId="361">
      <calculatedColumnFormula>(References!C41*4)-(References!B41*1)-(References!A41*2)</calculatedColumnFormula>
    </tableColumn>
    <tableColumn id="5" xr3:uid="{00000000-0010-0000-0100-000005000000}" name="CLTDsel" dataDxfId="360">
      <calculatedColumnFormula>_xlfn.IFS(B89="E",25,B89="N",13,B89="W",33,B89="S",22)</calculatedColumnFormula>
    </tableColumn>
    <tableColumn id="6" xr3:uid="{00000000-0010-0000-0100-000006000000}" name="LM" dataDxfId="359">
      <calculatedColumnFormula>_xlfn.IFS(B89="E",-0.55,B89="N",2.22,B89="W",-0.55,B89="S",-3.88)</calculatedColumnFormula>
    </tableColumn>
    <tableColumn id="7" xr3:uid="{00000000-0010-0000-0100-000007000000}" name="k" dataDxfId="358"/>
    <tableColumn id="8" xr3:uid="{00000000-0010-0000-0100-000008000000}" name="Ti" dataDxfId="357"/>
    <tableColumn id="9" xr3:uid="{00000000-0010-0000-0100-000009000000}" name="Tave" dataDxfId="356">
      <calculatedColumnFormula>(References!T$4)-(References!T$3/2)</calculatedColumnFormula>
    </tableColumn>
    <tableColumn id="10" xr3:uid="{00000000-0010-0000-0100-00000A000000}" name="CLTD adj" dataDxfId="355">
      <calculatedColumnFormula>(E89+F89)*G89+(25-H89)+(I89-29)</calculatedColumnFormula>
    </tableColumn>
    <tableColumn id="11" xr3:uid="{00000000-0010-0000-0100-00000B000000}" name="Q(W)" dataDxfId="354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H126" totalsRowShown="0" headerRowDxfId="122" dataDxfId="120" headerRowBorderDxfId="121" tableBorderDxfId="119" totalsRowBorderDxfId="118">
  <tableColumns count="8">
    <tableColumn id="1" xr3:uid="{00000000-0010-0000-1300-000001000000}" name="SPACE" dataDxfId="117"/>
    <tableColumn id="2" xr3:uid="{00000000-0010-0000-1300-000002000000}" name="Occ" dataDxfId="116"/>
    <tableColumn id="3" xr3:uid="{00000000-0010-0000-1300-000003000000}" name="Gain/person" dataDxfId="115"/>
    <tableColumn id="4" xr3:uid="{00000000-0010-0000-1300-000004000000}" name="Sensible" dataDxfId="114"/>
    <tableColumn id="5" xr3:uid="{00000000-0010-0000-1300-000005000000}" name="Latent" dataDxfId="113"/>
    <tableColumn id="6" xr3:uid="{00000000-0010-0000-1300-000006000000}" name="CLF" dataDxfId="112"/>
    <tableColumn id="7" xr3:uid="{00000000-0010-0000-1300-000007000000}" name="Qs (W)" dataDxfId="111">
      <calculatedColumnFormula>B95*C95*D95*F95</calculatedColumnFormula>
    </tableColumn>
    <tableColumn id="8" xr3:uid="{00000000-0010-0000-1300-000008000000}" name="Ql (W)" dataDxfId="110">
      <calculatedColumnFormula>B95*C95*E95*F95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H89" totalsRowShown="0" headerRowDxfId="109" dataDxfId="107" headerRowBorderDxfId="108" tableBorderDxfId="106" totalsRowBorderDxfId="105">
  <tableColumns count="8">
    <tableColumn id="1" xr3:uid="{00000000-0010-0000-1400-000001000000}" name="SPACE" dataDxfId="104"/>
    <tableColumn id="2" xr3:uid="{00000000-0010-0000-1400-000002000000}" name="Occ" dataDxfId="103"/>
    <tableColumn id="3" xr3:uid="{00000000-0010-0000-1400-000003000000}" name="Gain/person" dataDxfId="102"/>
    <tableColumn id="4" xr3:uid="{00000000-0010-0000-1400-000004000000}" name="Sensible" dataDxfId="101"/>
    <tableColumn id="5" xr3:uid="{00000000-0010-0000-1400-000005000000}" name="Latent" dataDxfId="100"/>
    <tableColumn id="6" xr3:uid="{00000000-0010-0000-1400-000006000000}" name="CLF" dataDxfId="99"/>
    <tableColumn id="7" xr3:uid="{00000000-0010-0000-1400-000007000000}" name="Qs (W)" dataDxfId="98">
      <calculatedColumnFormula>B46*C46*D46*F46</calculatedColumnFormula>
    </tableColumn>
    <tableColumn id="8" xr3:uid="{00000000-0010-0000-1400-000008000000}" name="Ql (W)" dataDxfId="97">
      <calculatedColumnFormula>B46*C46*E46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H40" totalsRowShown="0" headerRowDxfId="96" dataDxfId="94" headerRowBorderDxfId="95" tableBorderDxfId="93" totalsRowBorderDxfId="92">
  <tableColumns count="8">
    <tableColumn id="1" xr3:uid="{00000000-0010-0000-1500-000001000000}" name="SPACE" dataDxfId="91"/>
    <tableColumn id="2" xr3:uid="{00000000-0010-0000-1500-000002000000}" name="Occ" dataDxfId="90"/>
    <tableColumn id="3" xr3:uid="{00000000-0010-0000-1500-000003000000}" name="Gain/person" dataDxfId="89"/>
    <tableColumn id="4" xr3:uid="{00000000-0010-0000-1500-000004000000}" name="Sensible" dataDxfId="88"/>
    <tableColumn id="5" xr3:uid="{00000000-0010-0000-1500-000005000000}" name="Latent" dataDxfId="87"/>
    <tableColumn id="6" xr3:uid="{00000000-0010-0000-1500-000006000000}" name="CLF" dataDxfId="86"/>
    <tableColumn id="7" xr3:uid="{00000000-0010-0000-1500-000007000000}" name="Qs (W)" dataDxfId="85">
      <calculatedColumnFormula>B4*C4*D4*F4</calculatedColumnFormula>
    </tableColumn>
    <tableColumn id="8" xr3:uid="{00000000-0010-0000-1500-000008000000}" name="Ql (W)" dataDxfId="84">
      <calculatedColumnFormula>C4*E4*F4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83" dataDxfId="81" headerRowBorderDxfId="82" tableBorderDxfId="80" totalsRowBorderDxfId="79">
  <tableColumns count="7">
    <tableColumn id="1" xr3:uid="{3D15F0BA-E56A-48AD-8475-8EDB97578663}" name="Space 1" dataDxfId="78"/>
    <tableColumn id="2" xr3:uid="{E6499B88-C35B-459A-B806-100CCDCDCA2B}" name="Space 2" dataDxfId="77"/>
    <tableColumn id="3" xr3:uid="{D2D2D7C6-259A-4E15-80D5-76BCB5F2755C}" name="U" dataDxfId="76"/>
    <tableColumn id="4" xr3:uid="{0764F60A-9AFF-45C7-9B37-2675DAC3354B}" name="Area" dataDxfId="75">
      <calculatedColumnFormula>References!AW4*2</calculatedColumnFormula>
    </tableColumn>
    <tableColumn id="5" xr3:uid="{089F04A6-59E5-4D01-9963-34848ABB08D8}" name="Ti" dataDxfId="74"/>
    <tableColumn id="6" xr3:uid="{6D9BF11B-E4DD-49A6-BD0B-97AA2C4E05C7}" name="To" dataDxfId="73"/>
    <tableColumn id="7" xr3:uid="{5A992B19-DB89-40D9-A7B7-A2A63D74CAB2}" name="Qs (W)" dataDxfId="72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71" dataDxfId="69" headerRowBorderDxfId="70" tableBorderDxfId="68" totalsRowBorderDxfId="67">
  <tableColumns count="7">
    <tableColumn id="1" xr3:uid="{69C0A91B-A3FC-4753-82E6-7AD406608DA3}" name="Space 1" dataDxfId="66"/>
    <tableColumn id="2" xr3:uid="{AEE5E517-E89F-4369-AB32-02BDCE5550D6}" name="Space 2" dataDxfId="65"/>
    <tableColumn id="3" xr3:uid="{534EF880-A31A-4F02-8D63-58BC01851CB2}" name="U" dataDxfId="64"/>
    <tableColumn id="4" xr3:uid="{ADBF381F-28C0-4B1C-A4BB-4EC3FA91953E}" name="Area" dataDxfId="63">
      <calculatedColumnFormula>2*References!AX4</calculatedColumnFormula>
    </tableColumn>
    <tableColumn id="5" xr3:uid="{08AF1E93-1E3D-45EA-A5CD-31D81BB6DB0E}" name="Ti" dataDxfId="62"/>
    <tableColumn id="6" xr3:uid="{83FA9F78-25A4-454A-8AD3-5A7975FA8352}" name="To" dataDxfId="61"/>
    <tableColumn id="7" xr3:uid="{F7BB9612-AFD7-41F9-9A2B-39116DFCDF64}" name="Qs (W)" dataDxfId="60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9" dataDxfId="57" headerRowBorderDxfId="58" tableBorderDxfId="56">
  <tableColumns count="7">
    <tableColumn id="1" xr3:uid="{AEFCFF34-ED8A-4D1B-928C-1A4AC9803B91}" name="Space 1" dataDxfId="55"/>
    <tableColumn id="2" xr3:uid="{55781A89-E632-4F5A-B9AE-B40CDA4E25A8}" name="Space 2" dataDxfId="54"/>
    <tableColumn id="3" xr3:uid="{16E0CBE7-3940-41CE-8530-A2D6900F4684}" name="U" dataDxfId="53"/>
    <tableColumn id="4" xr3:uid="{9A5A6631-C755-4076-9BF0-63662EC62164}" name="Area" dataDxfId="52">
      <calculatedColumnFormula>2*References!AY4</calculatedColumnFormula>
    </tableColumn>
    <tableColumn id="5" xr3:uid="{31F594E5-5372-4099-AA2F-E0C7F12066AA}" name="Ti" dataDxfId="51"/>
    <tableColumn id="6" xr3:uid="{28C0F865-E043-41E8-A8E9-9B5DE187E7CF}" name="To" dataDxfId="50"/>
    <tableColumn id="7" xr3:uid="{A12774DA-FA6C-45F2-A816-9E6CC1F9185F}" name="Qs (W)" dataDxfId="49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8" dataDxfId="46" headerRowBorderDxfId="47" tableBorderDxfId="45" totalsRowBorderDxfId="44">
  <tableColumns count="6">
    <tableColumn id="1" xr3:uid="{00000000-0010-0000-1600-000001000000}" name="SPACE" dataDxfId="43"/>
    <tableColumn id="2" xr3:uid="{00000000-0010-0000-1600-000002000000}" name="W" dataDxfId="42">
      <calculatedColumnFormula>13*References!BA4</calculatedColumnFormula>
    </tableColumn>
    <tableColumn id="3" xr3:uid="{00000000-0010-0000-1600-000003000000}" name="Fu" dataDxfId="41"/>
    <tableColumn id="4" xr3:uid="{00000000-0010-0000-1600-000004000000}" name="Fb" dataDxfId="40"/>
    <tableColumn id="5" xr3:uid="{00000000-0010-0000-1600-000005000000}" name="CLF" dataDxfId="39"/>
    <tableColumn id="6" xr3:uid="{00000000-0010-0000-1600-000006000000}" name="Qs (W)" dataDxfId="38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7" dataDxfId="35" headerRowBorderDxfId="36" tableBorderDxfId="34" totalsRowBorderDxfId="33">
  <tableColumns count="6">
    <tableColumn id="1" xr3:uid="{00000000-0010-0000-1700-000001000000}" name="SPACE" dataDxfId="32"/>
    <tableColumn id="2" xr3:uid="{00000000-0010-0000-1700-000002000000}" name="W" dataDxfId="31">
      <calculatedColumnFormula>13*References!BB4</calculatedColumnFormula>
    </tableColumn>
    <tableColumn id="3" xr3:uid="{00000000-0010-0000-1700-000003000000}" name="Fu" dataDxfId="30"/>
    <tableColumn id="4" xr3:uid="{00000000-0010-0000-1700-000004000000}" name="Fb" dataDxfId="29"/>
    <tableColumn id="5" xr3:uid="{00000000-0010-0000-1700-000005000000}" name="CLF" dataDxfId="28"/>
    <tableColumn id="6" xr3:uid="{00000000-0010-0000-1700-000006000000}" name="Qs (W)" dataDxfId="27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26" dataDxfId="24" headerRowBorderDxfId="25" tableBorderDxfId="23" totalsRowBorderDxfId="22">
  <tableColumns count="6">
    <tableColumn id="1" xr3:uid="{00000000-0010-0000-1800-000001000000}" name="SPACE" dataDxfId="21"/>
    <tableColumn id="2" xr3:uid="{00000000-0010-0000-1800-000002000000}" name="W" dataDxfId="20"/>
    <tableColumn id="3" xr3:uid="{00000000-0010-0000-1800-000003000000}" name="Fu" dataDxfId="19"/>
    <tableColumn id="4" xr3:uid="{00000000-0010-0000-1800-000004000000}" name="Fb" dataDxfId="18"/>
    <tableColumn id="5" xr3:uid="{00000000-0010-0000-1800-000005000000}" name="CLF" dataDxfId="17"/>
    <tableColumn id="6" xr3:uid="{00000000-0010-0000-1800-000006000000}" name="Qs (W)" dataDxfId="16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53" headerRowBorderDxfId="352" tableBorderDxfId="351" totalsRowBorderDxfId="350">
  <tableColumns count="11">
    <tableColumn id="1" xr3:uid="{00000000-0010-0000-0200-000001000000}" name="Space" dataDxfId="349"/>
    <tableColumn id="2" xr3:uid="{00000000-0010-0000-0200-000002000000}" name="Orientation" dataDxfId="348"/>
    <tableColumn id="3" xr3:uid="{00000000-0010-0000-0200-000003000000}" name="U" dataDxfId="347"/>
    <tableColumn id="4" xr3:uid="{00000000-0010-0000-0200-000004000000}" name="A(m^2)" dataDxfId="346"/>
    <tableColumn id="5" xr3:uid="{00000000-0010-0000-0200-000005000000}" name="CLTDsel" dataDxfId="345"/>
    <tableColumn id="6" xr3:uid="{00000000-0010-0000-0200-000006000000}" name="LM" dataDxfId="344"/>
    <tableColumn id="7" xr3:uid="{00000000-0010-0000-0200-000007000000}" name="k" dataDxfId="343"/>
    <tableColumn id="8" xr3:uid="{00000000-0010-0000-0200-000008000000}" name="Ti" dataDxfId="342"/>
    <tableColumn id="9" xr3:uid="{00000000-0010-0000-0200-000009000000}" name="Tave" dataDxfId="341"/>
    <tableColumn id="10" xr3:uid="{00000000-0010-0000-0200-00000A000000}" name="CLTD adj" dataDxfId="340">
      <calculatedColumnFormula>(E42+F42)*G42+(25-H42)+(I42-29)</calculatedColumnFormula>
    </tableColumn>
    <tableColumn id="11" xr3:uid="{00000000-0010-0000-0200-00000B000000}" name="Q(W)" dataDxfId="339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38" headerRowBorderDxfId="337" tableBorderDxfId="336" totalsRowBorderDxfId="335">
  <tableColumns count="11">
    <tableColumn id="1" xr3:uid="{00000000-0010-0000-0300-000001000000}" name="Space" dataDxfId="334"/>
    <tableColumn id="2" xr3:uid="{00000000-0010-0000-0300-000002000000}" name="Orientation" dataDxfId="333"/>
    <tableColumn id="3" xr3:uid="{00000000-0010-0000-0300-000003000000}" name="U" dataDxfId="332"/>
    <tableColumn id="4" xr3:uid="{00000000-0010-0000-0300-000004000000}" name="To" dataDxfId="331"/>
    <tableColumn id="5" xr3:uid="{00000000-0010-0000-0300-000005000000}" name="Ti" dataDxfId="330"/>
    <tableColumn id="6" xr3:uid="{00000000-0010-0000-0300-000006000000}" name="A(m^2)" dataDxfId="329">
      <calculatedColumnFormula>References!E5*References!F5</calculatedColumnFormula>
    </tableColumn>
    <tableColumn id="7" xr3:uid="{00000000-0010-0000-0300-000007000000}" name="SHGF" dataDxfId="328">
      <calculatedColumnFormula>_xlfn.IFS(B4="E",685,B4="N",120,B4="W",685,B4="S",230)</calculatedColumnFormula>
    </tableColumn>
    <tableColumn id="8" xr3:uid="{00000000-0010-0000-0300-000008000000}" name="SCL" dataDxfId="327">
      <calculatedColumnFormula>_xlfn.IFS(B4="E",0.8,B4="N",0.91,B4="W",0.82,B4="S",0.83)</calculatedColumnFormula>
    </tableColumn>
    <tableColumn id="9" xr3:uid="{00000000-0010-0000-0300-000009000000}" name="SC" dataDxfId="326"/>
    <tableColumn id="10" xr3:uid="{00000000-0010-0000-0300-00000A000000}" name="Qsg (W)" dataDxfId="325">
      <calculatedColumnFormula>G4*H4*F4*I4</calculatedColumnFormula>
    </tableColumn>
    <tableColumn id="11" xr3:uid="{00000000-0010-0000-0300-00000B000000}" name="Qth (W)" dataDxfId="324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23" dataDxfId="321" headerRowBorderDxfId="322" tableBorderDxfId="320" totalsRowBorderDxfId="319">
  <tableColumns count="11">
    <tableColumn id="1" xr3:uid="{00000000-0010-0000-0400-000001000000}" name="Space" dataDxfId="318"/>
    <tableColumn id="2" xr3:uid="{00000000-0010-0000-0400-000002000000}" name="Orientation" dataDxfId="317"/>
    <tableColumn id="3" xr3:uid="{00000000-0010-0000-0400-000003000000}" name="U" dataDxfId="316"/>
    <tableColumn id="4" xr3:uid="{00000000-0010-0000-0400-000004000000}" name="To" dataDxfId="315"/>
    <tableColumn id="5" xr3:uid="{00000000-0010-0000-0400-000005000000}" name="Ti" dataDxfId="314"/>
    <tableColumn id="6" xr3:uid="{00000000-0010-0000-0400-000006000000}" name="A(m^2)" dataDxfId="313">
      <calculatedColumnFormula>References!E41*References!F41</calculatedColumnFormula>
    </tableColumn>
    <tableColumn id="7" xr3:uid="{00000000-0010-0000-0400-000007000000}" name="SHGF" dataDxfId="312">
      <calculatedColumnFormula>_xlfn.IFS(B74="E",685,B74="N",120,B74="W",685,B74="S",230)</calculatedColumnFormula>
    </tableColumn>
    <tableColumn id="8" xr3:uid="{00000000-0010-0000-0400-000008000000}" name="SCL" dataDxfId="311">
      <calculatedColumnFormula>_xlfn.IFS(B74="E",0.8,B74="N",0.91,B74="W",0.82,B74="S",0.83)</calculatedColumnFormula>
    </tableColumn>
    <tableColumn id="9" xr3:uid="{00000000-0010-0000-0400-000009000000}" name="SC" dataDxfId="310"/>
    <tableColumn id="10" xr3:uid="{00000000-0010-0000-0400-00000A000000}" name="Qsg (W)" dataDxfId="309">
      <calculatedColumnFormula>G74*H74*F74*I74</calculatedColumnFormula>
    </tableColumn>
    <tableColumn id="11" xr3:uid="{00000000-0010-0000-0400-00000B000000}" name="Qth (W)" dataDxfId="308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07" headerRowBorderDxfId="306" tableBorderDxfId="305" totalsRowBorderDxfId="304">
  <tableColumns count="11">
    <tableColumn id="1" xr3:uid="{00000000-0010-0000-0500-000001000000}" name="Space" dataDxfId="303"/>
    <tableColumn id="2" xr3:uid="{00000000-0010-0000-0500-000002000000}" name="Orientation" dataDxfId="302"/>
    <tableColumn id="3" xr3:uid="{00000000-0010-0000-0500-000003000000}" name="U" dataDxfId="301"/>
    <tableColumn id="4" xr3:uid="{00000000-0010-0000-0500-000004000000}" name="To" dataDxfId="300"/>
    <tableColumn id="5" xr3:uid="{00000000-0010-0000-0500-000005000000}" name="Ti" dataDxfId="299"/>
    <tableColumn id="6" xr3:uid="{00000000-0010-0000-0500-000006000000}" name="A(m^2)" dataDxfId="298"/>
    <tableColumn id="7" xr3:uid="{00000000-0010-0000-0500-000007000000}" name="SHGF" dataDxfId="297">
      <calculatedColumnFormula>_xlfn.IFS(B40="N",120,B40="E",685,B40="S",230,B40="W",685)</calculatedColumnFormula>
    </tableColumn>
    <tableColumn id="8" xr3:uid="{00000000-0010-0000-0500-000008000000}" name="SCL" dataDxfId="296">
      <calculatedColumnFormula>_xlfn.IFS(B40="N",0.91,B40="E",0.8,B40="S",0.83,B40="W",0.82)</calculatedColumnFormula>
    </tableColumn>
    <tableColumn id="9" xr3:uid="{00000000-0010-0000-0500-000009000000}" name="SC" dataDxfId="295"/>
    <tableColumn id="10" xr3:uid="{00000000-0010-0000-0500-00000A000000}" name="Qsg (W)" dataDxfId="294">
      <calculatedColumnFormula>I40*H40*G40*F40</calculatedColumnFormula>
    </tableColumn>
    <tableColumn id="11" xr3:uid="{00000000-0010-0000-0500-00000B000000}" name="Qth (W)" dataDxfId="293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292" headerRowBorderDxfId="291" tableBorderDxfId="290" totalsRowBorderDxfId="289">
  <tableColumns count="9">
    <tableColumn id="1" xr3:uid="{00000000-0010-0000-0600-000001000000}" name="SPACE" dataDxfId="288"/>
    <tableColumn id="2" xr3:uid="{00000000-0010-0000-0600-000002000000}" name="Volume" dataDxfId="287">
      <calculatedColumnFormula>References!AB4*4</calculatedColumnFormula>
    </tableColumn>
    <tableColumn id="3" xr3:uid="{00000000-0010-0000-0600-000003000000}" name="L/s" dataDxfId="286">
      <calculatedColumnFormula>((0.15+0.01*3+0.007*(D78-E78))*B78)/3.6</calculatedColumnFormula>
    </tableColumn>
    <tableColumn id="4" xr3:uid="{00000000-0010-0000-0600-000004000000}" name="To" dataDxfId="285"/>
    <tableColumn id="5" xr3:uid="{00000000-0010-0000-0600-000005000000}" name="Ti" dataDxfId="284"/>
    <tableColumn id="6" xr3:uid="{00000000-0010-0000-0600-000006000000}" name="Wo" dataDxfId="283"/>
    <tableColumn id="7" xr3:uid="{00000000-0010-0000-0600-000007000000}" name="Wi" dataDxfId="282">
      <calculatedColumnFormula>_xlfn.IFS(E78=22.5,0.00848061,E78=22,0.00821976,E78=24,0.00929323,E78=28,0.0118162235)</calculatedColumnFormula>
    </tableColumn>
    <tableColumn id="8" xr3:uid="{00000000-0010-0000-0600-000008000000}" name="Qs (W)" dataDxfId="281">
      <calculatedColumnFormula>ABS(1.23*C78*(D78-E78))</calculatedColumnFormula>
    </tableColumn>
    <tableColumn id="9" xr3:uid="{00000000-0010-0000-0600-000009000000}" name="Ql (W)" dataDxfId="280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79" headerRowBorderDxfId="278" tableBorderDxfId="277" totalsRowBorderDxfId="276">
  <tableColumns count="9">
    <tableColumn id="1" xr3:uid="{00000000-0010-0000-0700-000001000000}" name="Space" dataDxfId="275"/>
    <tableColumn id="2" xr3:uid="{00000000-0010-0000-0700-000002000000}" name="Volume" dataDxfId="15">
      <calculatedColumnFormula>References!AE4*4</calculatedColumnFormula>
    </tableColumn>
    <tableColumn id="3" xr3:uid="{00000000-0010-0000-0700-000003000000}" name="L/s" dataDxfId="274">
      <calculatedColumnFormula>(References!AD4*B163)/3.6</calculatedColumnFormula>
    </tableColumn>
    <tableColumn id="4" xr3:uid="{00000000-0010-0000-0700-000004000000}" name="To" dataDxfId="273"/>
    <tableColumn id="5" xr3:uid="{00000000-0010-0000-0700-000005000000}" name="Ti" dataDxfId="272"/>
    <tableColumn id="6" xr3:uid="{00000000-0010-0000-0700-000006000000}" name="Wo" dataDxfId="271"/>
    <tableColumn id="7" xr3:uid="{00000000-0010-0000-0700-000007000000}" name="Wi" dataDxfId="270">
      <calculatedColumnFormula>_xlfn.IFS(E163=22.5,0.00848031,E163=24,0.009293235,E163=22,0.00821976,E163=28,0.0118162235)</calculatedColumnFormula>
    </tableColumn>
    <tableColumn id="8" xr3:uid="{00000000-0010-0000-0700-000008000000}" name="Qs" dataDxfId="269">
      <calculatedColumnFormula>ABS(1.232*(D163-E163)*C163)</calculatedColumnFormula>
    </tableColumn>
    <tableColumn id="9" xr3:uid="{00000000-0010-0000-0700-000009000000}" name="Ql" dataDxfId="268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67" headerRowBorderDxfId="266" tableBorderDxfId="265" totalsRowBorderDxfId="264">
  <tableColumns count="9">
    <tableColumn id="1" xr3:uid="{00000000-0010-0000-0800-000001000000}" name="SPACE" dataDxfId="263"/>
    <tableColumn id="2" xr3:uid="{00000000-0010-0000-0800-000002000000}" name="Volume" dataDxfId="262">
      <calculatedColumnFormula>References!Z4*4</calculatedColumnFormula>
    </tableColumn>
    <tableColumn id="3" xr3:uid="{00000000-0010-0000-0800-000003000000}" name="L/s" dataDxfId="261">
      <calculatedColumnFormula>(References!Y4*B4)/3.6</calculatedColumnFormula>
    </tableColumn>
    <tableColumn id="4" xr3:uid="{00000000-0010-0000-0800-000004000000}" name="To" dataDxfId="260"/>
    <tableColumn id="5" xr3:uid="{00000000-0010-0000-0800-000005000000}" name="Ti" dataDxfId="259"/>
    <tableColumn id="6" xr3:uid="{00000000-0010-0000-0800-000006000000}" name="Wo" dataDxfId="258"/>
    <tableColumn id="7" xr3:uid="{00000000-0010-0000-0800-000007000000}" name="Wi" dataDxfId="257"/>
    <tableColumn id="8" xr3:uid="{00000000-0010-0000-0800-000008000000}" name="Qs (W)" dataDxfId="256">
      <calculatedColumnFormula>ABS((1.232*(D4-E4)*C4))</calculatedColumnFormula>
    </tableColumn>
    <tableColumn id="9" xr3:uid="{00000000-0010-0000-0800-000009000000}" name="Ql (W)" dataDxfId="255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31"/>
  <sheetViews>
    <sheetView tabSelected="1" topLeftCell="A88" zoomScale="85" zoomScaleNormal="85" workbookViewId="0">
      <selection activeCell="Q97" sqref="Q97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154" t="s">
        <v>537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9" ht="24" thickBot="1" x14ac:dyDescent="0.5">
      <c r="A2" s="152" t="s">
        <v>160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55" t="s">
        <v>539</v>
      </c>
      <c r="O3" s="155"/>
      <c r="P3" s="155"/>
      <c r="Q3" s="155"/>
      <c r="R3" s="155"/>
      <c r="S3" s="155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50"/>
      <c r="N4" s="156"/>
      <c r="O4" s="156"/>
      <c r="P4" s="156"/>
      <c r="Q4" s="156" t="s">
        <v>430</v>
      </c>
      <c r="R4" s="156"/>
      <c r="S4" s="156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50"/>
      <c r="N5" s="157" t="s">
        <v>160</v>
      </c>
      <c r="O5" s="157"/>
      <c r="P5" s="157"/>
      <c r="Q5" s="157">
        <f>K38</f>
        <v>39227.857343999996</v>
      </c>
      <c r="R5" s="157"/>
      <c r="S5" s="157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50"/>
      <c r="N6" s="157" t="s">
        <v>41</v>
      </c>
      <c r="O6" s="157"/>
      <c r="P6" s="157"/>
      <c r="Q6" s="157">
        <f>K85</f>
        <v>31364.094930011994</v>
      </c>
      <c r="R6" s="157"/>
      <c r="S6" s="157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50"/>
      <c r="N7" s="157" t="s">
        <v>59</v>
      </c>
      <c r="O7" s="157"/>
      <c r="P7" s="157"/>
      <c r="Q7" s="157">
        <f>K131</f>
        <v>48205.328184000005</v>
      </c>
      <c r="R7" s="157"/>
      <c r="S7" s="157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50"/>
      <c r="N8" s="158" t="s">
        <v>540</v>
      </c>
      <c r="O8" s="158"/>
      <c r="P8" s="158"/>
      <c r="Q8" s="151">
        <f>Q5+Q6+Q7</f>
        <v>118797.28045801198</v>
      </c>
      <c r="R8" s="151"/>
      <c r="S8" s="151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50"/>
      <c r="N9" s="158"/>
      <c r="O9" s="158"/>
      <c r="P9" s="158"/>
      <c r="Q9" s="151"/>
      <c r="R9" s="151"/>
      <c r="S9" s="151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50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50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50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50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50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50"/>
    </row>
    <row r="16" spans="1:19" ht="15" thickBot="1" x14ac:dyDescent="0.35">
      <c r="A16" s="13" t="s">
        <v>28</v>
      </c>
      <c r="B16" s="6" t="s">
        <v>48</v>
      </c>
      <c r="C16" s="6">
        <v>2.7143999999999999</v>
      </c>
      <c r="D16" s="6">
        <f>15.75*4-(References!B17)-(2*2.5*1)</f>
        <v>49.85</v>
      </c>
      <c r="E16" s="6">
        <v>33</v>
      </c>
      <c r="F16" s="6">
        <v>-0.55000000000000004</v>
      </c>
      <c r="G16" s="6">
        <v>0.65</v>
      </c>
      <c r="H16" s="6">
        <v>28</v>
      </c>
      <c r="I16" s="6">
        <f>(References!T$4)-(References!T$3/2)</f>
        <v>30.45</v>
      </c>
      <c r="J16" s="6">
        <f t="shared" si="0"/>
        <v>19.5425</v>
      </c>
      <c r="K16" s="15">
        <f t="shared" si="1"/>
        <v>4465.3237199999994</v>
      </c>
      <c r="M16" s="150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50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50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50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50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50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50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50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50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50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50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50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50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50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50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50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50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50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50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50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50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50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152" t="s">
        <v>41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9" t="s">
        <v>62</v>
      </c>
      <c r="B45" s="6" t="s">
        <v>47</v>
      </c>
      <c r="C45" s="6">
        <v>2.7143999999999999</v>
      </c>
      <c r="D45" s="6">
        <v>43.2</v>
      </c>
      <c r="E45" s="6">
        <v>13</v>
      </c>
      <c r="F45" s="6">
        <v>2.2200000000000002</v>
      </c>
      <c r="G45" s="6">
        <v>0.65</v>
      </c>
      <c r="H45" s="6">
        <v>28</v>
      </c>
      <c r="I45" s="6">
        <v>30.45</v>
      </c>
      <c r="J45" s="6">
        <f t="shared" si="4"/>
        <v>8.343</v>
      </c>
      <c r="K45" s="15">
        <f t="shared" si="5"/>
        <v>978.31753343999992</v>
      </c>
    </row>
    <row r="46" spans="1:14" ht="15" thickBot="1" x14ac:dyDescent="0.35">
      <c r="A46" s="9" t="s">
        <v>63</v>
      </c>
      <c r="B46" s="6" t="s">
        <v>48</v>
      </c>
      <c r="C46" s="6">
        <v>2.7143999999999999</v>
      </c>
      <c r="D46" s="6">
        <v>41.2</v>
      </c>
      <c r="E46" s="6">
        <v>33</v>
      </c>
      <c r="F46" s="6">
        <v>-0.55000000000000004</v>
      </c>
      <c r="G46" s="6">
        <v>0.65</v>
      </c>
      <c r="H46" s="6">
        <v>28</v>
      </c>
      <c r="I46" s="6">
        <v>30.45</v>
      </c>
      <c r="J46" s="6">
        <f t="shared" si="4"/>
        <v>19.5425</v>
      </c>
      <c r="K46" s="15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82" t="s">
        <v>126</v>
      </c>
      <c r="B50" s="183" t="s">
        <v>48</v>
      </c>
      <c r="C50" s="183">
        <v>2.7143999999999999</v>
      </c>
      <c r="D50" s="183">
        <v>9.6999999999999993</v>
      </c>
      <c r="E50" s="183">
        <v>33</v>
      </c>
      <c r="F50" s="183">
        <v>-0.55000000000000004</v>
      </c>
      <c r="G50" s="183">
        <v>0.65</v>
      </c>
      <c r="H50" s="183">
        <v>28</v>
      </c>
      <c r="I50" s="183">
        <v>30.45</v>
      </c>
      <c r="J50" s="183">
        <f t="shared" si="4"/>
        <v>19.5425</v>
      </c>
      <c r="K50" s="184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" thickBot="1" x14ac:dyDescent="0.35">
      <c r="A64" s="182" t="s">
        <v>130</v>
      </c>
      <c r="B64" s="183" t="s">
        <v>49</v>
      </c>
      <c r="C64" s="183">
        <v>2.7143999999999999</v>
      </c>
      <c r="D64" s="183">
        <v>19.2</v>
      </c>
      <c r="E64" s="183">
        <v>22</v>
      </c>
      <c r="F64" s="183">
        <v>-3.88</v>
      </c>
      <c r="G64" s="183">
        <v>0.65</v>
      </c>
      <c r="H64" s="183">
        <v>28</v>
      </c>
      <c r="I64" s="183">
        <v>30.45</v>
      </c>
      <c r="J64" s="183">
        <f t="shared" si="4"/>
        <v>10.228</v>
      </c>
      <c r="K64" s="184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85" t="s">
        <v>65</v>
      </c>
      <c r="B75" s="183" t="s">
        <v>46</v>
      </c>
      <c r="C75" s="183">
        <v>2.7143999999999999</v>
      </c>
      <c r="D75" s="183">
        <v>7.4</v>
      </c>
      <c r="E75" s="183">
        <v>25</v>
      </c>
      <c r="F75" s="183">
        <v>-0.55000000000000004</v>
      </c>
      <c r="G75" s="183">
        <v>0.65</v>
      </c>
      <c r="H75" s="183">
        <v>22.5</v>
      </c>
      <c r="I75" s="183">
        <v>30.45</v>
      </c>
      <c r="J75" s="183">
        <f t="shared" si="4"/>
        <v>19.842499999999998</v>
      </c>
      <c r="K75" s="184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" thickBot="1" x14ac:dyDescent="0.35">
      <c r="J85" s="41" t="s">
        <v>42</v>
      </c>
      <c r="K85" s="41">
        <f>SUM(Table6[Q(W)])</f>
        <v>31364.094930011994</v>
      </c>
    </row>
    <row r="86" spans="1:13" x14ac:dyDescent="0.3">
      <c r="J86" s="1"/>
      <c r="K86" s="1"/>
    </row>
    <row r="87" spans="1:13" ht="23.4" x14ac:dyDescent="0.45">
      <c r="A87" s="153" t="s">
        <v>59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</row>
    <row r="88" spans="1:13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" thickBot="1" x14ac:dyDescent="0.35">
      <c r="A92" s="182" t="s">
        <v>61</v>
      </c>
      <c r="B92" s="183" t="s">
        <v>46</v>
      </c>
      <c r="C92" s="186">
        <v>2.7143999999999999</v>
      </c>
      <c r="D92" s="183">
        <f>(References!C44*4)-(References!B44*1)-(References!A44*2)</f>
        <v>40.92</v>
      </c>
      <c r="E92" s="183">
        <f t="shared" si="8"/>
        <v>25</v>
      </c>
      <c r="F92" s="183">
        <f t="shared" si="9"/>
        <v>-0.55000000000000004</v>
      </c>
      <c r="G92" s="183">
        <v>0.65</v>
      </c>
      <c r="H92" s="183">
        <v>28</v>
      </c>
      <c r="I92" s="187">
        <f>(References!T$4)-(References!T$3/2)</f>
        <v>30.45</v>
      </c>
      <c r="J92" s="183">
        <f t="shared" si="6"/>
        <v>14.342499999999999</v>
      </c>
      <c r="K92" s="184">
        <f t="shared" si="7"/>
        <v>2776.8312000000001</v>
      </c>
    </row>
    <row r="93" spans="1:13" ht="15" thickBot="1" x14ac:dyDescent="0.35">
      <c r="A93" s="182" t="s">
        <v>62</v>
      </c>
      <c r="B93" s="183" t="s">
        <v>47</v>
      </c>
      <c r="C93" s="186">
        <v>2.7143999999999999</v>
      </c>
      <c r="D93" s="183">
        <f>(References!C45*4)-(References!B45*1)-(References!A45*2)</f>
        <v>68</v>
      </c>
      <c r="E93" s="183">
        <f t="shared" si="8"/>
        <v>13</v>
      </c>
      <c r="F93" s="183">
        <f t="shared" si="9"/>
        <v>2.2200000000000002</v>
      </c>
      <c r="G93" s="183">
        <v>0.65</v>
      </c>
      <c r="H93" s="183">
        <v>28</v>
      </c>
      <c r="I93" s="187">
        <f>(References!T$4)-(References!T$3/2)</f>
        <v>30.45</v>
      </c>
      <c r="J93" s="183">
        <f t="shared" si="6"/>
        <v>8.343</v>
      </c>
      <c r="K93" s="184">
        <f t="shared" si="7"/>
        <v>2399.5295999999998</v>
      </c>
    </row>
    <row r="94" spans="1:13" ht="15" thickBot="1" x14ac:dyDescent="0.35">
      <c r="A94" s="182" t="s">
        <v>63</v>
      </c>
      <c r="B94" s="183" t="s">
        <v>48</v>
      </c>
      <c r="C94" s="186">
        <v>2.7143999999999999</v>
      </c>
      <c r="D94" s="183">
        <f>(References!C46*4)-(References!B46*1)-(References!A46*2)</f>
        <v>40.92</v>
      </c>
      <c r="E94" s="183">
        <f t="shared" si="8"/>
        <v>33</v>
      </c>
      <c r="F94" s="183">
        <f t="shared" si="9"/>
        <v>-0.55000000000000004</v>
      </c>
      <c r="G94" s="183">
        <v>0.65</v>
      </c>
      <c r="H94" s="183">
        <v>28</v>
      </c>
      <c r="I94" s="187">
        <f>(References!T$4)-(References!T$3/2)</f>
        <v>30.45</v>
      </c>
      <c r="J94" s="183">
        <f t="shared" si="6"/>
        <v>19.5425</v>
      </c>
      <c r="K94" s="184">
        <f t="shared" si="7"/>
        <v>3665.4171840000004</v>
      </c>
    </row>
    <row r="95" spans="1:13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" thickBot="1" x14ac:dyDescent="0.35">
      <c r="A98" s="182" t="s">
        <v>64</v>
      </c>
      <c r="B98" s="183" t="s">
        <v>48</v>
      </c>
      <c r="C98" s="186">
        <v>2.7143999999999999</v>
      </c>
      <c r="D98" s="183">
        <f>(References!C50*4)-(References!B50*1)-(References!A50*2)</f>
        <v>9.6999999999999993</v>
      </c>
      <c r="E98" s="183">
        <f t="shared" si="8"/>
        <v>33</v>
      </c>
      <c r="F98" s="183">
        <f t="shared" si="9"/>
        <v>-0.55000000000000004</v>
      </c>
      <c r="G98" s="183">
        <v>0.65</v>
      </c>
      <c r="H98" s="183">
        <v>28</v>
      </c>
      <c r="I98" s="187">
        <f>(References!T$4)-(References!T$3/2)</f>
        <v>30.45</v>
      </c>
      <c r="J98" s="183">
        <f t="shared" si="6"/>
        <v>19.5425</v>
      </c>
      <c r="K98" s="184">
        <f t="shared" si="7"/>
        <v>868.87943999999993</v>
      </c>
    </row>
    <row r="99" spans="1:13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" thickBot="1" x14ac:dyDescent="0.35">
      <c r="A102" s="193" t="s">
        <v>70</v>
      </c>
      <c r="B102" s="194" t="s">
        <v>48</v>
      </c>
      <c r="C102" s="195">
        <v>2.7143999999999999</v>
      </c>
      <c r="D102" s="194">
        <f>(References!C54*4)-(References!B54*1)-(References!A54*2)</f>
        <v>10.6</v>
      </c>
      <c r="E102" s="194">
        <f t="shared" si="8"/>
        <v>33</v>
      </c>
      <c r="F102" s="194">
        <f t="shared" si="9"/>
        <v>-0.55000000000000004</v>
      </c>
      <c r="G102" s="194">
        <v>0.65</v>
      </c>
      <c r="H102" s="194">
        <v>22.5</v>
      </c>
      <c r="I102" s="196">
        <f>(References!T$4)-(References!T$3/2)</f>
        <v>30.45</v>
      </c>
      <c r="J102" s="194">
        <f t="shared" si="6"/>
        <v>25.0425</v>
      </c>
      <c r="K102" s="197">
        <f t="shared" si="7"/>
        <v>949.49712</v>
      </c>
    </row>
    <row r="103" spans="1:13" ht="15" thickBot="1" x14ac:dyDescent="0.35">
      <c r="A103" s="193" t="s">
        <v>70</v>
      </c>
      <c r="B103" s="194" t="s">
        <v>48</v>
      </c>
      <c r="C103" s="195">
        <v>2.7143999999999999</v>
      </c>
      <c r="D103" s="194">
        <f>(References!C55*4)-(References!B55*1)-(References!A55*2)</f>
        <v>10.6</v>
      </c>
      <c r="E103" s="194">
        <f t="shared" si="8"/>
        <v>33</v>
      </c>
      <c r="F103" s="194">
        <f t="shared" si="9"/>
        <v>-0.55000000000000004</v>
      </c>
      <c r="G103" s="194">
        <v>0.65</v>
      </c>
      <c r="H103" s="194">
        <v>22.5</v>
      </c>
      <c r="I103" s="196">
        <f>(References!T$4)-(References!T$3/2)</f>
        <v>30.45</v>
      </c>
      <c r="J103" s="194">
        <f t="shared" si="6"/>
        <v>25.0425</v>
      </c>
      <c r="K103" s="197">
        <f t="shared" si="7"/>
        <v>949.49712</v>
      </c>
    </row>
    <row r="104" spans="1:13" ht="15" thickBot="1" x14ac:dyDescent="0.35">
      <c r="A104" s="193" t="s">
        <v>70</v>
      </c>
      <c r="B104" s="194" t="s">
        <v>48</v>
      </c>
      <c r="C104" s="195">
        <v>2.7143999999999999</v>
      </c>
      <c r="D104" s="194">
        <f>(References!C56*4)-(References!B56*1)-(References!A56*2)</f>
        <v>10.6</v>
      </c>
      <c r="E104" s="194">
        <f t="shared" si="8"/>
        <v>33</v>
      </c>
      <c r="F104" s="194">
        <f t="shared" si="9"/>
        <v>-0.55000000000000004</v>
      </c>
      <c r="G104" s="194">
        <v>0.65</v>
      </c>
      <c r="H104" s="194">
        <v>22.5</v>
      </c>
      <c r="I104" s="196">
        <f>(References!T$4)-(References!T$3/2)</f>
        <v>30.45</v>
      </c>
      <c r="J104" s="194">
        <f t="shared" si="6"/>
        <v>25.0425</v>
      </c>
      <c r="K104" s="197">
        <f t="shared" si="7"/>
        <v>949.49712</v>
      </c>
    </row>
    <row r="105" spans="1:13" ht="15" thickBot="1" x14ac:dyDescent="0.35">
      <c r="A105" s="193" t="s">
        <v>70</v>
      </c>
      <c r="B105" s="194" t="s">
        <v>48</v>
      </c>
      <c r="C105" s="195">
        <v>2.7143999999999999</v>
      </c>
      <c r="D105" s="194">
        <f>(References!C57*4)-(References!B57*1)-(References!A57*2)</f>
        <v>10.6</v>
      </c>
      <c r="E105" s="194">
        <f t="shared" si="8"/>
        <v>33</v>
      </c>
      <c r="F105" s="194">
        <f t="shared" si="9"/>
        <v>-0.55000000000000004</v>
      </c>
      <c r="G105" s="194">
        <v>0.65</v>
      </c>
      <c r="H105" s="194">
        <v>22.5</v>
      </c>
      <c r="I105" s="196">
        <f>(References!T$4)-(References!T$3/2)</f>
        <v>30.45</v>
      </c>
      <c r="J105" s="194">
        <f t="shared" si="6"/>
        <v>25.0425</v>
      </c>
      <c r="K105" s="197">
        <f t="shared" si="7"/>
        <v>949.49712</v>
      </c>
    </row>
    <row r="106" spans="1:13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" thickBot="1" x14ac:dyDescent="0.35">
      <c r="A115" s="182" t="s">
        <v>79</v>
      </c>
      <c r="B115" s="183" t="s">
        <v>49</v>
      </c>
      <c r="C115" s="186">
        <v>2.7143999999999999</v>
      </c>
      <c r="D115" s="183">
        <f>(References!C67*4)-(References!B67*1)-(References!A67*2)</f>
        <v>19.2</v>
      </c>
      <c r="E115" s="183">
        <f t="shared" si="8"/>
        <v>22</v>
      </c>
      <c r="F115" s="183">
        <f t="shared" si="9"/>
        <v>-3.88</v>
      </c>
      <c r="G115" s="183">
        <v>0.65</v>
      </c>
      <c r="H115" s="183">
        <v>28</v>
      </c>
      <c r="I115" s="187">
        <f>(References!T$4)-(References!T$3/2)</f>
        <v>30.45</v>
      </c>
      <c r="J115" s="183">
        <f t="shared" si="6"/>
        <v>10.228</v>
      </c>
      <c r="K115" s="184">
        <f t="shared" si="7"/>
        <v>1146.5625599999998</v>
      </c>
    </row>
    <row r="116" spans="1:13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" thickBot="1" x14ac:dyDescent="0.35">
      <c r="A118" s="182" t="s">
        <v>90</v>
      </c>
      <c r="B118" s="183" t="s">
        <v>49</v>
      </c>
      <c r="C118" s="186">
        <v>2.7143999999999999</v>
      </c>
      <c r="D118" s="183">
        <f>(References!C70*4)-(References!B70*1)-(References!A70*2)</f>
        <v>24</v>
      </c>
      <c r="E118" s="183">
        <f t="shared" si="8"/>
        <v>22</v>
      </c>
      <c r="F118" s="183">
        <f t="shared" si="9"/>
        <v>-3.88</v>
      </c>
      <c r="G118" s="183">
        <v>0.65</v>
      </c>
      <c r="H118" s="183">
        <v>28</v>
      </c>
      <c r="I118" s="187">
        <f>(References!T$4)-(References!T$3/2)</f>
        <v>30.45</v>
      </c>
      <c r="J118" s="183">
        <f t="shared" si="6"/>
        <v>10.228</v>
      </c>
      <c r="K118" s="184">
        <f t="shared" si="7"/>
        <v>1433.2031999999999</v>
      </c>
    </row>
    <row r="119" spans="1:13" ht="15" thickBot="1" x14ac:dyDescent="0.35">
      <c r="A119" s="182" t="s">
        <v>80</v>
      </c>
      <c r="B119" s="183" t="s">
        <v>49</v>
      </c>
      <c r="C119" s="186">
        <v>2.7143999999999999</v>
      </c>
      <c r="D119" s="183">
        <f>(References!C71*4)-(References!B71*1)-(References!A71*2)</f>
        <v>48</v>
      </c>
      <c r="E119" s="183">
        <f t="shared" si="8"/>
        <v>22</v>
      </c>
      <c r="F119" s="183">
        <f t="shared" si="9"/>
        <v>-3.88</v>
      </c>
      <c r="G119" s="183">
        <v>0.65</v>
      </c>
      <c r="H119" s="183">
        <v>24</v>
      </c>
      <c r="I119" s="187">
        <f>(References!T$4)-(References!T$3/2)</f>
        <v>30.45</v>
      </c>
      <c r="J119" s="183">
        <f t="shared" si="6"/>
        <v>14.228</v>
      </c>
      <c r="K119" s="184">
        <f t="shared" si="7"/>
        <v>2866.4063999999998</v>
      </c>
    </row>
    <row r="120" spans="1:13" ht="15" thickBot="1" x14ac:dyDescent="0.35">
      <c r="A120" s="182" t="s">
        <v>81</v>
      </c>
      <c r="B120" s="183" t="s">
        <v>46</v>
      </c>
      <c r="C120" s="186">
        <v>2.7143999999999999</v>
      </c>
      <c r="D120" s="183">
        <f>(References!C72*4)-(References!B72*1)-(References!A72*2)</f>
        <v>61.6</v>
      </c>
      <c r="E120" s="183">
        <f t="shared" si="8"/>
        <v>25</v>
      </c>
      <c r="F120" s="183">
        <f t="shared" si="9"/>
        <v>-0.55000000000000004</v>
      </c>
      <c r="G120" s="183">
        <v>0.65</v>
      </c>
      <c r="H120" s="183">
        <v>24</v>
      </c>
      <c r="I120" s="187">
        <f>(References!T$4)-(References!T$3/2)</f>
        <v>30.45</v>
      </c>
      <c r="J120" s="183">
        <f t="shared" si="6"/>
        <v>18.342499999999998</v>
      </c>
      <c r="K120" s="184">
        <f t="shared" si="7"/>
        <v>4180.1760000000004</v>
      </c>
    </row>
    <row r="121" spans="1:13" ht="15" thickBot="1" x14ac:dyDescent="0.35">
      <c r="A121" s="182" t="s">
        <v>82</v>
      </c>
      <c r="B121" s="183" t="s">
        <v>47</v>
      </c>
      <c r="C121" s="186">
        <v>2.7143999999999999</v>
      </c>
      <c r="D121" s="183">
        <f>(References!C73*4)-(References!B73*1)-(References!A73*2)</f>
        <v>8.8800000000000008</v>
      </c>
      <c r="E121" s="183">
        <f t="shared" si="8"/>
        <v>13</v>
      </c>
      <c r="F121" s="183">
        <f t="shared" si="9"/>
        <v>2.2200000000000002</v>
      </c>
      <c r="G121" s="183">
        <v>0.65</v>
      </c>
      <c r="H121" s="183">
        <v>24</v>
      </c>
      <c r="I121" s="187">
        <f>(References!T$4)-(References!T$3/2)</f>
        <v>30.45</v>
      </c>
      <c r="J121" s="183">
        <f t="shared" si="6"/>
        <v>12.343</v>
      </c>
      <c r="K121" s="184">
        <f t="shared" si="7"/>
        <v>313.35033600000003</v>
      </c>
    </row>
    <row r="122" spans="1:13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" thickBot="1" x14ac:dyDescent="0.35">
      <c r="A123" s="193" t="s">
        <v>70</v>
      </c>
      <c r="B123" s="194" t="s">
        <v>46</v>
      </c>
      <c r="C123" s="195">
        <v>2.7143999999999999</v>
      </c>
      <c r="D123" s="194">
        <f>(References!C75*4)-(References!B75*1)-(References!A75*2)</f>
        <v>10.6</v>
      </c>
      <c r="E123" s="194">
        <f t="shared" si="8"/>
        <v>25</v>
      </c>
      <c r="F123" s="194">
        <f t="shared" si="9"/>
        <v>-0.55000000000000004</v>
      </c>
      <c r="G123" s="194">
        <v>0.65</v>
      </c>
      <c r="H123" s="194">
        <v>22.5</v>
      </c>
      <c r="I123" s="196">
        <f>(References!T$4)-(References!T$3/2)</f>
        <v>30.45</v>
      </c>
      <c r="J123" s="194">
        <f t="shared" si="6"/>
        <v>19.842499999999998</v>
      </c>
      <c r="K123" s="197">
        <f t="shared" si="7"/>
        <v>719.31600000000003</v>
      </c>
    </row>
    <row r="124" spans="1:13" ht="15" thickBot="1" x14ac:dyDescent="0.35">
      <c r="A124" s="193" t="s">
        <v>70</v>
      </c>
      <c r="B124" s="194" t="s">
        <v>46</v>
      </c>
      <c r="C124" s="195">
        <v>2.7143999999999999</v>
      </c>
      <c r="D124" s="194">
        <f>(References!C76*4)-(References!B76*1)-(References!A76*2)</f>
        <v>10.6</v>
      </c>
      <c r="E124" s="194">
        <f t="shared" si="8"/>
        <v>25</v>
      </c>
      <c r="F124" s="194">
        <f t="shared" si="9"/>
        <v>-0.55000000000000004</v>
      </c>
      <c r="G124" s="194">
        <v>0.65</v>
      </c>
      <c r="H124" s="194">
        <v>22.5</v>
      </c>
      <c r="I124" s="196">
        <f>(References!T$4)-(References!T$3/2)</f>
        <v>30.45</v>
      </c>
      <c r="J124" s="194">
        <f t="shared" si="6"/>
        <v>19.842499999999998</v>
      </c>
      <c r="K124" s="197">
        <f t="shared" si="7"/>
        <v>719.31600000000003</v>
      </c>
    </row>
    <row r="125" spans="1:13" ht="15" thickBot="1" x14ac:dyDescent="0.35">
      <c r="A125" s="193" t="s">
        <v>70</v>
      </c>
      <c r="B125" s="194" t="s">
        <v>46</v>
      </c>
      <c r="C125" s="195">
        <v>2.7143999999999999</v>
      </c>
      <c r="D125" s="194">
        <f>(References!C77*4)-(References!B77*1)-(References!A77*2)</f>
        <v>10.6</v>
      </c>
      <c r="E125" s="194">
        <f t="shared" si="8"/>
        <v>25</v>
      </c>
      <c r="F125" s="194">
        <f t="shared" si="9"/>
        <v>-0.55000000000000004</v>
      </c>
      <c r="G125" s="194">
        <v>0.65</v>
      </c>
      <c r="H125" s="194">
        <v>22.5</v>
      </c>
      <c r="I125" s="196">
        <f>(References!T$4)-(References!T$3/2)</f>
        <v>30.45</v>
      </c>
      <c r="J125" s="194">
        <f t="shared" si="6"/>
        <v>19.842499999999998</v>
      </c>
      <c r="K125" s="197">
        <f t="shared" si="7"/>
        <v>719.31600000000003</v>
      </c>
    </row>
    <row r="126" spans="1:13" ht="15" thickBot="1" x14ac:dyDescent="0.35">
      <c r="A126" s="193" t="s">
        <v>70</v>
      </c>
      <c r="B126" s="194" t="s">
        <v>46</v>
      </c>
      <c r="C126" s="195">
        <v>2.7143999999999999</v>
      </c>
      <c r="D126" s="194">
        <f>(References!C78*4)-(References!B78*1)-(References!A78*2)</f>
        <v>10.6</v>
      </c>
      <c r="E126" s="194">
        <f t="shared" si="8"/>
        <v>25</v>
      </c>
      <c r="F126" s="194">
        <f t="shared" si="9"/>
        <v>-0.55000000000000004</v>
      </c>
      <c r="G126" s="194">
        <v>0.65</v>
      </c>
      <c r="H126" s="194">
        <v>22.5</v>
      </c>
      <c r="I126" s="196">
        <f>(References!T$4)-(References!T$3/2)</f>
        <v>30.45</v>
      </c>
      <c r="J126" s="194">
        <f t="shared" si="6"/>
        <v>19.842499999999998</v>
      </c>
      <c r="K126" s="197">
        <f t="shared" si="7"/>
        <v>719.31600000000003</v>
      </c>
    </row>
    <row r="127" spans="1:13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" thickBot="1" x14ac:dyDescent="0.35">
      <c r="A130" s="188" t="s">
        <v>65</v>
      </c>
      <c r="B130" s="189" t="s">
        <v>46</v>
      </c>
      <c r="C130" s="190">
        <v>2.7143999999999999</v>
      </c>
      <c r="D130" s="189">
        <f>(References!C82*4)-(References!B82*1)-(References!A82*2)</f>
        <v>7.4</v>
      </c>
      <c r="E130" s="189">
        <f t="shared" si="8"/>
        <v>25</v>
      </c>
      <c r="F130" s="189">
        <f t="shared" si="9"/>
        <v>-0.55000000000000004</v>
      </c>
      <c r="G130" s="189">
        <v>0.65</v>
      </c>
      <c r="H130" s="189">
        <v>22.5</v>
      </c>
      <c r="I130" s="191">
        <f>(References!T$4)-(References!T$3/2)</f>
        <v>30.45</v>
      </c>
      <c r="J130" s="189">
        <f t="shared" si="6"/>
        <v>19.842499999999998</v>
      </c>
      <c r="K130" s="192">
        <f t="shared" si="7"/>
        <v>502.16399999999999</v>
      </c>
    </row>
    <row r="131" spans="1:13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7"/>
  <sheetViews>
    <sheetView topLeftCell="A143" workbookViewId="0">
      <selection activeCell="E167" sqref="E167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154" t="s">
        <v>535</v>
      </c>
      <c r="B1" s="154"/>
      <c r="C1" s="154"/>
      <c r="D1" s="154"/>
      <c r="E1" s="154"/>
      <c r="F1" s="154"/>
      <c r="G1" s="111"/>
      <c r="H1" s="111"/>
    </row>
    <row r="2" spans="1:15" ht="24" thickBot="1" x14ac:dyDescent="0.5">
      <c r="A2" s="152" t="s">
        <v>160</v>
      </c>
      <c r="B2" s="152"/>
      <c r="C2" s="152"/>
      <c r="D2" s="152"/>
      <c r="E2" s="152"/>
      <c r="F2" s="152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55" t="s">
        <v>539</v>
      </c>
      <c r="K3" s="155"/>
      <c r="L3" s="155"/>
      <c r="M3" s="155"/>
      <c r="N3" s="155"/>
      <c r="O3" s="155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56"/>
      <c r="K4" s="156"/>
      <c r="L4" s="156"/>
      <c r="M4" s="156" t="s">
        <v>430</v>
      </c>
      <c r="N4" s="156"/>
      <c r="O4" s="156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57" t="s">
        <v>160</v>
      </c>
      <c r="K5" s="157"/>
      <c r="L5" s="157"/>
      <c r="M5" s="157">
        <f>F63</f>
        <v>19883.609740799991</v>
      </c>
      <c r="N5" s="157"/>
      <c r="O5" s="157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57" t="s">
        <v>41</v>
      </c>
      <c r="K6" s="157"/>
      <c r="L6" s="157"/>
      <c r="M6" s="157">
        <f>F117</f>
        <v>16958.066184539995</v>
      </c>
      <c r="N6" s="157"/>
      <c r="O6" s="157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57" t="s">
        <v>59</v>
      </c>
      <c r="K7" s="157"/>
      <c r="L7" s="157"/>
      <c r="M7" s="157">
        <f>F167</f>
        <v>22702.400073599994</v>
      </c>
      <c r="N7" s="157"/>
      <c r="O7" s="157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 t="shared" si="0"/>
        <v>134.1690012</v>
      </c>
      <c r="J8" s="158" t="s">
        <v>540</v>
      </c>
      <c r="K8" s="158"/>
      <c r="L8" s="158"/>
      <c r="M8" s="171">
        <f>M5+M6+M7</f>
        <v>59544.075998939981</v>
      </c>
      <c r="N8" s="172"/>
      <c r="O8" s="173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58"/>
      <c r="K9" s="158"/>
      <c r="L9" s="158"/>
      <c r="M9" s="174"/>
      <c r="N9" s="175"/>
      <c r="O9" s="176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6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6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6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6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6" ht="15" thickBot="1" x14ac:dyDescent="0.35">
      <c r="A21" s="81" t="s">
        <v>254</v>
      </c>
      <c r="B21" s="82">
        <f>13*References!BA21</f>
        <v>1702.5865999999999</v>
      </c>
      <c r="C21" s="82">
        <v>0.75</v>
      </c>
      <c r="D21" s="82">
        <v>1.2</v>
      </c>
      <c r="E21" s="82">
        <v>0.94</v>
      </c>
      <c r="F21" s="113">
        <f t="shared" si="0"/>
        <v>1440.3882635999998</v>
      </c>
    </row>
    <row r="22" spans="1:6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6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6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6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6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6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6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6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6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6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6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6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6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6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6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6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6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6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6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6" ht="15" thickBot="1" x14ac:dyDescent="0.35">
      <c r="A41" s="115" t="s">
        <v>507</v>
      </c>
      <c r="B41" s="82">
        <f>13*References!BA41</f>
        <v>8530.3269999999993</v>
      </c>
      <c r="C41" s="82">
        <v>1</v>
      </c>
      <c r="D41" s="82">
        <v>1.2</v>
      </c>
      <c r="E41" s="82">
        <v>0.94</v>
      </c>
      <c r="F41" s="113">
        <f t="shared" si="0"/>
        <v>9622.2088559999975</v>
      </c>
    </row>
    <row r="42" spans="1:6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6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6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</row>
    <row r="45" spans="1:6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6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6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6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</row>
    <row r="49" spans="1:6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6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6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6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6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6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</row>
    <row r="55" spans="1:6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6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6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6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6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6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6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6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6" ht="15" thickBot="1" x14ac:dyDescent="0.35">
      <c r="E63" s="129" t="s">
        <v>333</v>
      </c>
      <c r="F63" s="129">
        <f>SUM(Table23[Qs (W)])</f>
        <v>19883.609740799991</v>
      </c>
    </row>
    <row r="65" spans="1:8" ht="24" thickBot="1" x14ac:dyDescent="0.5">
      <c r="A65" s="152" t="s">
        <v>41</v>
      </c>
      <c r="B65" s="152"/>
      <c r="C65" s="152"/>
      <c r="D65" s="152"/>
      <c r="E65" s="152"/>
      <c r="F65" s="152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81" t="s">
        <v>175</v>
      </c>
      <c r="B76" s="82">
        <f>13*References!BB13</f>
        <v>296.77699999999999</v>
      </c>
      <c r="C76" s="82">
        <v>0.75</v>
      </c>
      <c r="D76" s="82">
        <v>1.2</v>
      </c>
      <c r="E76" s="82">
        <v>0.94</v>
      </c>
      <c r="F76" s="113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6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6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6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6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6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6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6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6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6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6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6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6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6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6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</row>
    <row r="95" spans="1:6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6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3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97" t="s">
        <v>64</v>
      </c>
      <c r="B116" s="84">
        <f>13*References!BB53</f>
        <v>8903.9174899999998</v>
      </c>
      <c r="C116" s="84">
        <v>0.75</v>
      </c>
      <c r="D116" s="84">
        <v>1.2</v>
      </c>
      <c r="E116" s="84">
        <v>0.94</v>
      </c>
      <c r="F116" s="114">
        <f>B116*C116*D116*E116</f>
        <v>7532.7141965399987</v>
      </c>
    </row>
    <row r="117" spans="1:8" ht="15" thickBot="1" x14ac:dyDescent="0.35">
      <c r="E117" s="129" t="s">
        <v>333</v>
      </c>
      <c r="F117" s="129">
        <f>SUM(Table24[Qs (W)])</f>
        <v>16958.066184539995</v>
      </c>
    </row>
    <row r="119" spans="1:8" ht="23.4" x14ac:dyDescent="0.45">
      <c r="A119" s="153" t="s">
        <v>59</v>
      </c>
      <c r="B119" s="153"/>
      <c r="C119" s="153"/>
      <c r="D119" s="153"/>
      <c r="E119" s="153"/>
      <c r="F119" s="153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81" t="s">
        <v>175</v>
      </c>
      <c r="B132" s="82">
        <f>13*References!BC15</f>
        <v>296.77699999999999</v>
      </c>
      <c r="C132" s="82">
        <v>0.75</v>
      </c>
      <c r="D132" s="82">
        <v>1.2</v>
      </c>
      <c r="E132" s="82">
        <v>0.94</v>
      </c>
      <c r="F132" s="113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6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6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6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6" ht="15" thickBot="1" x14ac:dyDescent="0.35">
      <c r="A148" s="81" t="s">
        <v>308</v>
      </c>
      <c r="B148" s="82">
        <f>13*References!BC31</f>
        <v>305.27769999999998</v>
      </c>
      <c r="C148" s="82">
        <v>0.75</v>
      </c>
      <c r="D148" s="82">
        <v>1.2</v>
      </c>
      <c r="E148" s="82">
        <v>0.94</v>
      </c>
      <c r="F148" s="113">
        <f t="shared" si="2"/>
        <v>258.26493419999991</v>
      </c>
    </row>
    <row r="149" spans="1:6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6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6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6" ht="15" thickBot="1" x14ac:dyDescent="0.35">
      <c r="A152" s="81" t="s">
        <v>312</v>
      </c>
      <c r="B152" s="82">
        <f>13*References!BC35</f>
        <v>144.1336</v>
      </c>
      <c r="C152" s="82">
        <v>1</v>
      </c>
      <c r="D152" s="82">
        <v>1.2</v>
      </c>
      <c r="E152" s="82">
        <v>0.94</v>
      </c>
      <c r="F152" s="113">
        <f t="shared" si="2"/>
        <v>162.5827008</v>
      </c>
    </row>
    <row r="153" spans="1:6" ht="15" thickBot="1" x14ac:dyDescent="0.35">
      <c r="A153" s="81" t="s">
        <v>313</v>
      </c>
      <c r="B153" s="82">
        <f>13*References!BC36</f>
        <v>107.575</v>
      </c>
      <c r="C153" s="82">
        <v>1</v>
      </c>
      <c r="D153" s="82">
        <v>1.2</v>
      </c>
      <c r="E153" s="82">
        <v>0.94</v>
      </c>
      <c r="F153" s="113">
        <f t="shared" si="2"/>
        <v>121.3446</v>
      </c>
    </row>
    <row r="154" spans="1:6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6" ht="15" thickBot="1" x14ac:dyDescent="0.35">
      <c r="A155" s="81" t="s">
        <v>509</v>
      </c>
      <c r="B155" s="82">
        <f>13*References!BC38</f>
        <v>2391.2694000000001</v>
      </c>
      <c r="C155" s="82">
        <v>0.75</v>
      </c>
      <c r="D155" s="82">
        <v>1.2</v>
      </c>
      <c r="E155" s="82">
        <v>0.94</v>
      </c>
      <c r="F155" s="113">
        <f t="shared" si="2"/>
        <v>2023.0139124</v>
      </c>
    </row>
    <row r="156" spans="1:6" ht="15" thickBot="1" x14ac:dyDescent="0.35">
      <c r="A156" s="81" t="s">
        <v>316</v>
      </c>
      <c r="B156" s="82">
        <f>13*References!BC39</f>
        <v>765.18130000000008</v>
      </c>
      <c r="C156" s="82">
        <v>1</v>
      </c>
      <c r="D156" s="82">
        <v>1.2</v>
      </c>
      <c r="E156" s="82">
        <v>0.94</v>
      </c>
      <c r="F156" s="113">
        <f t="shared" si="2"/>
        <v>863.12450639999997</v>
      </c>
    </row>
    <row r="157" spans="1:6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6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6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6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83" t="s">
        <v>510</v>
      </c>
      <c r="B164" s="82">
        <f>13*References!BC47</f>
        <v>10504.1001</v>
      </c>
      <c r="C164" s="84">
        <v>1</v>
      </c>
      <c r="D164" s="84">
        <v>1.2</v>
      </c>
      <c r="E164" s="84">
        <v>0.94</v>
      </c>
      <c r="F164" s="114">
        <f t="shared" si="2"/>
        <v>11848.624912799998</v>
      </c>
    </row>
    <row r="165" spans="1:6" s="149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9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9" t="s">
        <v>333</v>
      </c>
      <c r="F167" s="129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dimension ref="A1:H14"/>
  <sheetViews>
    <sheetView workbookViewId="0">
      <selection activeCell="D13" sqref="D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9" customFormat="1" ht="39" customHeight="1" thickBot="1" x14ac:dyDescent="0.5">
      <c r="A1" s="180" t="s">
        <v>547</v>
      </c>
      <c r="B1" s="180"/>
      <c r="C1" s="180"/>
      <c r="D1" s="180"/>
      <c r="E1" s="103"/>
      <c r="F1" s="103"/>
      <c r="G1" s="103"/>
      <c r="H1" s="103"/>
    </row>
    <row r="2" spans="1:8" ht="35.25" customHeight="1" thickBot="1" x14ac:dyDescent="0.35">
      <c r="A2" s="141"/>
      <c r="B2" s="142" t="s">
        <v>548</v>
      </c>
      <c r="C2" s="142" t="s">
        <v>549</v>
      </c>
      <c r="D2" s="142" t="s">
        <v>550</v>
      </c>
    </row>
    <row r="3" spans="1:8" ht="26.25" customHeight="1" thickBot="1" x14ac:dyDescent="0.35">
      <c r="A3" s="143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3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3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3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3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3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3" t="s">
        <v>504</v>
      </c>
      <c r="B9" s="82">
        <f>'VENTILATION LOAD'!R8</f>
        <v>42537.572</v>
      </c>
      <c r="C9" s="82">
        <f>'VENTILATION LOAD'!S8</f>
        <v>83456.651898000026</v>
      </c>
      <c r="D9" s="82">
        <f t="shared" si="0"/>
        <v>125994.22389800003</v>
      </c>
    </row>
    <row r="10" spans="1:8" ht="26.25" customHeight="1" thickBot="1" x14ac:dyDescent="0.35">
      <c r="A10" s="143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3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3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4" t="s">
        <v>540</v>
      </c>
      <c r="B13" s="145">
        <f>SUM(B3:B12)</f>
        <v>399922.54750221182</v>
      </c>
      <c r="C13" s="145">
        <f>SUM(C3:C12)</f>
        <v>141776.5775173794</v>
      </c>
      <c r="D13" s="146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BC106"/>
  <sheetViews>
    <sheetView zoomScale="70" zoomScaleNormal="70" workbookViewId="0">
      <selection activeCell="BC26" sqref="BC26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164" t="s">
        <v>297</v>
      </c>
      <c r="Z2" s="164"/>
      <c r="AB2" t="s">
        <v>298</v>
      </c>
      <c r="AD2" s="164" t="s">
        <v>318</v>
      </c>
      <c r="AE2" s="164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164" t="s">
        <v>96</v>
      </c>
      <c r="B3" s="164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6" t="s">
        <v>53</v>
      </c>
      <c r="BB3" s="116" t="s">
        <v>53</v>
      </c>
      <c r="BC3" s="116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7">
        <v>37.438600000000001</v>
      </c>
      <c r="BB4" s="117">
        <v>34.276899999999998</v>
      </c>
      <c r="BC4" s="117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7">
        <v>9.6511999999999993</v>
      </c>
      <c r="BB5" s="117">
        <v>34.26</v>
      </c>
      <c r="BC5" s="117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7">
        <v>7.8174999999999999</v>
      </c>
      <c r="BB6" s="117">
        <v>34.29</v>
      </c>
      <c r="BC6" s="117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7">
        <v>16.3095</v>
      </c>
      <c r="BB7" s="117">
        <v>34.1175</v>
      </c>
      <c r="BC7" s="117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7">
        <v>18.299099999999999</v>
      </c>
      <c r="BB8" s="117">
        <v>13.6738</v>
      </c>
      <c r="BC8" s="117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7">
        <v>18.346399999999999</v>
      </c>
      <c r="BB9" s="117">
        <v>13.9206</v>
      </c>
      <c r="BC9" s="117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7">
        <v>23.3886</v>
      </c>
      <c r="BB10" s="117">
        <v>13.875400000000001</v>
      </c>
      <c r="BC10" s="117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7">
        <v>5.61</v>
      </c>
      <c r="BB11" s="117">
        <v>30.712</v>
      </c>
      <c r="BC11" s="117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7">
        <v>42.192500000000003</v>
      </c>
      <c r="BB12" s="117">
        <v>17.941299999999998</v>
      </c>
      <c r="BC12" s="117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9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7">
        <v>19.637799999999999</v>
      </c>
      <c r="BB13" s="117">
        <v>22.829000000000001</v>
      </c>
      <c r="BC13" s="117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7">
        <v>31.289300000000001</v>
      </c>
      <c r="BB14" s="117">
        <v>4.7869000000000002</v>
      </c>
      <c r="BC14" s="117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7">
        <v>3.9771999999999998</v>
      </c>
      <c r="BB15" s="117">
        <v>2.4581</v>
      </c>
      <c r="BC15" s="117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7">
        <v>20.748699999999999</v>
      </c>
      <c r="BB16" s="117">
        <v>13.8735</v>
      </c>
      <c r="BC16" s="117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9">
        <f>3.7*4</f>
        <v>14.8</v>
      </c>
      <c r="AO17">
        <v>0</v>
      </c>
      <c r="AP17">
        <v>1.4</v>
      </c>
      <c r="AQ17" s="119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7">
        <v>17.9512</v>
      </c>
      <c r="BB17" s="117">
        <v>13.892799999999999</v>
      </c>
      <c r="BC17" s="117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7">
        <v>18.630800000000001</v>
      </c>
      <c r="BB18" s="117">
        <v>13.7066</v>
      </c>
      <c r="BC18" s="117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7">
        <v>17.137799999999999</v>
      </c>
      <c r="BB19" s="117">
        <v>11.052199999999999</v>
      </c>
      <c r="BC19" s="117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7">
        <v>11.606199999999999</v>
      </c>
      <c r="BB20" s="117">
        <v>13.6813</v>
      </c>
      <c r="BC20" s="117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7">
        <v>130.9682</v>
      </c>
      <c r="BB21" s="117">
        <v>18.7319</v>
      </c>
      <c r="BC21" s="117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7">
        <v>32.86</v>
      </c>
      <c r="BB22" s="117">
        <v>25.372</v>
      </c>
      <c r="BC22" s="117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7">
        <v>12.6775</v>
      </c>
      <c r="BB23" s="117">
        <v>25.48</v>
      </c>
      <c r="BC23" s="117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7">
        <v>14.3811</v>
      </c>
      <c r="BB24" s="117">
        <v>13.751200000000001</v>
      </c>
      <c r="BC24" s="117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7">
        <v>14.3811</v>
      </c>
      <c r="BB25" s="117">
        <v>38.453699999999998</v>
      </c>
      <c r="BC25" s="117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7">
        <v>14.435600000000001</v>
      </c>
      <c r="BB26" s="117">
        <v>25.372</v>
      </c>
      <c r="BC26" s="117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7">
        <v>14.435600000000001</v>
      </c>
      <c r="BB27" s="117">
        <v>25.48</v>
      </c>
      <c r="BC27" s="117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7">
        <v>5.4874999999999998</v>
      </c>
      <c r="BB28" s="117">
        <v>13.751200000000001</v>
      </c>
      <c r="BC28" s="117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7">
        <v>5.51</v>
      </c>
      <c r="BB29" s="117">
        <v>13.751200000000001</v>
      </c>
      <c r="BC29" s="117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7">
        <v>5.6363000000000003</v>
      </c>
      <c r="BB30" s="117">
        <v>21.361599999999999</v>
      </c>
      <c r="BC30" s="117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7">
        <v>5.5202999999999998</v>
      </c>
      <c r="BB31" s="117">
        <v>31.438800000000001</v>
      </c>
      <c r="BC31" s="117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7">
        <v>9.1492000000000004</v>
      </c>
      <c r="BB32" s="117">
        <v>34.986199999999997</v>
      </c>
      <c r="BC32" s="117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7">
        <v>4.9522000000000004</v>
      </c>
      <c r="BB33" s="117">
        <v>5.4111000000000002</v>
      </c>
      <c r="BC33" s="117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7">
        <v>25.253799999999998</v>
      </c>
      <c r="BB34" s="117">
        <v>25.7486</v>
      </c>
      <c r="BC34" s="117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7">
        <v>14.3811</v>
      </c>
      <c r="BB35" s="117">
        <v>16.799399999999999</v>
      </c>
      <c r="BC35" s="117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7">
        <v>14.3811</v>
      </c>
      <c r="BB36" s="117">
        <v>16.799900000000001</v>
      </c>
      <c r="BC36" s="117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7">
        <v>10.417999999999999</v>
      </c>
      <c r="BB37" s="117">
        <v>10.2258</v>
      </c>
      <c r="BC37" s="117">
        <v>13.467499999999999</v>
      </c>
    </row>
    <row r="38" spans="1:55" x14ac:dyDescent="0.3">
      <c r="A38" s="164" t="s">
        <v>98</v>
      </c>
      <c r="B38" s="164"/>
      <c r="C38" s="164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7">
        <v>9.9804999999999993</v>
      </c>
      <c r="BB38" s="117">
        <v>19.000699999999998</v>
      </c>
      <c r="BC38" s="117">
        <v>183.94380000000001</v>
      </c>
    </row>
    <row r="39" spans="1:55" x14ac:dyDescent="0.3">
      <c r="A39" s="164" t="s">
        <v>97</v>
      </c>
      <c r="B39" s="164"/>
      <c r="C39" s="164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9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7">
        <v>14.435600000000001</v>
      </c>
      <c r="BB39" s="117">
        <v>14.987500000000001</v>
      </c>
      <c r="BC39" s="117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9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7">
        <v>14.435600000000001</v>
      </c>
      <c r="BB40" s="117">
        <v>21.6006</v>
      </c>
      <c r="BC40" s="117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7">
        <v>656.17899999999997</v>
      </c>
      <c r="BB41" s="117">
        <v>23.600300000000001</v>
      </c>
      <c r="BC41" s="117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7">
        <v>8.4309999999999992</v>
      </c>
      <c r="BB42" s="117">
        <v>35.042499999999997</v>
      </c>
      <c r="BC42" s="117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7">
        <v>8.3137000000000008</v>
      </c>
      <c r="BB43" s="117">
        <v>5.6912000000000003</v>
      </c>
      <c r="BC43" s="117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8">
        <v>0.8</v>
      </c>
      <c r="AX44" s="85">
        <v>1.2</v>
      </c>
      <c r="AY44" s="85">
        <v>1.2</v>
      </c>
      <c r="BA44" s="117">
        <v>8.4375</v>
      </c>
      <c r="BB44" s="117">
        <v>4.1337999999999999</v>
      </c>
      <c r="BC44" s="117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8">
        <v>0.9</v>
      </c>
      <c r="AX45" s="85">
        <v>0.7</v>
      </c>
      <c r="AY45" s="85">
        <v>0.7</v>
      </c>
      <c r="BA45" s="117">
        <v>13.606999999999999</v>
      </c>
      <c r="BB45" s="117">
        <v>12.91</v>
      </c>
      <c r="BC45" s="117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7">
        <v>17.259899999999998</v>
      </c>
      <c r="BB46" s="117">
        <v>7.4783999999999997</v>
      </c>
      <c r="BC46" s="117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7">
        <v>17.1267</v>
      </c>
      <c r="BB47" s="117">
        <v>17.520700000000001</v>
      </c>
      <c r="BC47" s="117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7">
        <v>8.5710999999999995</v>
      </c>
      <c r="BB48" s="117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7">
        <v>13.5984</v>
      </c>
      <c r="BB49" s="117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7">
        <v>17.0428</v>
      </c>
      <c r="BB50" s="117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7">
        <v>10.441700000000001</v>
      </c>
      <c r="BB51" s="117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7">
        <v>11.591900000000001</v>
      </c>
      <c r="BB52" s="117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7">
        <v>19.076899999999998</v>
      </c>
      <c r="BB53" s="123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7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7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9">
        <v>0</v>
      </c>
      <c r="AH56" s="119">
        <v>0</v>
      </c>
      <c r="AI56" s="119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7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7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7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7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8">
        <v>2</v>
      </c>
      <c r="AX60" s="85">
        <v>0.9</v>
      </c>
      <c r="AY60" s="85">
        <v>1.6</v>
      </c>
      <c r="BA60" s="117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7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7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opLeftCell="A36" workbookViewId="0">
      <selection activeCell="B43" sqref="B43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154" t="s">
        <v>11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20" ht="24" thickBot="1" x14ac:dyDescent="0.5">
      <c r="A2" s="153" t="s">
        <v>160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55" t="s">
        <v>539</v>
      </c>
      <c r="P3" s="155"/>
      <c r="Q3" s="155"/>
      <c r="R3" s="155"/>
      <c r="S3" s="155"/>
      <c r="T3" s="155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56"/>
      <c r="P4" s="156"/>
      <c r="Q4" s="156"/>
      <c r="R4" s="133" t="s">
        <v>541</v>
      </c>
      <c r="S4" s="133" t="s">
        <v>542</v>
      </c>
      <c r="T4" s="133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57" t="s">
        <v>160</v>
      </c>
      <c r="P5" s="157"/>
      <c r="Q5" s="157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57" t="s">
        <v>41</v>
      </c>
      <c r="P6" s="157"/>
      <c r="Q6" s="157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57" t="s">
        <v>59</v>
      </c>
      <c r="P7" s="157"/>
      <c r="Q7" s="157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58" t="s">
        <v>540</v>
      </c>
      <c r="P8" s="158"/>
      <c r="Q8" s="158"/>
      <c r="R8" s="159">
        <f>SUM(R5:R7)</f>
        <v>38633.611499999999</v>
      </c>
      <c r="S8" s="159">
        <f>SUM(S5:S7)</f>
        <v>5763.8469070000001</v>
      </c>
      <c r="T8" s="159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58"/>
      <c r="P9" s="158"/>
      <c r="Q9" s="158"/>
      <c r="R9" s="160"/>
      <c r="S9" s="160"/>
      <c r="T9" s="160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8" t="s">
        <v>64</v>
      </c>
      <c r="B13" s="6" t="s">
        <v>48</v>
      </c>
      <c r="C13" s="6">
        <v>2.8721999999999999</v>
      </c>
      <c r="D13" s="6">
        <v>34.5</v>
      </c>
      <c r="E13" s="6">
        <v>28</v>
      </c>
      <c r="F13" s="6">
        <f>References!E14*References!F14</f>
        <v>2.75</v>
      </c>
      <c r="G13" s="6">
        <f t="shared" si="1"/>
        <v>685</v>
      </c>
      <c r="H13" s="6">
        <f t="shared" si="2"/>
        <v>0.82</v>
      </c>
      <c r="I13" s="6">
        <v>0.55000000000000004</v>
      </c>
      <c r="J13" s="6">
        <f t="shared" si="3"/>
        <v>849.57124999999996</v>
      </c>
      <c r="K13" s="15">
        <f t="shared" si="0"/>
        <v>51.340574999999994</v>
      </c>
    </row>
    <row r="14" spans="1:20" ht="15" thickBot="1" x14ac:dyDescent="0.35">
      <c r="A14" s="8" t="s">
        <v>64</v>
      </c>
      <c r="B14" s="6" t="s">
        <v>48</v>
      </c>
      <c r="C14" s="6">
        <v>2.8210999999999999</v>
      </c>
      <c r="D14" s="6">
        <v>34.5</v>
      </c>
      <c r="E14" s="6">
        <v>28</v>
      </c>
      <c r="F14" s="6">
        <f>References!E15*References!F15</f>
        <v>9</v>
      </c>
      <c r="G14" s="6">
        <f t="shared" si="1"/>
        <v>685</v>
      </c>
      <c r="H14" s="6">
        <f t="shared" si="2"/>
        <v>0.82</v>
      </c>
      <c r="I14" s="6">
        <v>0.55000000000000004</v>
      </c>
      <c r="J14" s="6">
        <f t="shared" si="3"/>
        <v>2780.415</v>
      </c>
      <c r="K14" s="15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9" t="s">
        <v>99</v>
      </c>
      <c r="N17" s="119"/>
      <c r="O17" s="119">
        <v>2.8721999999999999</v>
      </c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9" t="s">
        <v>100</v>
      </c>
      <c r="N18" s="119"/>
      <c r="O18" s="119">
        <v>2.8210999999999999</v>
      </c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81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9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161" t="s">
        <v>122</v>
      </c>
      <c r="I35" s="161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161" t="s">
        <v>166</v>
      </c>
      <c r="I36" s="161"/>
      <c r="J36" s="162">
        <f>J35+K35</f>
        <v>16506.69152</v>
      </c>
      <c r="K36" s="163"/>
    </row>
    <row r="37" spans="1:11" x14ac:dyDescent="0.3">
      <c r="H37" s="3"/>
      <c r="I37" s="3"/>
      <c r="J37" s="3"/>
      <c r="K37" s="3"/>
    </row>
    <row r="38" spans="1:11" ht="23.4" x14ac:dyDescent="0.45">
      <c r="A38" s="153" t="s">
        <v>41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8" t="s">
        <v>64</v>
      </c>
      <c r="B44" s="6" t="s">
        <v>48</v>
      </c>
      <c r="C44" s="6">
        <v>2.8210999999999999</v>
      </c>
      <c r="D44" s="6">
        <v>34.5</v>
      </c>
      <c r="E44" s="6">
        <v>28</v>
      </c>
      <c r="F44" s="6">
        <v>2.7</v>
      </c>
      <c r="G44" s="6">
        <f t="shared" si="7"/>
        <v>685</v>
      </c>
      <c r="H44" s="6">
        <f t="shared" si="5"/>
        <v>0.82</v>
      </c>
      <c r="I44" s="6">
        <v>0.55000000000000004</v>
      </c>
      <c r="J44" s="6">
        <f t="shared" si="6"/>
        <v>834.12450000000001</v>
      </c>
      <c r="K44" s="15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161" t="s">
        <v>122</v>
      </c>
      <c r="I69" s="161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161" t="s">
        <v>167</v>
      </c>
      <c r="I70" s="161"/>
      <c r="J70" s="162">
        <f>J69+K69</f>
        <v>15097.460593000003</v>
      </c>
      <c r="K70" s="163"/>
    </row>
    <row r="72" spans="1:11" ht="23.4" x14ac:dyDescent="0.45">
      <c r="A72" s="153" t="s">
        <v>59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8" t="s">
        <v>64</v>
      </c>
      <c r="B78" s="6" t="s">
        <v>48</v>
      </c>
      <c r="C78" s="6">
        <v>2.8721999999999999</v>
      </c>
      <c r="D78" s="6">
        <v>34.5</v>
      </c>
      <c r="E78" s="6">
        <v>28</v>
      </c>
      <c r="F78" s="6">
        <f>References!E45*References!F45</f>
        <v>2.7</v>
      </c>
      <c r="G78" s="34">
        <f t="shared" si="9"/>
        <v>685</v>
      </c>
      <c r="H78" s="34">
        <f t="shared" si="10"/>
        <v>0.82</v>
      </c>
      <c r="I78" s="34">
        <v>0.55000000000000004</v>
      </c>
      <c r="J78" s="34">
        <f t="shared" si="11"/>
        <v>834.12450000000001</v>
      </c>
      <c r="K78" s="3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161" t="s">
        <v>122</v>
      </c>
      <c r="I100" s="161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161" t="s">
        <v>167</v>
      </c>
      <c r="I101" s="161"/>
      <c r="J101" s="162">
        <f>J100+K100</f>
        <v>12793.306293999995</v>
      </c>
      <c r="K101" s="163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14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238"/>
  <sheetViews>
    <sheetView topLeftCell="A209" zoomScale="85" zoomScaleNormal="85" workbookViewId="0">
      <selection activeCell="B233" sqref="B233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154" t="s">
        <v>18</v>
      </c>
      <c r="B1" s="154"/>
      <c r="C1" s="154"/>
      <c r="D1" s="154"/>
      <c r="E1" s="154"/>
      <c r="F1" s="154"/>
      <c r="G1" s="154"/>
      <c r="H1" s="154"/>
      <c r="I1" s="154"/>
      <c r="J1" s="127"/>
      <c r="K1" s="127"/>
    </row>
    <row r="2" spans="1:19" ht="24" thickBot="1" x14ac:dyDescent="0.5">
      <c r="A2" s="153" t="s">
        <v>160</v>
      </c>
      <c r="B2" s="153"/>
      <c r="C2" s="153"/>
      <c r="D2" s="153"/>
      <c r="E2" s="153"/>
      <c r="F2" s="153"/>
      <c r="G2" s="153"/>
      <c r="H2" s="153"/>
      <c r="I2" s="153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55" t="s">
        <v>539</v>
      </c>
      <c r="M3" s="155"/>
      <c r="N3" s="155"/>
      <c r="O3" s="155"/>
      <c r="P3" s="155"/>
      <c r="Q3" s="155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56"/>
      <c r="M4" s="156"/>
      <c r="N4" s="156"/>
      <c r="O4" s="133" t="s">
        <v>541</v>
      </c>
      <c r="P4" s="133" t="s">
        <v>542</v>
      </c>
      <c r="Q4" s="133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57" t="s">
        <v>160</v>
      </c>
      <c r="M5" s="157"/>
      <c r="N5" s="157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57" t="s">
        <v>41</v>
      </c>
      <c r="M6" s="157"/>
      <c r="N6" s="157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57" t="s">
        <v>59</v>
      </c>
      <c r="M7" s="157"/>
      <c r="N7" s="157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58" t="s">
        <v>540</v>
      </c>
      <c r="M8" s="158"/>
      <c r="N8" s="158"/>
      <c r="O8" s="159">
        <f>SUM(O5:O7)</f>
        <v>17243.796313248808</v>
      </c>
      <c r="P8" s="159">
        <f>SUM(P5:P7)</f>
        <v>36486.734712379381</v>
      </c>
      <c r="Q8" s="159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58"/>
      <c r="M9" s="158"/>
      <c r="N9" s="158"/>
      <c r="O9" s="160"/>
      <c r="P9" s="160"/>
      <c r="Q9" s="160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64"/>
      <c r="Q22" s="164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3" t="s">
        <v>28</v>
      </c>
      <c r="B24" s="6">
        <f>References!Z25*4</f>
        <v>2624.7159999999999</v>
      </c>
      <c r="C24" s="6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9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9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161" t="s">
        <v>333</v>
      </c>
      <c r="G73" s="161"/>
      <c r="H73" s="41">
        <f>SUM(H4:H72)</f>
        <v>6335.2156108951121</v>
      </c>
      <c r="I73" s="147">
        <f>SUM(I4:I72)</f>
        <v>13463.221743267075</v>
      </c>
    </row>
    <row r="74" spans="1:9" ht="15" thickBot="1" x14ac:dyDescent="0.35">
      <c r="F74" s="161" t="s">
        <v>161</v>
      </c>
      <c r="G74" s="161"/>
      <c r="H74" s="162">
        <f>H73+I73</f>
        <v>19798.437354162186</v>
      </c>
      <c r="I74" s="163"/>
    </row>
    <row r="76" spans="1:9" ht="23.4" x14ac:dyDescent="0.45">
      <c r="A76" s="165" t="s">
        <v>41</v>
      </c>
      <c r="B76" s="165"/>
      <c r="C76" s="165"/>
      <c r="D76" s="165"/>
      <c r="E76" s="165"/>
      <c r="F76" s="165"/>
      <c r="G76" s="165"/>
      <c r="H76" s="165"/>
      <c r="I76" s="165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9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9" ht="15" thickBot="1" x14ac:dyDescent="0.35">
      <c r="A82" s="6" t="s">
        <v>230</v>
      </c>
      <c r="B82" s="6">
        <f>References!AB8*4</f>
        <v>881.32960000000003</v>
      </c>
      <c r="C82" s="6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</row>
    <row r="83" spans="1:9" ht="15" thickBot="1" x14ac:dyDescent="0.35">
      <c r="A83" s="6" t="s">
        <v>231</v>
      </c>
      <c r="B83" s="6">
        <f>References!AB9*4</f>
        <v>573.16452000000004</v>
      </c>
      <c r="C83" s="6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9" ht="15" thickBot="1" x14ac:dyDescent="0.35">
      <c r="A84" s="6" t="s">
        <v>232</v>
      </c>
      <c r="B84" s="6">
        <f>References!AB10*4</f>
        <v>315.02960000000002</v>
      </c>
      <c r="C84" s="6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9" ht="15" thickBot="1" x14ac:dyDescent="0.35">
      <c r="A85" s="107" t="s">
        <v>233</v>
      </c>
      <c r="B85" s="6">
        <f>References!AB11*4</f>
        <v>398.61880000000002</v>
      </c>
      <c r="C85" s="6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9" ht="15" thickBot="1" x14ac:dyDescent="0.35">
      <c r="A86" s="107" t="s">
        <v>234</v>
      </c>
      <c r="B86" s="6">
        <f>References!AB12*4</f>
        <v>571.5204</v>
      </c>
      <c r="C86" s="6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9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9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9" ht="15" thickBot="1" x14ac:dyDescent="0.35">
      <c r="A89" s="6" t="s">
        <v>125</v>
      </c>
      <c r="B89" s="6">
        <f>References!AB15*4</f>
        <v>136.47</v>
      </c>
      <c r="C89" s="6">
        <f t="shared" si="4"/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9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9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9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9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9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9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9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6" t="s">
        <v>64</v>
      </c>
      <c r="B100" s="6">
        <f>References!AB26*4</f>
        <v>91.316000000000003</v>
      </c>
      <c r="C100" s="6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 t="shared" si="8"/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9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9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9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9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9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</row>
    <row r="134" spans="1:9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9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9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9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9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9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9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9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9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9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9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 t="shared" si="12"/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166" t="s">
        <v>122</v>
      </c>
      <c r="G158" s="166"/>
      <c r="H158" s="148">
        <f>SUM(H78:H157)</f>
        <v>5646.4769823865836</v>
      </c>
      <c r="I158" s="148">
        <f>SUM(I78:I157)</f>
        <v>11703.581284820526</v>
      </c>
    </row>
    <row r="159" spans="1:9" ht="15" thickBot="1" x14ac:dyDescent="0.35">
      <c r="F159" s="161" t="s">
        <v>167</v>
      </c>
      <c r="G159" s="161"/>
      <c r="H159" s="162">
        <f>I158+H158</f>
        <v>17350.05826720711</v>
      </c>
      <c r="I159" s="163"/>
    </row>
    <row r="161" spans="1:11" ht="23.4" x14ac:dyDescent="0.45">
      <c r="A161" s="153" t="s">
        <v>59</v>
      </c>
      <c r="B161" s="153"/>
      <c r="C161" s="153"/>
      <c r="D161" s="153"/>
      <c r="E161" s="153"/>
      <c r="F161" s="153"/>
      <c r="G161" s="153"/>
      <c r="H161" s="153"/>
      <c r="I161" s="153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8" t="s">
        <v>302</v>
      </c>
      <c r="B167" s="6">
        <f>References!AE8*4</f>
        <v>149.63480000000001</v>
      </c>
      <c r="C167" s="6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8" t="s">
        <v>303</v>
      </c>
      <c r="B168" s="6">
        <f>References!AE9*4</f>
        <v>149.63480000000001</v>
      </c>
      <c r="C168" s="6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8" t="s">
        <v>64</v>
      </c>
      <c r="B182" s="6">
        <f>References!AE23*4</f>
        <v>91.316000000000003</v>
      </c>
      <c r="C182" s="6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8" t="s">
        <v>308</v>
      </c>
      <c r="B213" s="6">
        <f>References!AE54*4</f>
        <v>93.931600000000003</v>
      </c>
      <c r="C213" s="6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8" t="s">
        <v>312</v>
      </c>
      <c r="B219" s="6">
        <f>References!AE60*4</f>
        <v>44.348799999999997</v>
      </c>
      <c r="C219" s="6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8" t="s">
        <v>313</v>
      </c>
      <c r="B220" s="6">
        <f>References!AE61*4</f>
        <v>33.1</v>
      </c>
      <c r="C220" s="6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8" t="s">
        <v>315</v>
      </c>
      <c r="B222" s="6">
        <f>References!AE63*4</f>
        <v>735.77520000000004</v>
      </c>
      <c r="C222" s="6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8" t="s">
        <v>316</v>
      </c>
      <c r="B223" s="6">
        <f>References!AE64*4</f>
        <v>235.44040000000001</v>
      </c>
      <c r="C223" s="6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9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9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9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</row>
    <row r="228" spans="1:9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9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9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9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9" ht="15" thickBot="1" x14ac:dyDescent="0.35">
      <c r="A232" s="23" t="s">
        <v>28</v>
      </c>
      <c r="B232" s="21">
        <f>References!AE73*4</f>
        <v>2512.0731999999998</v>
      </c>
      <c r="C232" s="21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9" s="119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98">
        <f t="shared" ref="G233:G234" si="25">_xlfn.IFS(E233=22.5,0.00848031,E233=24,0.009293235,E233=22,0.00821976,E233=28,0.0118162235)</f>
        <v>8.4803099999999996E-3</v>
      </c>
      <c r="H233" s="198">
        <f t="shared" ref="H233:H234" si="26">ABS(1.232*(D233-E233)*C233)</f>
        <v>46.402047999999994</v>
      </c>
      <c r="I233" s="21">
        <f t="shared" si="24"/>
        <v>90.925057871999996</v>
      </c>
    </row>
    <row r="234" spans="1:9" s="119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98">
        <f t="shared" si="25"/>
        <v>9.2932350000000004E-3</v>
      </c>
      <c r="H234" s="198">
        <f t="shared" si="26"/>
        <v>9.4734639999999999</v>
      </c>
      <c r="I234" s="21">
        <f t="shared" si="24"/>
        <v>19.429206848999996</v>
      </c>
    </row>
    <row r="235" spans="1:9" s="119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98">
        <f t="shared" ref="G235:G236" si="27">_xlfn.IFS(E235=22.5,0.00848031,E235=24,0.009293235,E235=22,0.00821976,E235=28,0.0118162235)</f>
        <v>8.4803099999999996E-3</v>
      </c>
      <c r="H235" s="198">
        <f t="shared" ref="H235:H236" si="28">ABS(1.232*(D235-E235)*C235)</f>
        <v>48.570367999999995</v>
      </c>
      <c r="I235" s="21">
        <f t="shared" si="24"/>
        <v>95.173892351999982</v>
      </c>
    </row>
    <row r="236" spans="1:9" s="119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98">
        <f t="shared" si="27"/>
        <v>9.2932350000000004E-3</v>
      </c>
      <c r="H236" s="198">
        <f t="shared" si="28"/>
        <v>9.837828</v>
      </c>
      <c r="I236" s="21">
        <f t="shared" si="24"/>
        <v>20.176484035499996</v>
      </c>
    </row>
    <row r="237" spans="1:9" ht="15" thickBot="1" x14ac:dyDescent="0.35">
      <c r="F237" s="161" t="s">
        <v>333</v>
      </c>
      <c r="G237" s="161"/>
      <c r="H237" s="41">
        <f>SUM(H163:H232)</f>
        <v>5262.10371996711</v>
      </c>
      <c r="I237" s="147">
        <f>SUM(I163:I236)</f>
        <v>11319.931684291781</v>
      </c>
    </row>
    <row r="238" spans="1:9" ht="15" thickBot="1" x14ac:dyDescent="0.35">
      <c r="F238" s="161" t="s">
        <v>161</v>
      </c>
      <c r="G238" s="161"/>
      <c r="H238" s="162">
        <f>I237+H237</f>
        <v>16582.035404258892</v>
      </c>
      <c r="I238" s="163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70 B71 B23:C23 C24 B25:C40 B24 B46:C56 B41:C45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9"/>
  <sheetViews>
    <sheetView workbookViewId="0">
      <selection activeCell="D5" sqref="D5"/>
    </sheetView>
  </sheetViews>
  <sheetFormatPr defaultRowHeight="14.4" x14ac:dyDescent="0.3"/>
  <cols>
    <col min="1" max="1" width="26.109375" customWidth="1"/>
    <col min="2" max="2" width="25.33203125" customWidth="1"/>
    <col min="3" max="3" width="12.109375" customWidth="1"/>
    <col min="7" max="7" width="9.33203125" customWidth="1"/>
    <col min="8" max="8" width="10" customWidth="1"/>
  </cols>
  <sheetData>
    <row r="1" spans="1:17" ht="23.4" x14ac:dyDescent="0.3">
      <c r="A1" s="154" t="s">
        <v>533</v>
      </c>
      <c r="B1" s="154"/>
      <c r="C1" s="154"/>
      <c r="D1" s="154"/>
      <c r="E1" s="154"/>
      <c r="F1" s="154"/>
      <c r="G1" s="154"/>
      <c r="H1" s="154"/>
      <c r="I1" s="128"/>
    </row>
    <row r="2" spans="1:17" s="119" customFormat="1" ht="24" thickBot="1" x14ac:dyDescent="0.5">
      <c r="A2" s="152" t="s">
        <v>160</v>
      </c>
      <c r="B2" s="152"/>
      <c r="C2" s="152"/>
      <c r="D2" s="152"/>
      <c r="E2" s="152"/>
      <c r="F2" s="152"/>
      <c r="G2" s="152"/>
      <c r="H2" s="152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67" t="s">
        <v>539</v>
      </c>
      <c r="M3" s="167"/>
      <c r="N3" s="167"/>
      <c r="O3" s="167"/>
      <c r="P3" s="167"/>
      <c r="Q3" s="167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68"/>
      <c r="M4" s="168"/>
      <c r="N4" s="168"/>
      <c r="O4" s="134" t="s">
        <v>541</v>
      </c>
      <c r="P4" s="134" t="s">
        <v>542</v>
      </c>
      <c r="Q4" s="134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169" t="s">
        <v>160</v>
      </c>
      <c r="M5" s="169"/>
      <c r="N5" s="169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169" t="s">
        <v>41</v>
      </c>
      <c r="M6" s="169"/>
      <c r="N6" s="169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169" t="s">
        <v>59</v>
      </c>
      <c r="M7" s="169"/>
      <c r="N7" s="169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58" t="s">
        <v>540</v>
      </c>
      <c r="M8" s="158"/>
      <c r="N8" s="158"/>
      <c r="O8" s="159">
        <f>SUM(O5:O7)</f>
        <v>11119.64832</v>
      </c>
      <c r="P8" s="159">
        <f>SUM(P5:P7)</f>
        <v>5615.9839999999995</v>
      </c>
      <c r="Q8" s="159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58"/>
      <c r="M9" s="158"/>
      <c r="N9" s="158"/>
      <c r="O9" s="160"/>
      <c r="P9" s="160"/>
      <c r="Q9" s="160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9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9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9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9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9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9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9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 t="shared" si="0"/>
        <v>95.293440000000004</v>
      </c>
      <c r="H39" s="62">
        <f t="shared" si="1"/>
        <v>48.128</v>
      </c>
    </row>
    <row r="40" spans="1:9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9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9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9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</row>
    <row r="44" spans="1:9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9" ht="15" thickBot="1" x14ac:dyDescent="0.35">
      <c r="E45" s="170" t="s">
        <v>333</v>
      </c>
      <c r="F45" s="170"/>
      <c r="G45" s="124">
        <f>SUM(G4:G44)</f>
        <v>5447.2492799999991</v>
      </c>
      <c r="H45" s="124">
        <f>SUM(H4:H44)</f>
        <v>2751.1359999999986</v>
      </c>
    </row>
    <row r="46" spans="1:9" ht="15" thickBot="1" x14ac:dyDescent="0.35">
      <c r="E46" s="170" t="s">
        <v>161</v>
      </c>
      <c r="F46" s="170"/>
      <c r="G46" s="170">
        <f>G45+H45</f>
        <v>8198.3852799999986</v>
      </c>
      <c r="H46" s="170"/>
    </row>
    <row r="47" spans="1:9" x14ac:dyDescent="0.3">
      <c r="E47" s="49"/>
      <c r="F47" s="49"/>
      <c r="G47" s="49"/>
      <c r="H47" s="49"/>
    </row>
    <row r="48" spans="1:9" ht="23.4" x14ac:dyDescent="0.45">
      <c r="A48" s="165" t="s">
        <v>41</v>
      </c>
      <c r="B48" s="165"/>
      <c r="C48" s="165"/>
      <c r="D48" s="165"/>
      <c r="E48" s="165"/>
      <c r="F48" s="165"/>
      <c r="G48" s="165"/>
      <c r="H48" s="165"/>
      <c r="I48" s="126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8" t="s">
        <v>175</v>
      </c>
      <c r="B66" s="55" t="s">
        <v>381</v>
      </c>
      <c r="C66" s="6">
        <v>355</v>
      </c>
      <c r="D66" s="6">
        <v>0.33</v>
      </c>
      <c r="E66" s="6">
        <v>0.16</v>
      </c>
      <c r="F66" s="6">
        <v>0.96</v>
      </c>
      <c r="G66" s="6">
        <f t="shared" si="2"/>
        <v>112.464</v>
      </c>
      <c r="H66" s="15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8" t="s">
        <v>175</v>
      </c>
      <c r="B86" s="55" t="s">
        <v>381</v>
      </c>
      <c r="C86" s="6">
        <v>355</v>
      </c>
      <c r="D86" s="6">
        <v>0.33</v>
      </c>
      <c r="E86" s="6">
        <v>0.16</v>
      </c>
      <c r="F86" s="6">
        <v>0.96</v>
      </c>
      <c r="G86" s="6">
        <f t="shared" si="2"/>
        <v>112.464</v>
      </c>
      <c r="H86" s="15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23" t="s">
        <v>64</v>
      </c>
      <c r="B89" s="59" t="s">
        <v>415</v>
      </c>
      <c r="C89" s="21">
        <v>45.8</v>
      </c>
      <c r="D89" s="21">
        <v>0.33</v>
      </c>
      <c r="E89" s="21">
        <v>0.16</v>
      </c>
      <c r="F89" s="21">
        <v>0.96</v>
      </c>
      <c r="G89" s="21">
        <f t="shared" si="2"/>
        <v>14.509439999999998</v>
      </c>
      <c r="H89" s="22">
        <f t="shared" si="3"/>
        <v>7.3279999999999994</v>
      </c>
    </row>
    <row r="90" spans="1:9" ht="15" thickBot="1" x14ac:dyDescent="0.35">
      <c r="E90" s="170" t="s">
        <v>333</v>
      </c>
      <c r="F90" s="170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170" t="s">
        <v>161</v>
      </c>
      <c r="F91" s="170"/>
      <c r="G91" s="170">
        <f>G90+H90</f>
        <v>5244.8381440000012</v>
      </c>
      <c r="H91" s="170"/>
    </row>
    <row r="92" spans="1:9" x14ac:dyDescent="0.3">
      <c r="E92" s="49"/>
      <c r="F92" s="49"/>
      <c r="G92" s="49"/>
      <c r="H92" s="49"/>
    </row>
    <row r="93" spans="1:9" ht="23.4" x14ac:dyDescent="0.45">
      <c r="A93" s="153" t="s">
        <v>59</v>
      </c>
      <c r="B93" s="153"/>
      <c r="C93" s="153"/>
      <c r="D93" s="153"/>
      <c r="E93" s="153"/>
      <c r="F93" s="153"/>
      <c r="G93" s="153"/>
      <c r="H93" s="153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8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8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8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8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8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8" ht="43.8" thickBot="1" x14ac:dyDescent="0.35">
      <c r="A118" s="8" t="s">
        <v>175</v>
      </c>
      <c r="B118" s="55" t="s">
        <v>381</v>
      </c>
      <c r="C118" s="6">
        <v>355</v>
      </c>
      <c r="D118" s="6">
        <v>0.33</v>
      </c>
      <c r="E118" s="6">
        <v>0.16</v>
      </c>
      <c r="F118" s="6">
        <v>0.96</v>
      </c>
      <c r="G118" s="6">
        <f t="shared" si="4"/>
        <v>112.464</v>
      </c>
      <c r="H118" s="15">
        <f t="shared" si="5"/>
        <v>56.800000000000004</v>
      </c>
    </row>
    <row r="119" spans="1:8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8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8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</row>
    <row r="122" spans="1:8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8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8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8" ht="29.4" thickBot="1" x14ac:dyDescent="0.35">
      <c r="A125" s="8" t="s">
        <v>316</v>
      </c>
      <c r="B125" s="57" t="s">
        <v>423</v>
      </c>
      <c r="C125" s="6">
        <v>50.16</v>
      </c>
      <c r="D125" s="6">
        <v>0.33</v>
      </c>
      <c r="E125" s="6">
        <v>0.16</v>
      </c>
      <c r="F125" s="6">
        <v>0.96</v>
      </c>
      <c r="G125" s="6">
        <f t="shared" si="4"/>
        <v>15.890688000000001</v>
      </c>
      <c r="H125" s="15">
        <f t="shared" si="5"/>
        <v>8.025599999999999</v>
      </c>
    </row>
    <row r="126" spans="1:8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8" ht="58.2" thickBot="1" x14ac:dyDescent="0.35">
      <c r="A127" s="23" t="s">
        <v>64</v>
      </c>
      <c r="B127" s="59" t="s">
        <v>424</v>
      </c>
      <c r="C127" s="21">
        <v>45.8</v>
      </c>
      <c r="D127" s="21">
        <v>0.33</v>
      </c>
      <c r="E127" s="21">
        <v>0.16</v>
      </c>
      <c r="F127" s="21">
        <v>0.96</v>
      </c>
      <c r="G127" s="21">
        <f t="shared" si="4"/>
        <v>14.509439999999998</v>
      </c>
      <c r="H127" s="22">
        <f t="shared" si="5"/>
        <v>7.3279999999999994</v>
      </c>
    </row>
    <row r="128" spans="1:8" ht="15" thickBot="1" x14ac:dyDescent="0.35">
      <c r="E128" s="170" t="s">
        <v>333</v>
      </c>
      <c r="F128" s="170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170" t="s">
        <v>161</v>
      </c>
      <c r="F129" s="170"/>
      <c r="G129" s="170">
        <f>G128+H128</f>
        <v>3292.408895999999</v>
      </c>
      <c r="H129" s="170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7"/>
  <sheetViews>
    <sheetView topLeftCell="A37" workbookViewId="0">
      <selection activeCell="H49" sqref="H4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9" customFormat="1" ht="23.4" x14ac:dyDescent="0.3">
      <c r="A1" s="154" t="s">
        <v>532</v>
      </c>
      <c r="B1" s="154"/>
      <c r="C1" s="154"/>
      <c r="D1" s="154"/>
      <c r="E1" s="154"/>
      <c r="F1" s="154"/>
      <c r="G1" s="154"/>
      <c r="H1" s="154"/>
    </row>
    <row r="2" spans="1:17" ht="24" thickBot="1" x14ac:dyDescent="0.5">
      <c r="A2" s="153" t="s">
        <v>59</v>
      </c>
      <c r="B2" s="153"/>
      <c r="C2" s="153"/>
      <c r="D2" s="153"/>
      <c r="E2" s="153"/>
      <c r="F2" s="153"/>
      <c r="G2" s="153"/>
      <c r="H2" s="153"/>
    </row>
    <row r="3" spans="1:17" ht="15" thickBot="1" x14ac:dyDescent="0.35">
      <c r="A3" s="177" t="s">
        <v>425</v>
      </c>
      <c r="B3" s="177"/>
      <c r="C3" s="177"/>
      <c r="D3" s="177"/>
      <c r="E3" s="177"/>
      <c r="F3" s="177"/>
      <c r="G3" s="177"/>
      <c r="H3" s="177"/>
      <c r="L3" s="155" t="s">
        <v>539</v>
      </c>
      <c r="M3" s="155"/>
      <c r="N3" s="155"/>
      <c r="O3" s="155"/>
      <c r="P3" s="155"/>
      <c r="Q3" s="155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56"/>
      <c r="M4" s="156"/>
      <c r="N4" s="156"/>
      <c r="O4" s="156" t="s">
        <v>430</v>
      </c>
      <c r="P4" s="156"/>
      <c r="Q4" s="156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57" t="s">
        <v>160</v>
      </c>
      <c r="M5" s="157"/>
      <c r="N5" s="157"/>
      <c r="O5" s="157">
        <v>0</v>
      </c>
      <c r="P5" s="157"/>
      <c r="Q5" s="157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57" t="s">
        <v>41</v>
      </c>
      <c r="M6" s="157"/>
      <c r="N6" s="157"/>
      <c r="O6" s="157">
        <f>I87</f>
        <v>0</v>
      </c>
      <c r="P6" s="157"/>
      <c r="Q6" s="157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57" t="s">
        <v>59</v>
      </c>
      <c r="M7" s="157"/>
      <c r="N7" s="157"/>
      <c r="O7" s="157">
        <f>H49</f>
        <v>33330.762702411113</v>
      </c>
      <c r="P7" s="157"/>
      <c r="Q7" s="157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58" t="s">
        <v>540</v>
      </c>
      <c r="M8" s="158"/>
      <c r="N8" s="158"/>
      <c r="O8" s="171">
        <f>O5+O6+O7</f>
        <v>33330.762702411113</v>
      </c>
      <c r="P8" s="172"/>
      <c r="Q8" s="173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58"/>
      <c r="M9" s="158"/>
      <c r="N9" s="158"/>
      <c r="O9" s="174"/>
      <c r="P9" s="175"/>
      <c r="Q9" s="176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9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9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6"/>
  <sheetViews>
    <sheetView topLeftCell="A73" workbookViewId="0">
      <selection activeCell="G103" sqref="G103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154" t="s">
        <v>536</v>
      </c>
      <c r="B1" s="154"/>
      <c r="C1" s="154"/>
      <c r="D1" s="154"/>
      <c r="E1" s="154"/>
      <c r="F1" s="154"/>
      <c r="G1" s="154"/>
      <c r="H1" s="132"/>
      <c r="I1" s="111"/>
    </row>
    <row r="2" spans="1:16" s="119" customFormat="1" ht="24" thickBot="1" x14ac:dyDescent="0.5">
      <c r="A2" s="152" t="s">
        <v>160</v>
      </c>
      <c r="B2" s="152"/>
      <c r="C2" s="152"/>
      <c r="D2" s="152"/>
      <c r="E2" s="152"/>
      <c r="F2" s="152"/>
      <c r="G2" s="152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55" t="s">
        <v>539</v>
      </c>
      <c r="L3" s="155"/>
      <c r="M3" s="155"/>
      <c r="N3" s="155"/>
      <c r="O3" s="155"/>
      <c r="P3" s="155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K4" s="156"/>
      <c r="L4" s="156"/>
      <c r="M4" s="156"/>
      <c r="N4" s="156" t="s">
        <v>430</v>
      </c>
      <c r="O4" s="156"/>
      <c r="P4" s="156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57" t="s">
        <v>160</v>
      </c>
      <c r="L5" s="157"/>
      <c r="M5" s="157"/>
      <c r="N5" s="157">
        <f>G90</f>
        <v>18554.539067999998</v>
      </c>
      <c r="O5" s="157"/>
      <c r="P5" s="157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K6" s="157" t="s">
        <v>41</v>
      </c>
      <c r="L6" s="157"/>
      <c r="M6" s="157"/>
      <c r="N6" s="157">
        <f>G198</f>
        <v>19890.591177600007</v>
      </c>
      <c r="O6" s="157"/>
      <c r="P6" s="157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K7" s="157" t="s">
        <v>59</v>
      </c>
      <c r="L7" s="157"/>
      <c r="M7" s="157"/>
      <c r="N7" s="157">
        <f>G296</f>
        <v>17107.397424000003</v>
      </c>
      <c r="O7" s="157"/>
      <c r="P7" s="157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58" t="s">
        <v>540</v>
      </c>
      <c r="L8" s="158"/>
      <c r="M8" s="158"/>
      <c r="N8" s="171">
        <f>N5+N6+N7</f>
        <v>55552.527669600007</v>
      </c>
      <c r="O8" s="172"/>
      <c r="P8" s="173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K9" s="158"/>
      <c r="L9" s="158"/>
      <c r="M9" s="158"/>
      <c r="N9" s="174"/>
      <c r="O9" s="175"/>
      <c r="P9" s="176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</row>
    <row r="17" spans="1:7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</row>
    <row r="18" spans="1:7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</row>
    <row r="19" spans="1:7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</row>
    <row r="20" spans="1:7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</row>
    <row r="21" spans="1:7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</row>
    <row r="22" spans="1:7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7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</row>
    <row r="24" spans="1:7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7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7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</row>
    <row r="27" spans="1:7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7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</row>
    <row r="29" spans="1:7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7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</row>
    <row r="31" spans="1:7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</row>
    <row r="32" spans="1:7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</row>
    <row r="33" spans="1:7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</row>
    <row r="34" spans="1:7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7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7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</row>
    <row r="37" spans="1:7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7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7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</row>
    <row r="40" spans="1:7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7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</row>
    <row r="42" spans="1:7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7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</row>
    <row r="44" spans="1:7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</row>
    <row r="45" spans="1:7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7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7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</row>
    <row r="48" spans="1:7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9"/>
      <c r="I56" s="119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</row>
    <row r="65" spans="1:7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</row>
    <row r="66" spans="1:7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</row>
    <row r="67" spans="1:7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7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</row>
    <row r="69" spans="1:7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7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</row>
    <row r="71" spans="1:7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</row>
    <row r="72" spans="1:7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</row>
    <row r="73" spans="1:7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</row>
    <row r="74" spans="1:7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</row>
    <row r="75" spans="1:7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7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</row>
    <row r="77" spans="1:7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7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</row>
    <row r="79" spans="1:7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</row>
    <row r="80" spans="1:7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152" t="s">
        <v>41</v>
      </c>
      <c r="B93" s="152"/>
      <c r="C93" s="152"/>
      <c r="D93" s="152"/>
      <c r="E93" s="152"/>
      <c r="F93" s="152"/>
      <c r="G93" s="152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9" customFormat="1" ht="23.4" x14ac:dyDescent="0.45">
      <c r="A200" s="153" t="s">
        <v>59</v>
      </c>
      <c r="B200" s="153"/>
      <c r="C200" s="153"/>
      <c r="D200" s="153"/>
      <c r="E200" s="153"/>
      <c r="F200" s="153"/>
      <c r="G200" s="153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15">
    <mergeCell ref="A2:G2"/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E4:F89">
    <cfRule type="cellIs" dxfId="13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28"/>
  <sheetViews>
    <sheetView topLeftCell="A110" zoomScaleNormal="100" workbookViewId="0">
      <selection activeCell="F126" sqref="F126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1" width="9.109375" style="77"/>
  </cols>
  <sheetData>
    <row r="1" spans="1:20" ht="24.75" customHeight="1" x14ac:dyDescent="0.3">
      <c r="A1" s="154" t="s">
        <v>504</v>
      </c>
      <c r="B1" s="154"/>
      <c r="C1" s="154"/>
      <c r="D1" s="154"/>
      <c r="E1" s="154"/>
      <c r="F1" s="154"/>
      <c r="G1" s="154"/>
      <c r="H1" s="154"/>
      <c r="I1" s="154"/>
      <c r="J1" s="104"/>
      <c r="K1" s="104"/>
    </row>
    <row r="2" spans="1:20" ht="24" thickBot="1" x14ac:dyDescent="0.5">
      <c r="A2" s="152" t="s">
        <v>160</v>
      </c>
      <c r="B2" s="152"/>
      <c r="C2" s="152"/>
      <c r="D2" s="152"/>
      <c r="E2" s="152"/>
      <c r="F2" s="152"/>
      <c r="G2" s="152"/>
      <c r="H2" s="152"/>
      <c r="I2" s="152"/>
      <c r="J2" s="103"/>
      <c r="K2" s="103"/>
    </row>
    <row r="3" spans="1:20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O3" s="167" t="s">
        <v>539</v>
      </c>
      <c r="P3" s="167"/>
      <c r="Q3" s="167"/>
      <c r="R3" s="167"/>
      <c r="S3" s="167"/>
      <c r="T3" s="167"/>
    </row>
    <row r="4" spans="1:20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89"/>
      <c r="O4" s="168"/>
      <c r="P4" s="168"/>
      <c r="Q4" s="168"/>
      <c r="R4" s="134" t="s">
        <v>541</v>
      </c>
      <c r="S4" s="134" t="s">
        <v>542</v>
      </c>
      <c r="T4" s="134" t="s">
        <v>430</v>
      </c>
    </row>
    <row r="5" spans="1:20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89"/>
      <c r="O5" s="169" t="s">
        <v>160</v>
      </c>
      <c r="P5" s="169"/>
      <c r="Q5" s="169"/>
      <c r="R5" s="82">
        <f>H41</f>
        <v>9262.7920000000013</v>
      </c>
      <c r="S5" s="82">
        <f>I41</f>
        <v>18303.154668000006</v>
      </c>
      <c r="T5" s="82">
        <f>R5+S5</f>
        <v>27565.946668000008</v>
      </c>
    </row>
    <row r="6" spans="1:20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89"/>
      <c r="O6" s="169" t="s">
        <v>41</v>
      </c>
      <c r="P6" s="169"/>
      <c r="Q6" s="169"/>
      <c r="R6" s="82">
        <f>H90</f>
        <v>20168.763999999999</v>
      </c>
      <c r="S6" s="82">
        <f>I90</f>
        <v>39472.195050000002</v>
      </c>
      <c r="T6" s="82">
        <f>R6+S6</f>
        <v>59640.959050000005</v>
      </c>
    </row>
    <row r="7" spans="1:20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89"/>
      <c r="O7" s="169" t="s">
        <v>59</v>
      </c>
      <c r="P7" s="169"/>
      <c r="Q7" s="169"/>
      <c r="R7" s="82">
        <f>H127</f>
        <v>13106.016</v>
      </c>
      <c r="S7" s="82">
        <f>I127</f>
        <v>25681.30218000001</v>
      </c>
      <c r="T7" s="82">
        <f>R7+S7</f>
        <v>38787.318180000009</v>
      </c>
    </row>
    <row r="8" spans="1:20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89"/>
      <c r="O8" s="158" t="s">
        <v>540</v>
      </c>
      <c r="P8" s="158"/>
      <c r="Q8" s="158"/>
      <c r="R8" s="159">
        <f>SUM(R5:R7)</f>
        <v>42537.572</v>
      </c>
      <c r="S8" s="159">
        <f>SUM(S5:S7)</f>
        <v>83456.651898000026</v>
      </c>
      <c r="T8" s="159">
        <f>T5+T6+T7</f>
        <v>125994.22389800003</v>
      </c>
    </row>
    <row r="9" spans="1:20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89"/>
      <c r="O9" s="158"/>
      <c r="P9" s="158"/>
      <c r="Q9" s="158"/>
      <c r="R9" s="160"/>
      <c r="S9" s="160"/>
      <c r="T9" s="160"/>
    </row>
    <row r="10" spans="1:20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89"/>
    </row>
    <row r="11" spans="1:20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89"/>
    </row>
    <row r="12" spans="1:20" ht="15" thickBot="1" x14ac:dyDescent="0.35">
      <c r="A12" s="94" t="s">
        <v>175</v>
      </c>
      <c r="B12" s="82">
        <v>14</v>
      </c>
      <c r="C12" s="95">
        <f>B12*References!AS12</f>
        <v>112</v>
      </c>
      <c r="D12" s="95">
        <v>34.5</v>
      </c>
      <c r="E12" s="95">
        <v>22.5</v>
      </c>
      <c r="F12" s="95">
        <v>1.8136751999999999E-2</v>
      </c>
      <c r="G12" s="95">
        <v>8.4806099999999995E-3</v>
      </c>
      <c r="H12" s="95">
        <f t="shared" si="0"/>
        <v>1655.808</v>
      </c>
      <c r="I12" s="96">
        <f t="shared" si="1"/>
        <v>3244.4637119999998</v>
      </c>
      <c r="J12" s="89"/>
    </row>
    <row r="13" spans="1:20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89"/>
    </row>
    <row r="14" spans="1:20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89"/>
    </row>
    <row r="15" spans="1:20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89"/>
    </row>
    <row r="16" spans="1:20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89"/>
    </row>
    <row r="17" spans="1:10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89"/>
    </row>
    <row r="18" spans="1:10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89"/>
    </row>
    <row r="19" spans="1:10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89"/>
    </row>
    <row r="20" spans="1:10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89"/>
    </row>
    <row r="21" spans="1:10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89"/>
    </row>
    <row r="22" spans="1:10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89"/>
    </row>
    <row r="23" spans="1:10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89"/>
    </row>
    <row r="24" spans="1:10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89"/>
    </row>
    <row r="25" spans="1:10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89"/>
    </row>
    <row r="26" spans="1:10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89"/>
    </row>
    <row r="27" spans="1:10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89"/>
    </row>
    <row r="28" spans="1:10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89"/>
    </row>
    <row r="29" spans="1:10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89"/>
    </row>
    <row r="30" spans="1:10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89"/>
    </row>
    <row r="31" spans="1:10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89"/>
    </row>
    <row r="32" spans="1:10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89"/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89"/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89"/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89"/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89"/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89"/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89"/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89"/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89"/>
    </row>
    <row r="41" spans="1:11" s="119" customFormat="1" ht="15" thickBot="1" x14ac:dyDescent="0.35">
      <c r="A41" s="120"/>
      <c r="B41" s="121"/>
      <c r="C41" s="120"/>
      <c r="D41" s="120"/>
      <c r="E41" s="120"/>
      <c r="F41" s="120"/>
      <c r="G41" s="129" t="s">
        <v>122</v>
      </c>
      <c r="H41" s="41">
        <f>SUM(Table17[Qs (W)])</f>
        <v>9262.7920000000013</v>
      </c>
      <c r="I41" s="129">
        <f>SUM(Table17[Qw (W)])</f>
        <v>18303.154668000006</v>
      </c>
      <c r="J41" s="89"/>
      <c r="K41" s="89"/>
    </row>
    <row r="42" spans="1:11" ht="15" thickBot="1" x14ac:dyDescent="0.35">
      <c r="G42" s="178" t="s">
        <v>161</v>
      </c>
      <c r="H42" s="178"/>
      <c r="I42" s="129">
        <f>H41+I41</f>
        <v>27565.946668000008</v>
      </c>
    </row>
    <row r="43" spans="1:11" s="119" customForma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25"/>
    </row>
    <row r="44" spans="1:11" ht="24" thickBot="1" x14ac:dyDescent="0.5">
      <c r="A44" s="152" t="s">
        <v>41</v>
      </c>
      <c r="B44" s="152"/>
      <c r="C44" s="152"/>
      <c r="D44" s="152"/>
      <c r="E44" s="152"/>
      <c r="F44" s="152"/>
      <c r="G44" s="152"/>
      <c r="H44" s="152"/>
      <c r="I44" s="152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91"/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91"/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1"/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1"/>
    </row>
    <row r="49" spans="1:10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1"/>
    </row>
    <row r="50" spans="1:10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1"/>
    </row>
    <row r="51" spans="1:10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1"/>
    </row>
    <row r="52" spans="1:10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1"/>
    </row>
    <row r="53" spans="1:10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1"/>
    </row>
    <row r="54" spans="1:10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1"/>
    </row>
    <row r="55" spans="1:10" ht="15" thickBot="1" x14ac:dyDescent="0.35">
      <c r="A55" s="94" t="s">
        <v>175</v>
      </c>
      <c r="B55" s="82">
        <v>5</v>
      </c>
      <c r="C55" s="95">
        <f>B55*References!AT13</f>
        <v>40</v>
      </c>
      <c r="D55" s="95">
        <v>34.5</v>
      </c>
      <c r="E55" s="95">
        <v>22.5</v>
      </c>
      <c r="F55" s="95">
        <v>1.813675E-2</v>
      </c>
      <c r="G55" s="95">
        <f t="shared" si="4"/>
        <v>8.4806099999999995E-3</v>
      </c>
      <c r="H55" s="95">
        <f t="shared" si="2"/>
        <v>591.36</v>
      </c>
      <c r="I55" s="96">
        <f t="shared" si="3"/>
        <v>1158.7368000000001</v>
      </c>
      <c r="J55" s="91"/>
    </row>
    <row r="56" spans="1:10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1"/>
    </row>
    <row r="57" spans="1:10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1"/>
    </row>
    <row r="58" spans="1:10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1"/>
    </row>
    <row r="59" spans="1:10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1"/>
    </row>
    <row r="60" spans="1:10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1"/>
    </row>
    <row r="61" spans="1:10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1"/>
    </row>
    <row r="62" spans="1:10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1"/>
    </row>
    <row r="63" spans="1:10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1"/>
    </row>
    <row r="64" spans="1:10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1"/>
    </row>
    <row r="65" spans="1:10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1"/>
    </row>
    <row r="66" spans="1:10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1"/>
    </row>
    <row r="67" spans="1:10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1"/>
    </row>
    <row r="68" spans="1:10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1"/>
    </row>
    <row r="69" spans="1:10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1"/>
    </row>
    <row r="70" spans="1:10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1"/>
    </row>
    <row r="71" spans="1:10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1"/>
    </row>
    <row r="72" spans="1:10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1"/>
    </row>
    <row r="73" spans="1:10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1"/>
    </row>
    <row r="74" spans="1:10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1"/>
    </row>
    <row r="75" spans="1:10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1"/>
    </row>
    <row r="76" spans="1:10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1"/>
    </row>
    <row r="77" spans="1:10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1"/>
    </row>
    <row r="78" spans="1:10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1"/>
    </row>
    <row r="79" spans="1:10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1"/>
    </row>
    <row r="80" spans="1:10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1"/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1"/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1"/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1"/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1"/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1"/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1"/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1"/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1"/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1"/>
    </row>
    <row r="90" spans="1:11" ht="15" thickBot="1" x14ac:dyDescent="0.35">
      <c r="G90" s="129" t="s">
        <v>333</v>
      </c>
      <c r="H90" s="129">
        <f>SUM(Table18[Qs(W)])</f>
        <v>20168.763999999999</v>
      </c>
      <c r="I90" s="129">
        <f>SUM(Table18[Ql(W)])</f>
        <v>39472.195050000002</v>
      </c>
    </row>
    <row r="91" spans="1:11" ht="15" thickBot="1" x14ac:dyDescent="0.35">
      <c r="G91" s="178" t="s">
        <v>161</v>
      </c>
      <c r="H91" s="178"/>
      <c r="I91" s="129">
        <f>H90+I90</f>
        <v>59640.959050000005</v>
      </c>
    </row>
    <row r="92" spans="1:11" s="119" customFormat="1" x14ac:dyDescent="0.3">
      <c r="A92" s="125"/>
      <c r="B92" s="125"/>
      <c r="C92" s="125"/>
      <c r="D92" s="125"/>
      <c r="E92" s="125"/>
      <c r="F92" s="125"/>
      <c r="G92" s="125"/>
      <c r="H92" s="125"/>
      <c r="I92" s="125"/>
      <c r="J92" s="125"/>
      <c r="K92" s="125"/>
    </row>
    <row r="93" spans="1:11" s="105" customFormat="1" ht="23.4" x14ac:dyDescent="0.45">
      <c r="A93" s="153" t="s">
        <v>59</v>
      </c>
      <c r="B93" s="153"/>
      <c r="C93" s="153"/>
      <c r="D93" s="153"/>
      <c r="E93" s="153"/>
      <c r="F93" s="153"/>
      <c r="G93" s="153"/>
      <c r="H93" s="153"/>
      <c r="I93" s="153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91"/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91"/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1"/>
    </row>
    <row r="97" spans="1:10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1"/>
    </row>
    <row r="98" spans="1:10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1"/>
    </row>
    <row r="99" spans="1:10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1"/>
    </row>
    <row r="100" spans="1:10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1"/>
    </row>
    <row r="101" spans="1:10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1"/>
    </row>
    <row r="102" spans="1:10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1"/>
    </row>
    <row r="103" spans="1:10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1"/>
    </row>
    <row r="104" spans="1:10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1"/>
    </row>
    <row r="105" spans="1:10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1"/>
    </row>
    <row r="106" spans="1:10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1"/>
    </row>
    <row r="107" spans="1:10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1"/>
    </row>
    <row r="108" spans="1:10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1"/>
    </row>
    <row r="109" spans="1:10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1"/>
    </row>
    <row r="110" spans="1:10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1"/>
    </row>
    <row r="111" spans="1:10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1"/>
    </row>
    <row r="112" spans="1:10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1"/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1"/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1"/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1"/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1"/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1"/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1"/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1"/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1"/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1"/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1"/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1"/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91"/>
    </row>
    <row r="125" spans="1:11" s="119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99">
        <f>ABS(1.232*C125*(D125-E125))</f>
        <v>384.38399999999996</v>
      </c>
      <c r="I125" s="200">
        <f>ABS(3000*C125*(F125-G125))</f>
        <v>753.20231999999999</v>
      </c>
      <c r="J125" s="91"/>
      <c r="K125" s="125"/>
    </row>
    <row r="126" spans="1:11" s="119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99">
        <f>ABS(1.232*C126*(D126-E126))</f>
        <v>384.38399999999996</v>
      </c>
      <c r="I126" s="200">
        <f>ABS(3000*C126*(F126-G126))</f>
        <v>753.20231999999999</v>
      </c>
      <c r="J126" s="91"/>
      <c r="K126" s="125"/>
    </row>
    <row r="127" spans="1:11" ht="15" thickBot="1" x14ac:dyDescent="0.35">
      <c r="G127" s="129" t="s">
        <v>333</v>
      </c>
      <c r="H127" s="129">
        <f>SUM(Table19[Qs(W)])</f>
        <v>13106.016</v>
      </c>
      <c r="I127" s="129">
        <f>SUM(Table19[Ql(W)])</f>
        <v>25681.30218000001</v>
      </c>
    </row>
    <row r="128" spans="1:11" ht="15" thickBot="1" x14ac:dyDescent="0.35">
      <c r="G128" s="178" t="s">
        <v>161</v>
      </c>
      <c r="H128" s="178"/>
      <c r="I128" s="129">
        <f>H127+I127</f>
        <v>38787.318180000009</v>
      </c>
    </row>
  </sheetData>
  <mergeCells count="16">
    <mergeCell ref="A2:I2"/>
    <mergeCell ref="A1:I1"/>
    <mergeCell ref="A44:I44"/>
    <mergeCell ref="A93:I93"/>
    <mergeCell ref="G42:H42"/>
    <mergeCell ref="G91:H91"/>
    <mergeCell ref="O8:Q9"/>
    <mergeCell ref="R8:R9"/>
    <mergeCell ref="S8:S9"/>
    <mergeCell ref="T8:T9"/>
    <mergeCell ref="G128:H128"/>
    <mergeCell ref="O3:T3"/>
    <mergeCell ref="O4:Q4"/>
    <mergeCell ref="O5:Q5"/>
    <mergeCell ref="O6:Q6"/>
    <mergeCell ref="O7:Q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28"/>
  <sheetViews>
    <sheetView topLeftCell="A103" zoomScale="85" zoomScaleNormal="85" workbookViewId="0">
      <selection activeCell="F127" sqref="F127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customWidth="1"/>
    <col min="4" max="4" width="10.6640625" style="89" customWidth="1"/>
    <col min="5" max="6" width="9.109375" style="89"/>
    <col min="7" max="7" width="9.33203125" style="89" customWidth="1"/>
    <col min="8" max="8" width="9.109375" style="89"/>
    <col min="9" max="16384" width="9.109375" style="91"/>
  </cols>
  <sheetData>
    <row r="1" spans="1:19" ht="24.75" customHeight="1" x14ac:dyDescent="0.3">
      <c r="A1" s="154" t="s">
        <v>503</v>
      </c>
      <c r="B1" s="154"/>
      <c r="C1" s="154"/>
      <c r="D1" s="154"/>
      <c r="E1" s="154"/>
      <c r="F1" s="154"/>
      <c r="G1" s="154"/>
      <c r="H1" s="154"/>
      <c r="I1" s="111"/>
    </row>
    <row r="2" spans="1:19" ht="24" thickBot="1" x14ac:dyDescent="0.5">
      <c r="A2" s="152" t="s">
        <v>160</v>
      </c>
      <c r="B2" s="152"/>
      <c r="C2" s="152"/>
      <c r="D2" s="152"/>
      <c r="E2" s="152"/>
      <c r="F2" s="152"/>
      <c r="G2" s="152"/>
      <c r="H2" s="152"/>
      <c r="I2" s="103"/>
    </row>
    <row r="3" spans="1:19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N3" s="167" t="s">
        <v>539</v>
      </c>
      <c r="O3" s="167"/>
      <c r="P3" s="167"/>
      <c r="Q3" s="167"/>
      <c r="R3" s="167"/>
      <c r="S3" s="167"/>
    </row>
    <row r="4" spans="1:19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N4" s="168"/>
      <c r="O4" s="168"/>
      <c r="P4" s="168"/>
      <c r="Q4" s="134" t="s">
        <v>541</v>
      </c>
      <c r="R4" s="134" t="s">
        <v>542</v>
      </c>
      <c r="S4" s="134" t="s">
        <v>430</v>
      </c>
    </row>
    <row r="5" spans="1:19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N5" s="169" t="s">
        <v>160</v>
      </c>
      <c r="O5" s="169"/>
      <c r="P5" s="169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N6" s="169" t="s">
        <v>41</v>
      </c>
      <c r="O6" s="169"/>
      <c r="P6" s="169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N7" s="169" t="s">
        <v>59</v>
      </c>
      <c r="O7" s="169"/>
      <c r="P7" s="169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N8" s="158" t="s">
        <v>540</v>
      </c>
      <c r="O8" s="158"/>
      <c r="P8" s="158"/>
      <c r="Q8" s="159">
        <f>SUM(Q5:Q7)</f>
        <v>19716.98</v>
      </c>
      <c r="R8" s="159">
        <f>SUM(R5:R7)</f>
        <v>10453.359999999999</v>
      </c>
      <c r="S8" s="159">
        <f>S5+S6+S7</f>
        <v>30170.339999999997</v>
      </c>
    </row>
    <row r="9" spans="1:19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N9" s="158"/>
      <c r="O9" s="158"/>
      <c r="P9" s="158"/>
      <c r="Q9" s="160"/>
      <c r="R9" s="160"/>
      <c r="S9" s="160"/>
    </row>
    <row r="10" spans="1:19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</row>
    <row r="11" spans="1:19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</row>
    <row r="12" spans="1:19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</row>
    <row r="13" spans="1:19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</row>
    <row r="14" spans="1:19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</row>
    <row r="15" spans="1:19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</row>
    <row r="16" spans="1:19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</row>
    <row r="17" spans="1:8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</row>
    <row r="18" spans="1:8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</row>
    <row r="19" spans="1:8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</row>
    <row r="20" spans="1:8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</row>
    <row r="21" spans="1:8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</row>
    <row r="22" spans="1:8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</row>
    <row r="23" spans="1:8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</row>
    <row r="24" spans="1:8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</row>
    <row r="25" spans="1:8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</row>
    <row r="26" spans="1:8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</row>
    <row r="27" spans="1:8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</row>
    <row r="28" spans="1:8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</row>
    <row r="29" spans="1:8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</row>
    <row r="30" spans="1:8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</row>
    <row r="31" spans="1:8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</row>
    <row r="32" spans="1:8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</row>
    <row r="33" spans="1:9" ht="15" thickBot="1" x14ac:dyDescent="0.35">
      <c r="A33" s="94" t="s">
        <v>453</v>
      </c>
      <c r="B33" s="82"/>
      <c r="C33" s="95"/>
      <c r="D33" s="95"/>
      <c r="E33" s="95"/>
      <c r="F33" s="95">
        <v>0.92</v>
      </c>
      <c r="G33" s="95">
        <f t="shared" si="0"/>
        <v>0</v>
      </c>
      <c r="H33" s="96">
        <f t="shared" si="1"/>
        <v>0</v>
      </c>
    </row>
    <row r="34" spans="1:9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</row>
    <row r="35" spans="1:9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</row>
    <row r="36" spans="1:9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</row>
    <row r="37" spans="1:9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</row>
    <row r="38" spans="1:9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</row>
    <row r="39" spans="1:9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</row>
    <row r="40" spans="1:9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</row>
    <row r="41" spans="1:9" ht="15" thickBot="1" x14ac:dyDescent="0.35">
      <c r="F41" s="129" t="s">
        <v>333</v>
      </c>
      <c r="G41" s="129">
        <f>SUM(Table22[Qs (W)])</f>
        <v>6432.18</v>
      </c>
      <c r="H41" s="129">
        <f>SUM(Table22[Ql (W)])</f>
        <v>1888.7599999999993</v>
      </c>
    </row>
    <row r="42" spans="1:9" ht="15" thickBot="1" x14ac:dyDescent="0.35">
      <c r="F42" s="178" t="s">
        <v>161</v>
      </c>
      <c r="G42" s="178"/>
      <c r="H42" s="129">
        <f>G41+H41</f>
        <v>8320.9399999999987</v>
      </c>
    </row>
    <row r="44" spans="1:9" ht="24" customHeight="1" thickBot="1" x14ac:dyDescent="0.5">
      <c r="A44" s="152" t="s">
        <v>41</v>
      </c>
      <c r="B44" s="152"/>
      <c r="C44" s="152"/>
      <c r="D44" s="152"/>
      <c r="E44" s="152"/>
      <c r="F44" s="152"/>
      <c r="G44" s="152"/>
      <c r="H44" s="152"/>
      <c r="I44" s="103"/>
    </row>
    <row r="45" spans="1:9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</row>
    <row r="46" spans="1:9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</row>
    <row r="47" spans="1:9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</row>
    <row r="48" spans="1:9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</row>
    <row r="49" spans="1:8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</row>
    <row r="50" spans="1:8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</row>
    <row r="51" spans="1:8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</row>
    <row r="52" spans="1:8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</row>
    <row r="53" spans="1:8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</row>
    <row r="54" spans="1:8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</row>
    <row r="55" spans="1:8" ht="15" thickBot="1" x14ac:dyDescent="0.35">
      <c r="A55" s="94" t="s">
        <v>175</v>
      </c>
      <c r="B55" s="82">
        <v>5</v>
      </c>
      <c r="C55" s="107">
        <v>100</v>
      </c>
      <c r="D55" s="107">
        <v>0.6</v>
      </c>
      <c r="E55" s="107">
        <v>0.4</v>
      </c>
      <c r="F55" s="107">
        <v>0.92</v>
      </c>
      <c r="G55" s="107">
        <f t="shared" si="2"/>
        <v>276</v>
      </c>
      <c r="H55" s="108">
        <f t="shared" si="3"/>
        <v>200</v>
      </c>
    </row>
    <row r="56" spans="1:8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</row>
    <row r="57" spans="1:8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</row>
    <row r="58" spans="1:8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</row>
    <row r="59" spans="1:8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</row>
    <row r="60" spans="1:8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</row>
    <row r="61" spans="1:8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</row>
    <row r="62" spans="1:8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</row>
    <row r="63" spans="1:8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</row>
    <row r="64" spans="1:8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</row>
    <row r="65" spans="1:8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</row>
    <row r="66" spans="1:8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</row>
    <row r="67" spans="1:8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</row>
    <row r="68" spans="1:8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</row>
    <row r="69" spans="1:8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</row>
    <row r="70" spans="1:8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</row>
    <row r="71" spans="1:8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</row>
    <row r="72" spans="1:8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</row>
    <row r="73" spans="1:8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</row>
    <row r="74" spans="1:8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</row>
    <row r="75" spans="1:8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</row>
    <row r="76" spans="1:8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</row>
    <row r="77" spans="1:8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</row>
    <row r="78" spans="1:8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</row>
    <row r="79" spans="1:8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</row>
    <row r="80" spans="1:8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</row>
    <row r="81" spans="1:9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</row>
    <row r="82" spans="1:9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</row>
    <row r="83" spans="1:9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</row>
    <row r="84" spans="1:9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</row>
    <row r="85" spans="1:9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</row>
    <row r="86" spans="1:9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</row>
    <row r="87" spans="1:9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</row>
    <row r="88" spans="1:9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</row>
    <row r="89" spans="1:9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</row>
    <row r="90" spans="1:9" ht="15" thickBot="1" x14ac:dyDescent="0.35">
      <c r="F90" s="129" t="s">
        <v>333</v>
      </c>
      <c r="G90" s="129">
        <f>SUM(Table21[Qs (W)])</f>
        <v>8765.2999999999993</v>
      </c>
      <c r="H90" s="129">
        <f>SUM(Table21[Ql (W)])</f>
        <v>6432.5</v>
      </c>
    </row>
    <row r="91" spans="1:9" ht="15" thickBot="1" x14ac:dyDescent="0.35">
      <c r="F91" s="178" t="s">
        <v>161</v>
      </c>
      <c r="G91" s="178"/>
      <c r="H91" s="129">
        <f>G90+H90</f>
        <v>15197.8</v>
      </c>
    </row>
    <row r="93" spans="1:9" ht="23.4" x14ac:dyDescent="0.45">
      <c r="A93" s="153" t="s">
        <v>59</v>
      </c>
      <c r="B93" s="153"/>
      <c r="C93" s="153"/>
      <c r="D93" s="153"/>
      <c r="E93" s="153"/>
      <c r="F93" s="153"/>
      <c r="G93" s="153"/>
      <c r="H93" s="153"/>
      <c r="I93" s="106"/>
    </row>
    <row r="94" spans="1:9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</row>
    <row r="95" spans="1:9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</row>
    <row r="96" spans="1:9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</row>
    <row r="97" spans="1:8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</row>
    <row r="98" spans="1:8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</row>
    <row r="99" spans="1:8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</row>
    <row r="100" spans="1:8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</row>
    <row r="101" spans="1:8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</row>
    <row r="102" spans="1:8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</row>
    <row r="103" spans="1:8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</row>
    <row r="104" spans="1:8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</row>
    <row r="105" spans="1:8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</row>
    <row r="106" spans="1:8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</row>
    <row r="107" spans="1:8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</row>
    <row r="108" spans="1:8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</row>
    <row r="109" spans="1:8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</row>
    <row r="110" spans="1:8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</row>
    <row r="111" spans="1:8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</row>
    <row r="112" spans="1:8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</row>
    <row r="113" spans="1:8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</row>
    <row r="114" spans="1:8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</row>
    <row r="115" spans="1:8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</row>
    <row r="116" spans="1:8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</row>
    <row r="117" spans="1:8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</row>
    <row r="118" spans="1:8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</row>
    <row r="119" spans="1:8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</row>
    <row r="120" spans="1:8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</row>
    <row r="121" spans="1:8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</row>
    <row r="122" spans="1:8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</row>
    <row r="123" spans="1:8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</row>
    <row r="124" spans="1:8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</row>
    <row r="125" spans="1:8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</row>
    <row r="126" spans="1:8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</row>
    <row r="127" spans="1:8" ht="15" thickBot="1" x14ac:dyDescent="0.35">
      <c r="F127" s="129" t="s">
        <v>333</v>
      </c>
      <c r="G127" s="129">
        <f>SUM(Table20[Qs (W)])</f>
        <v>4519.5</v>
      </c>
      <c r="H127" s="129">
        <f>SUM(Table20[Ql (W)])</f>
        <v>2132.1000000000004</v>
      </c>
    </row>
    <row r="128" spans="1:8" ht="15" thickBot="1" x14ac:dyDescent="0.35">
      <c r="F128" s="178" t="s">
        <v>534</v>
      </c>
      <c r="G128" s="178"/>
      <c r="H128" s="129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1"/>
  <sheetViews>
    <sheetView topLeftCell="A175" zoomScale="85" zoomScaleNormal="85" workbookViewId="0">
      <selection activeCell="G156" sqref="G156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154" t="s">
        <v>535</v>
      </c>
      <c r="B1" s="154"/>
      <c r="C1" s="154"/>
      <c r="D1" s="154"/>
      <c r="E1" s="154"/>
      <c r="F1" s="154"/>
      <c r="G1" s="154"/>
      <c r="H1" s="130"/>
      <c r="I1" s="111"/>
    </row>
    <row r="2" spans="1:16" ht="24" thickBot="1" x14ac:dyDescent="0.5">
      <c r="A2" s="179" t="s">
        <v>160</v>
      </c>
      <c r="B2" s="179"/>
      <c r="C2" s="179"/>
      <c r="D2" s="179"/>
      <c r="E2" s="179"/>
      <c r="F2" s="179"/>
      <c r="G2" s="179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55" t="s">
        <v>539</v>
      </c>
      <c r="L3" s="155"/>
      <c r="M3" s="155"/>
      <c r="N3" s="155"/>
      <c r="O3" s="155"/>
      <c r="P3" s="155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56"/>
      <c r="L4" s="156"/>
      <c r="M4" s="156"/>
      <c r="N4" s="156" t="s">
        <v>430</v>
      </c>
      <c r="O4" s="156"/>
      <c r="P4" s="156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57" t="s">
        <v>160</v>
      </c>
      <c r="L5" s="157"/>
      <c r="M5" s="157"/>
      <c r="N5" s="157">
        <f>G63</f>
        <v>1147.9227799999999</v>
      </c>
      <c r="O5" s="157"/>
      <c r="P5" s="157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57" t="s">
        <v>41</v>
      </c>
      <c r="L6" s="157"/>
      <c r="M6" s="157"/>
      <c r="N6" s="157">
        <f>G137</f>
        <v>1229.8197599999994</v>
      </c>
      <c r="O6" s="157"/>
      <c r="P6" s="157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57" t="s">
        <v>59</v>
      </c>
      <c r="L7" s="157"/>
      <c r="M7" s="157"/>
      <c r="N7" s="157">
        <f>G201</f>
        <v>1068.55</v>
      </c>
      <c r="O7" s="157"/>
      <c r="P7" s="157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58" t="s">
        <v>540</v>
      </c>
      <c r="L8" s="158"/>
      <c r="M8" s="158"/>
      <c r="N8" s="171">
        <f>N5+N6+N7</f>
        <v>3446.2925399999995</v>
      </c>
      <c r="O8" s="172"/>
      <c r="P8" s="173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58"/>
      <c r="L9" s="158"/>
      <c r="M9" s="158"/>
      <c r="N9" s="174"/>
      <c r="O9" s="175"/>
      <c r="P9" s="176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5" t="s">
        <v>450</v>
      </c>
      <c r="C44" s="135">
        <v>1.6048</v>
      </c>
      <c r="D44" s="135">
        <f>References!AW44*2</f>
        <v>1.6</v>
      </c>
      <c r="E44" s="135">
        <v>22.5</v>
      </c>
      <c r="F44" s="135">
        <v>24</v>
      </c>
      <c r="G44" s="136">
        <f t="shared" si="1"/>
        <v>3.8515200000000003</v>
      </c>
      <c r="H44" s="118"/>
    </row>
    <row r="45" spans="1:8" ht="15" thickBot="1" x14ac:dyDescent="0.35">
      <c r="A45" s="137" t="s">
        <v>367</v>
      </c>
      <c r="B45" s="135" t="s">
        <v>64</v>
      </c>
      <c r="C45" s="135">
        <v>2.3576000000000001</v>
      </c>
      <c r="D45" s="135">
        <f>References!AW45*2</f>
        <v>1.8</v>
      </c>
      <c r="E45" s="135">
        <v>22.5</v>
      </c>
      <c r="F45" s="135">
        <v>28</v>
      </c>
      <c r="G45" s="136">
        <f t="shared" si="1"/>
        <v>23.340240000000001</v>
      </c>
      <c r="H45" s="118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8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7" t="s">
        <v>30</v>
      </c>
      <c r="B60" s="135" t="s">
        <v>64</v>
      </c>
      <c r="C60" s="135">
        <v>2.3576000000000001</v>
      </c>
      <c r="D60" s="135">
        <f>References!AW60*2</f>
        <v>4</v>
      </c>
      <c r="E60" s="135">
        <v>24</v>
      </c>
      <c r="F60" s="135">
        <v>28</v>
      </c>
      <c r="G60" s="136">
        <f t="shared" si="1"/>
        <v>37.721600000000002</v>
      </c>
      <c r="H60" s="118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179" t="s">
        <v>41</v>
      </c>
      <c r="B65" s="179"/>
      <c r="C65" s="179"/>
      <c r="D65" s="179"/>
      <c r="E65" s="179"/>
      <c r="F65" s="179"/>
      <c r="G65" s="179"/>
      <c r="H65" s="131"/>
      <c r="I65" s="119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2" t="s">
        <v>333</v>
      </c>
      <c r="G137" s="122">
        <f>SUM(Table27[Qs (W)])</f>
        <v>1229.8197599999994</v>
      </c>
    </row>
    <row r="138" spans="1:8" s="119" customFormat="1" x14ac:dyDescent="0.3"/>
    <row r="139" spans="1:8" s="119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9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40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9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40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9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40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9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40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8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8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8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8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9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40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9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40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9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40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9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40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9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40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9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40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9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40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9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40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9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40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9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40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9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40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9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40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9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40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9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40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9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40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9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40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9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40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8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8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8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9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2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12" priority="7" operator="equal">
      <formula>$J$1</formula>
    </cfRule>
  </conditionalFormatting>
  <conditionalFormatting sqref="D135:G136 D67:H134 C67:C136">
    <cfRule type="cellIs" dxfId="11" priority="6" operator="equal">
      <formula>$I$65</formula>
    </cfRule>
  </conditionalFormatting>
  <conditionalFormatting sqref="D141:H200">
    <cfRule type="cellIs" dxfId="10" priority="5" operator="equal">
      <formula>$J$182</formula>
    </cfRule>
  </conditionalFormatting>
  <conditionalFormatting sqref="C141:C200">
    <cfRule type="cellIs" dxfId="9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SUMMARY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2019-11-10T06:30:31Z</dcterms:modified>
</cp:coreProperties>
</file>