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AIRCON\"/>
    </mc:Choice>
  </mc:AlternateContent>
  <xr:revisionPtr revIDLastSave="0" documentId="13_ncr:1_{39BF1528-583E-4E20-A18D-4AAC849A0E17}" xr6:coauthVersionLast="45" xr6:coauthVersionMax="45" xr10:uidLastSave="{00000000-0000-0000-0000-000000000000}"/>
  <bookViews>
    <workbookView xWindow="-110" yWindow="-110" windowWidth="19420" windowHeight="10420" activeTab="2" xr2:uid="{66E216D1-9450-4D28-8E22-D7B461D9E1CD}"/>
  </bookViews>
  <sheets>
    <sheet name="EXTERNAL WALL LOAD" sheetId="1" r:id="rId1"/>
    <sheet name="GLASS LOAD" sheetId="2" r:id="rId2"/>
    <sheet name="INFILTRATION LOAD" sheetId="3" r:id="rId3"/>
    <sheet name="Sheet1" sheetId="5" r:id="rId4"/>
    <sheet name="References" sheetId="4" r:id="rId5"/>
  </sheets>
  <definedNames>
    <definedName name="_xlnm._FilterDatabase" localSheetId="0" hidden="1">'EXTERNAL WALL LOAD'!$A$88:$L$130</definedName>
    <definedName name="_xlnm._FilterDatabase" localSheetId="4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35" i="3" l="1"/>
  <c r="S235" i="3"/>
  <c r="T160" i="3"/>
  <c r="S160" i="3"/>
  <c r="T75" i="3"/>
  <c r="S75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T164" i="3"/>
  <c r="R233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7" i="3"/>
  <c r="R215" i="3"/>
  <c r="R214" i="3"/>
  <c r="R212" i="3"/>
  <c r="R210" i="3"/>
  <c r="R209" i="3"/>
  <c r="R207" i="3"/>
  <c r="R205" i="3"/>
  <c r="R203" i="3"/>
  <c r="R201" i="3"/>
  <c r="R199" i="3"/>
  <c r="R197" i="3"/>
  <c r="R195" i="3"/>
  <c r="R193" i="3"/>
  <c r="R191" i="3"/>
  <c r="R189" i="3"/>
  <c r="R187" i="3"/>
  <c r="R186" i="3"/>
  <c r="R185" i="3"/>
  <c r="R183" i="3"/>
  <c r="R182" i="3"/>
  <c r="R180" i="3"/>
  <c r="R178" i="3"/>
  <c r="R176" i="3"/>
  <c r="R174" i="3"/>
  <c r="R172" i="3"/>
  <c r="R170" i="3"/>
  <c r="R169" i="3"/>
  <c r="R168" i="3"/>
  <c r="R166" i="3"/>
  <c r="R164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T79" i="3"/>
  <c r="T66" i="3"/>
  <c r="T67" i="3"/>
  <c r="T68" i="3"/>
  <c r="T69" i="3"/>
  <c r="T70" i="3"/>
  <c r="T71" i="3"/>
  <c r="T72" i="3"/>
  <c r="T73" i="3"/>
  <c r="T54" i="3"/>
  <c r="T55" i="3"/>
  <c r="T56" i="3"/>
  <c r="T57" i="3"/>
  <c r="T58" i="3"/>
  <c r="T59" i="3"/>
  <c r="T60" i="3"/>
  <c r="T61" i="3"/>
  <c r="T62" i="3"/>
  <c r="T63" i="3"/>
  <c r="T64" i="3"/>
  <c r="T65" i="3"/>
  <c r="T44" i="3"/>
  <c r="T45" i="3"/>
  <c r="T46" i="3"/>
  <c r="T47" i="3"/>
  <c r="T48" i="3"/>
  <c r="T49" i="3"/>
  <c r="T50" i="3"/>
  <c r="T51" i="3"/>
  <c r="T52" i="3"/>
  <c r="T53" i="3"/>
  <c r="T32" i="3"/>
  <c r="T33" i="3"/>
  <c r="T34" i="3"/>
  <c r="T35" i="3"/>
  <c r="T36" i="3"/>
  <c r="T37" i="3"/>
  <c r="T38" i="3"/>
  <c r="T39" i="3"/>
  <c r="T40" i="3"/>
  <c r="T41" i="3"/>
  <c r="T42" i="3"/>
  <c r="T43" i="3"/>
  <c r="T23" i="3"/>
  <c r="T24" i="3"/>
  <c r="T25" i="3"/>
  <c r="T26" i="3"/>
  <c r="T27" i="3"/>
  <c r="T28" i="3"/>
  <c r="T29" i="3"/>
  <c r="T30" i="3"/>
  <c r="T31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4" i="3"/>
  <c r="S66" i="3"/>
  <c r="S67" i="3"/>
  <c r="S68" i="3"/>
  <c r="S69" i="3"/>
  <c r="S70" i="3"/>
  <c r="S71" i="3"/>
  <c r="S72" i="3"/>
  <c r="S73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N73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35" i="3"/>
  <c r="N36" i="3"/>
  <c r="N37" i="3"/>
  <c r="N38" i="3"/>
  <c r="N39" i="3"/>
  <c r="N40" i="3"/>
  <c r="N41" i="3"/>
  <c r="N42" i="3"/>
  <c r="N43" i="3"/>
  <c r="N44" i="3"/>
  <c r="N45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155" i="3"/>
  <c r="N156" i="3"/>
  <c r="N157" i="3"/>
  <c r="N15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233" i="3"/>
  <c r="N226" i="3"/>
  <c r="N227" i="3"/>
  <c r="N228" i="3"/>
  <c r="N229" i="3"/>
  <c r="N230" i="3"/>
  <c r="N231" i="3"/>
  <c r="N232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198" i="3"/>
  <c r="N199" i="3"/>
  <c r="N200" i="3"/>
  <c r="N201" i="3"/>
  <c r="N202" i="3"/>
  <c r="N203" i="3"/>
  <c r="N204" i="3"/>
  <c r="N205" i="3"/>
  <c r="N206" i="3"/>
  <c r="N207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R158" i="3" l="1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N164" i="3" l="1"/>
  <c r="N79" i="3"/>
  <c r="N4" i="3"/>
  <c r="B231" i="3"/>
  <c r="G231" i="3"/>
  <c r="B189" i="3"/>
  <c r="G189" i="3"/>
  <c r="S79" i="3" l="1"/>
  <c r="S164" i="3"/>
  <c r="S4" i="3"/>
  <c r="AD73" i="4"/>
  <c r="AD72" i="4"/>
  <c r="AD71" i="4"/>
  <c r="C231" i="3" s="1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C189" i="3" s="1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G233" i="3"/>
  <c r="B233" i="3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G219" i="3"/>
  <c r="B219" i="3"/>
  <c r="G217" i="3"/>
  <c r="B217" i="3"/>
  <c r="G215" i="3"/>
  <c r="B215" i="3"/>
  <c r="G214" i="3"/>
  <c r="B214" i="3"/>
  <c r="G212" i="3"/>
  <c r="B212" i="3"/>
  <c r="G210" i="3"/>
  <c r="B210" i="3"/>
  <c r="G209" i="3"/>
  <c r="B209" i="3"/>
  <c r="G207" i="3"/>
  <c r="B207" i="3"/>
  <c r="G205" i="3"/>
  <c r="B205" i="3"/>
  <c r="G203" i="3"/>
  <c r="B203" i="3"/>
  <c r="G201" i="3"/>
  <c r="B201" i="3"/>
  <c r="G199" i="3"/>
  <c r="B199" i="3"/>
  <c r="G197" i="3"/>
  <c r="B197" i="3"/>
  <c r="G195" i="3"/>
  <c r="B195" i="3"/>
  <c r="C195" i="3" s="1"/>
  <c r="G193" i="3"/>
  <c r="B193" i="3"/>
  <c r="G191" i="3"/>
  <c r="B191" i="3"/>
  <c r="G187" i="3"/>
  <c r="B187" i="3"/>
  <c r="G186" i="3"/>
  <c r="B186" i="3"/>
  <c r="G185" i="3"/>
  <c r="B185" i="3"/>
  <c r="G183" i="3"/>
  <c r="B183" i="3"/>
  <c r="G182" i="3"/>
  <c r="B182" i="3"/>
  <c r="G180" i="3"/>
  <c r="B180" i="3"/>
  <c r="G178" i="3"/>
  <c r="B178" i="3"/>
  <c r="G176" i="3"/>
  <c r="B176" i="3"/>
  <c r="G174" i="3"/>
  <c r="B174" i="3"/>
  <c r="G172" i="3"/>
  <c r="B172" i="3"/>
  <c r="G170" i="3"/>
  <c r="B170" i="3"/>
  <c r="G169" i="3"/>
  <c r="B169" i="3"/>
  <c r="G168" i="3"/>
  <c r="B168" i="3"/>
  <c r="G166" i="3"/>
  <c r="B166" i="3"/>
  <c r="G164" i="3"/>
  <c r="B164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C12" i="3" s="1"/>
  <c r="B11" i="3"/>
  <c r="B10" i="3"/>
  <c r="B9" i="3"/>
  <c r="B8" i="3"/>
  <c r="B7" i="3"/>
  <c r="B6" i="3"/>
  <c r="B5" i="3"/>
  <c r="B4" i="3"/>
  <c r="C220" i="3" l="1"/>
  <c r="H220" i="3" s="1"/>
  <c r="C178" i="3"/>
  <c r="C209" i="3"/>
  <c r="C233" i="3"/>
  <c r="I233" i="3" s="1"/>
  <c r="H231" i="3"/>
  <c r="I231" i="3"/>
  <c r="C224" i="3"/>
  <c r="H224" i="3" s="1"/>
  <c r="C228" i="3"/>
  <c r="H228" i="3" s="1"/>
  <c r="C169" i="3"/>
  <c r="H169" i="3" s="1"/>
  <c r="C185" i="3"/>
  <c r="H185" i="3" s="1"/>
  <c r="C197" i="3"/>
  <c r="H197" i="3" s="1"/>
  <c r="C201" i="3"/>
  <c r="H201" i="3" s="1"/>
  <c r="C205" i="3"/>
  <c r="I205" i="3" s="1"/>
  <c r="C217" i="3"/>
  <c r="H217" i="3" s="1"/>
  <c r="C203" i="3"/>
  <c r="I203" i="3" s="1"/>
  <c r="C230" i="3"/>
  <c r="H230" i="3" s="1"/>
  <c r="C212" i="3"/>
  <c r="I212" i="3" s="1"/>
  <c r="C193" i="3"/>
  <c r="I193" i="3" s="1"/>
  <c r="C221" i="3"/>
  <c r="I221" i="3" s="1"/>
  <c r="C225" i="3"/>
  <c r="H225" i="3" s="1"/>
  <c r="C229" i="3"/>
  <c r="I229" i="3" s="1"/>
  <c r="C172" i="3"/>
  <c r="H172" i="3" s="1"/>
  <c r="C170" i="3"/>
  <c r="H170" i="3" s="1"/>
  <c r="C182" i="3"/>
  <c r="H182" i="3" s="1"/>
  <c r="C4" i="3"/>
  <c r="I4" i="3" s="1"/>
  <c r="C186" i="3"/>
  <c r="H186" i="3" s="1"/>
  <c r="C226" i="3"/>
  <c r="I226" i="3" s="1"/>
  <c r="C183" i="3"/>
  <c r="I183" i="3" s="1"/>
  <c r="C187" i="3"/>
  <c r="H187" i="3" s="1"/>
  <c r="C191" i="3"/>
  <c r="I191" i="3" s="1"/>
  <c r="C199" i="3"/>
  <c r="I199" i="3" s="1"/>
  <c r="C207" i="3"/>
  <c r="I207" i="3" s="1"/>
  <c r="C215" i="3"/>
  <c r="I215" i="3" s="1"/>
  <c r="C219" i="3"/>
  <c r="H219" i="3" s="1"/>
  <c r="C223" i="3"/>
  <c r="I223" i="3" s="1"/>
  <c r="C227" i="3"/>
  <c r="I227" i="3" s="1"/>
  <c r="H189" i="3"/>
  <c r="I189" i="3"/>
  <c r="C164" i="3"/>
  <c r="I164" i="3" s="1"/>
  <c r="C210" i="3"/>
  <c r="H210" i="3" s="1"/>
  <c r="C8" i="3"/>
  <c r="H8" i="3" s="1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74" i="3"/>
  <c r="I17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I172" i="3"/>
  <c r="I220" i="3"/>
  <c r="I169" i="3"/>
  <c r="I185" i="3"/>
  <c r="H193" i="3"/>
  <c r="I197" i="3"/>
  <c r="I209" i="3"/>
  <c r="H209" i="3"/>
  <c r="H233" i="3"/>
  <c r="H178" i="3"/>
  <c r="I178" i="3"/>
  <c r="H191" i="3"/>
  <c r="I195" i="3"/>
  <c r="H195" i="3"/>
  <c r="I219" i="3"/>
  <c r="H166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I12" i="3"/>
  <c r="H12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I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H215" i="3" l="1"/>
  <c r="I187" i="3"/>
  <c r="H207" i="3"/>
  <c r="I8" i="3"/>
  <c r="I201" i="3"/>
  <c r="I230" i="3"/>
  <c r="I228" i="3"/>
  <c r="H53" i="3"/>
  <c r="H227" i="3"/>
  <c r="I44" i="3"/>
  <c r="I186" i="3"/>
  <c r="I217" i="3"/>
  <c r="H164" i="3"/>
  <c r="I224" i="3"/>
  <c r="H221" i="3"/>
  <c r="H226" i="3"/>
  <c r="H203" i="3"/>
  <c r="I170" i="3"/>
  <c r="H4" i="3"/>
  <c r="H174" i="3"/>
  <c r="H229" i="3"/>
  <c r="H205" i="3"/>
  <c r="H212" i="3"/>
  <c r="I5" i="3"/>
  <c r="I210" i="3"/>
  <c r="I225" i="3"/>
  <c r="I182" i="3"/>
  <c r="I141" i="3"/>
  <c r="I129" i="3"/>
  <c r="H41" i="3"/>
  <c r="H183" i="3"/>
  <c r="H223" i="3"/>
  <c r="H199" i="3"/>
  <c r="I136" i="3"/>
  <c r="H19" i="3"/>
  <c r="H47" i="3"/>
  <c r="I18" i="3"/>
  <c r="H222" i="3"/>
  <c r="I15" i="3"/>
  <c r="H30" i="3"/>
  <c r="H34" i="3"/>
  <c r="I180" i="3"/>
  <c r="H22" i="3"/>
  <c r="H6" i="3"/>
  <c r="I11" i="3"/>
  <c r="H72" i="3"/>
  <c r="I68" i="3"/>
  <c r="H7" i="3"/>
  <c r="H58" i="3"/>
  <c r="H49" i="3"/>
  <c r="I32" i="3"/>
  <c r="I31" i="3"/>
  <c r="H214" i="3"/>
  <c r="I26" i="3"/>
  <c r="H43" i="3"/>
  <c r="H20" i="3"/>
  <c r="H42" i="3"/>
  <c r="I17" i="3"/>
  <c r="H67" i="3"/>
  <c r="H65" i="3"/>
  <c r="H29" i="3"/>
  <c r="H51" i="3"/>
  <c r="H10" i="3"/>
  <c r="H54" i="3"/>
  <c r="I168" i="3"/>
  <c r="H63" i="3"/>
  <c r="H23" i="3"/>
  <c r="H66" i="3"/>
  <c r="H37" i="3"/>
  <c r="H27" i="3"/>
  <c r="I25" i="3"/>
  <c r="H35" i="3"/>
  <c r="H70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K68" i="2"/>
  <c r="K67" i="2"/>
  <c r="H67" i="2"/>
  <c r="J67" i="2" s="1"/>
  <c r="G67" i="2"/>
  <c r="K66" i="2"/>
  <c r="H66" i="2"/>
  <c r="G66" i="2"/>
  <c r="K65" i="2"/>
  <c r="H65" i="2"/>
  <c r="J65" i="2" s="1"/>
  <c r="G65" i="2"/>
  <c r="K64" i="2"/>
  <c r="J64" i="2"/>
  <c r="H64" i="2"/>
  <c r="G64" i="2"/>
  <c r="K63" i="2"/>
  <c r="H63" i="2"/>
  <c r="J63" i="2" s="1"/>
  <c r="G63" i="2"/>
  <c r="K62" i="2"/>
  <c r="H62" i="2"/>
  <c r="G62" i="2"/>
  <c r="K61" i="2"/>
  <c r="H61" i="2"/>
  <c r="J61" i="2" s="1"/>
  <c r="G61" i="2"/>
  <c r="K60" i="2"/>
  <c r="H60" i="2"/>
  <c r="G60" i="2"/>
  <c r="K59" i="2"/>
  <c r="H59" i="2"/>
  <c r="J59" i="2" s="1"/>
  <c r="G59" i="2"/>
  <c r="K58" i="2"/>
  <c r="J58" i="2"/>
  <c r="H58" i="2"/>
  <c r="G58" i="2"/>
  <c r="K57" i="2"/>
  <c r="H57" i="2"/>
  <c r="J57" i="2" s="1"/>
  <c r="G57" i="2"/>
  <c r="K56" i="2"/>
  <c r="H56" i="2"/>
  <c r="G56" i="2"/>
  <c r="K55" i="2"/>
  <c r="H55" i="2"/>
  <c r="J55" i="2" s="1"/>
  <c r="G55" i="2"/>
  <c r="K54" i="2"/>
  <c r="H54" i="2"/>
  <c r="G54" i="2"/>
  <c r="K53" i="2"/>
  <c r="H53" i="2"/>
  <c r="J53" i="2" s="1"/>
  <c r="G53" i="2"/>
  <c r="K52" i="2"/>
  <c r="J52" i="2"/>
  <c r="H52" i="2"/>
  <c r="G52" i="2"/>
  <c r="K51" i="2"/>
  <c r="H51" i="2"/>
  <c r="J51" i="2" s="1"/>
  <c r="G51" i="2"/>
  <c r="K50" i="2"/>
  <c r="H50" i="2"/>
  <c r="G50" i="2"/>
  <c r="K49" i="2"/>
  <c r="H49" i="2"/>
  <c r="G49" i="2"/>
  <c r="K48" i="2"/>
  <c r="H48" i="2"/>
  <c r="J48" i="2" s="1"/>
  <c r="G48" i="2"/>
  <c r="K47" i="2"/>
  <c r="H47" i="2"/>
  <c r="J47" i="2" s="1"/>
  <c r="G47" i="2"/>
  <c r="K46" i="2"/>
  <c r="H46" i="2"/>
  <c r="G46" i="2"/>
  <c r="K45" i="2"/>
  <c r="H45" i="2"/>
  <c r="G45" i="2"/>
  <c r="K44" i="2"/>
  <c r="H44" i="2"/>
  <c r="J44" i="2" s="1"/>
  <c r="G44" i="2"/>
  <c r="K43" i="2"/>
  <c r="H43" i="2"/>
  <c r="J43" i="2" s="1"/>
  <c r="G43" i="2"/>
  <c r="K42" i="2"/>
  <c r="H42" i="2"/>
  <c r="G42" i="2"/>
  <c r="K41" i="2"/>
  <c r="H41" i="2"/>
  <c r="G41" i="2"/>
  <c r="K40" i="2"/>
  <c r="H40" i="2"/>
  <c r="J40" i="2" s="1"/>
  <c r="G40" i="2"/>
  <c r="K39" i="2"/>
  <c r="H39" i="2"/>
  <c r="J39" i="2" s="1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2" i="2" l="1"/>
  <c r="J46" i="2"/>
  <c r="J50" i="2"/>
  <c r="J56" i="2"/>
  <c r="J62" i="2"/>
  <c r="J41" i="2"/>
  <c r="J45" i="2"/>
  <c r="J49" i="2"/>
  <c r="J54" i="2"/>
  <c r="J60" i="2"/>
  <c r="J66" i="2"/>
  <c r="K85" i="1"/>
  <c r="I234" i="3"/>
  <c r="H234" i="3"/>
  <c r="I74" i="3"/>
  <c r="H74" i="3"/>
  <c r="I159" i="3"/>
  <c r="H159" i="3"/>
  <c r="J68" i="2" l="1"/>
  <c r="J69" i="2" s="1"/>
  <c r="H75" i="3"/>
  <c r="H235" i="3"/>
  <c r="H160" i="3"/>
  <c r="F95" i="2"/>
  <c r="K95" i="2" s="1"/>
  <c r="F96" i="2"/>
  <c r="K96" i="2" s="1"/>
  <c r="F97" i="2"/>
  <c r="K97" i="2" s="1"/>
  <c r="F98" i="2"/>
  <c r="K98" i="2" s="1"/>
  <c r="F99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F93" i="2"/>
  <c r="K93" i="2" s="1"/>
  <c r="F94" i="2"/>
  <c r="K94" i="2" s="1"/>
  <c r="F73" i="2"/>
  <c r="K73" i="2" s="1"/>
  <c r="H99" i="2"/>
  <c r="G9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J11" i="2" s="1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C5" i="5" l="1"/>
  <c r="J96" i="2"/>
  <c r="J84" i="2"/>
  <c r="J98" i="2"/>
  <c r="J25" i="2"/>
  <c r="J10" i="2"/>
  <c r="J97" i="2"/>
  <c r="J85" i="2"/>
  <c r="J83" i="2"/>
  <c r="J94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9" i="2"/>
  <c r="J27" i="2"/>
  <c r="J15" i="2"/>
  <c r="K10" i="2"/>
  <c r="K76" i="2"/>
  <c r="J26" i="2"/>
  <c r="K8" i="2"/>
  <c r="J12" i="2"/>
  <c r="K88" i="2"/>
  <c r="J24" i="2"/>
  <c r="J81" i="2"/>
  <c r="K90" i="2"/>
  <c r="J92" i="2"/>
  <c r="J80" i="2"/>
  <c r="J23" i="2"/>
  <c r="J79" i="2"/>
  <c r="J22" i="2"/>
  <c r="J78" i="2"/>
  <c r="K99" i="2"/>
  <c r="J21" i="2"/>
  <c r="K74" i="2"/>
  <c r="J91" i="2"/>
  <c r="J30" i="2"/>
  <c r="K86" i="2"/>
  <c r="K33" i="2"/>
  <c r="K5" i="2"/>
  <c r="J95" i="2"/>
  <c r="K75" i="2"/>
  <c r="K87" i="2"/>
  <c r="K77" i="2"/>
  <c r="J20" i="2"/>
  <c r="J89" i="2"/>
  <c r="K80" i="2"/>
  <c r="K92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3" i="2"/>
  <c r="K100" i="2" l="1"/>
  <c r="J100" i="2"/>
  <c r="J101" i="2" s="1"/>
  <c r="J34" i="2"/>
  <c r="D23" i="1"/>
  <c r="K23" i="1" s="1"/>
  <c r="I23" i="1"/>
  <c r="J23" i="1" s="1"/>
  <c r="D21" i="1"/>
  <c r="K21" i="1" s="1"/>
  <c r="I21" i="1"/>
  <c r="J21" i="1" s="1"/>
  <c r="A82" i="4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D125" i="1"/>
  <c r="D126" i="1"/>
  <c r="K126" i="1" s="1"/>
  <c r="D127" i="1"/>
  <c r="K127" i="1" s="1"/>
  <c r="D128" i="1"/>
  <c r="D92" i="1"/>
  <c r="D93" i="1"/>
  <c r="D94" i="1"/>
  <c r="D97" i="1"/>
  <c r="D98" i="1"/>
  <c r="D99" i="1"/>
  <c r="D101" i="1"/>
  <c r="D102" i="1"/>
  <c r="K102" i="1" s="1"/>
  <c r="D103" i="1"/>
  <c r="D104" i="1"/>
  <c r="D105" i="1"/>
  <c r="K105" i="1" s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24" i="1" l="1"/>
  <c r="K120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C4" i="5" s="1"/>
  <c r="K4" i="1"/>
  <c r="K38" i="1" s="1"/>
  <c r="C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C19A819F-3AEC-40AE-A4C4-B37218CA0953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<sst xmlns="http://schemas.openxmlformats.org/spreadsheetml/2006/main" count="982" uniqueCount="341">
  <si>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</si>
  <si>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</si>
  <si>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</si>
  <si>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</si>
  <si>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</si>
  <si>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</si>
  <si>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</si>
  <si>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</si>
  <si>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</si>
  <si>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</si>
  <si>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</si>
  <si>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</si>
  <si>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</si>
  <si>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</si>
  <si>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</si>
  <si>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</si>
  <si>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</si>
  <si>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</si>
  <si>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</si>
  <si>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</si>
  <si>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</si>
  <si>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</si>
  <si>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</si>
  <si>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</si>
  <si>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</si>
  <si>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</si>
  <si>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</si>
  <si>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</si>
  <si>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</si>
  <si>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</si>
  <si>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</si>
  <si>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</si>
  <si>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</si>
  <si>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</si>
  <si>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</si>
  <si>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</si>
  <si>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</si>
  <si>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</si>
  <si>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</si>
  <si>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</si>
  <si>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</si>
  <si>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</si>
  <si>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</si>
  <si>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</si>
  <si>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</si>
  <si>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</si>
  <si>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</si>
  <si>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</si>
  <si>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</si>
  <si>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</si>
  <si>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</si>
  <si>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</si>
  <si>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</si>
  <si>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</si>
  <si>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</si>
  <si>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</si>
  <si>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</si>
  <si>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</si>
  <si>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</si>
  <si>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</si>
  <si>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</si>
  <si>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</si>
  <si>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</si>
  <si>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</si>
  <si>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</si>
  <si>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</si>
  <si>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</si>
  <si>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</si>
  <si>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</si>
  <si>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</si>
  <si>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</si>
  <si>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</si>
  <si>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</si>
  <si>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</si>
  <si>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</si>
  <si>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</si>
  <si>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</si>
  <si>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</si>
  <si>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</si>
  <si>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</si>
  <si>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</si>
  <si>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</si>
  <si>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</si>
  <si>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</si>
  <si>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</si>
  <si>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</si>
  <si>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</si>
  <si>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</si>
  <si>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</si>
  <si>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</si>
  <si>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</si>
  <si>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</si>
  <si>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</si>
  <si>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</si>
  <si>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</si>
  <si>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</si>
  <si>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</si>
  <si>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</si>
  <si>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</si>
  <si>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</si>
  <si>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</si>
  <si>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</si>
  <si>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</si>
  <si>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</si>
  <si>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</si>
  <si>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</si>
  <si>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</si>
  <si>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</si>
  <si>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</si>
  <si>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</si>
  <si>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</si>
  <si>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</si>
  <si>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</si>
  <si>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</si>
  <si>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</si>
  <si>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</si>
  <si>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</si>
  <si>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</si>
  <si>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</si>
  <si>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</si>
  <si>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</si>
  <si>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</si>
  <si>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</si>
  <si>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</si>
  <si>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</si>
  <si>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</si>
  <si>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</si>
  <si>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</si>
  <si>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</si>
  <si>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</si>
  <si>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</si>
  <si>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</si>
  <si>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</si>
  <si>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</si>
  <si>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</si>
  <si>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</si>
  <si>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</si>
  <si>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</si>
  <si>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</si>
  <si>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</si>
  <si>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</si>
  <si>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</si>
  <si>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</si>
  <si>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</si>
  <si>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</si>
  <si>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</si>
  <si>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</si>
  <si>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</si>
  <si>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</si>
  <si>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</si>
  <si>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</si>
  <si>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</si>
  <si>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</si>
  <si>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</si>
  <si>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</si>
  <si>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</si>
  <si>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</si>
  <si>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</si>
  <si>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</si>
  <si>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</si>
  <si>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</si>
  <si>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</si>
  <si>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</si>
  <si>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</si>
  <si>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</si>
  <si>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</si>
  <si>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</si>
  <si>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</si>
  <si>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</si>
  <si>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</si>
  <si>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</si>
  <si>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</si>
  <si>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</si>
  <si>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</si>
  <si>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</si>
  <si>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</si>
  <si>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</si>
  <si>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</si>
  <si>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</si>
  <si>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</si>
  <si>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</si>
  <si>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</si>
  <si>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</si>
  <si>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</si>
  <si>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</si>
  <si>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</si>
  <si>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</si>
  <si>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</si>
  <si>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</si>
  <si>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</si>
  <si>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</si>
  <si>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</si>
  <si>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</si>
  <si>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</si>
  <si>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</si>
  <si>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</si>
  <si>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</si>
  <si>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</si>
  <si>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</si>
  <si>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</si>
  <si>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</si>
  <si>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</si>
  <si>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</si>
  <si>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</si>
  <si>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</si>
  <si>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</si>
  <si>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</si>
  <si>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</si>
  <si>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</si>
  <si>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</si>
  <si>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</si>
  <si>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</si>
  <si>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</si>
  <si>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</si>
  <si>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</si>
  <si>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</si>
  <si>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</si>
  <si>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</si>
  <si>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</si>
  <si>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</si>
  <si>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</si>
  <si>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</si>
  <si>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</si>
  <si>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</si>
  <si>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</si>
  <si>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</si>
  <si>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</si>
  <si>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</si>
  <si>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</si>
  <si>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</si>
  <si>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</si>
  <si>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</si>
  <si>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</si>
  <si>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</si>
  <si>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</si>
  <si>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</si>
  <si>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</si>
  <si>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</si>
  <si>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</si>
  <si>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</si>
  <si>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</si>
  <si>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</si>
  <si>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</si>
  <si>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</si>
  <si>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</si>
  <si>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</si>
  <si>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</si>
  <si>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</si>
  <si>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</si>
  <si>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</si>
  <si>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</si>
  <si>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</si>
  <si>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</si>
  <si>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</si>
  <si>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</si>
  <si>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</si>
  <si>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</si>
  <si>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</si>
  <si>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</si>
  <si>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</si>
  <si>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</si>
  <si>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</si>
  <si>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</si>
  <si>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</si>
  <si>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</si>
  <si>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</si>
  <si>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</si>
  <si>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</si>
  <si>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</si>
  <si>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</si>
  <si>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</si>
  <si>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</si>
  <si>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</si>
  <si>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</si>
  <si>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</si>
  <si>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</si>
  <si>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</si>
  <si>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</si>
  <si>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</si>
  <si>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</si>
  <si>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</si>
  <si>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</si>
  <si>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</si>
  <si>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</si>
  <si>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</si>
  <si>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</si>
  <si>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</si>
  <si>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</si>
  <si>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</si>
  <si>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</si>
  <si>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</si>
  <si>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</si>
  <si>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</si>
  <si>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</si>
  <si>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</si>
  <si>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</si>
  <si>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</si>
  <si>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</si>
  <si>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</si>
  <si>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</si>
  <si>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</si>
  <si>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</si>
  <si>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</si>
  <si>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</si>
  <si>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</si>
  <si>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</si>
  <si>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</si>
  <si>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</si>
  <si>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</si>
  <si>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</si>
  <si>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</si>
  <si>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</si>
  <si>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</si>
  <si>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</si>
  <si>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</si>
  <si>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</si>
  <si>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</si>
  <si>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</si>
  <si>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</si>
  <si>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</si>
  <si>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</si>
  <si>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</si>
  <si>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</si>
  <si>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</si>
  <si>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</si>
  <si>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</si>
  <si>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</si>
  <si>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</si>
  <si>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</si>
  <si>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Total</t>
  </si>
  <si>
    <t>Total Loads</t>
  </si>
  <si>
    <t>External Wall Load</t>
  </si>
  <si>
    <t>Glass Load</t>
  </si>
  <si>
    <t>Infiltration</t>
  </si>
  <si>
    <t>VENTILATION LOAD</t>
  </si>
  <si>
    <t>Occ</t>
  </si>
  <si>
    <t>Qw (W)</t>
  </si>
  <si>
    <t>Occ.</t>
  </si>
  <si>
    <t>Qs(W)</t>
  </si>
  <si>
    <t>Ql(W)</t>
  </si>
  <si>
    <t>L/s-person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</si>
</sst>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theme="5" tint="0.59999389629810485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3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1" fillId="5" borderId="1" xfId="0" applyFont="1" applyFill="1" applyBorder="1" applyAlignment="1"/>
    <xf numFmtId="0" fontId="0" fillId="6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6" borderId="1" xfId="0" applyFont="1" applyFill="1" applyBorder="1"/>
    <xf numFmtId="0" fontId="7" fillId="0" borderId="11" xfId="1" applyFont="1" applyFill="1" applyBorder="1" applyAlignment="1">
      <alignment horizontal="center"/>
    </xf>
    <xf numFmtId="0" fontId="7" fillId="0" borderId="0" xfId="1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8" fillId="0" borderId="0" xfId="0" applyFont="1"/>
  </cellXfs>
  <cellStyles count="2">
    <cellStyle name="Normal" xfId="0" builtinId="0"/>
    <cellStyle name="Title" xfId="1" builtinId="15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A0B369-E9D3-45A6-8CE6-9896E4DF3168}" name="Table1" displayName="Table1" ref="A3:K37" totalsRowShown="0" headerRowDxfId="132" headerRowBorderDxfId="131" tableBorderDxfId="130" totalsRowBorderDxfId="129">
  <tableColumns count="11">
    <tableColumn id="1" xr3:uid="{137DD27D-F935-4B8C-BE93-42615A4007CE}" name="Space" dataDxfId="128"/>
    <tableColumn id="2" xr3:uid="{295B7CEF-8BFD-4298-8053-78D825DACBAB}" name="Orientation" dataDxfId="127"/>
    <tableColumn id="3" xr3:uid="{BA04DE56-906D-4B0C-A71C-2C84789215A4}" name="U" dataDxfId="126"/>
    <tableColumn id="4" xr3:uid="{274BAD4F-3129-4E13-8E46-7BB9282D6B84}" name="A(m^2)" dataDxfId="125"/>
    <tableColumn id="5" xr3:uid="{15486077-E796-4024-9746-C7417F56DB2C}" name="CLTDsel" dataDxfId="124"/>
    <tableColumn id="6" xr3:uid="{611A19E8-B544-4B5E-A9BD-B0ECBFA2231D}" name="LM" dataDxfId="123"/>
    <tableColumn id="7" xr3:uid="{1C772549-EF8C-4CAB-B341-63A4B6D9F7AF}" name="k" dataDxfId="122"/>
    <tableColumn id="8" xr3:uid="{D28899F6-B345-44C1-9C99-6601B4C4838F}" name="Ti" dataDxfId="121"/>
    <tableColumn id="9" xr3:uid="{8DF08074-E58F-4BCD-B172-DD54E2399FE8}" name="Tave" dataDxfId="120">
      <calculatedColumnFormula>(References!T$4)-(References!T$3/2)</calculatedColumnFormula>
    </tableColumn>
    <tableColumn id="10" xr3:uid="{C8C22914-1A98-401C-9F0A-08AAB0A5B5B9}" name="CLTD adj" dataDxfId="119">
      <calculatedColumnFormula>(E4+F4)*G4+(25-H4)+(I4-29)</calculatedColumnFormula>
    </tableColumn>
    <tableColumn id="11" xr3:uid="{86BCF8AF-A044-4149-8540-689B34DD4265}" name="Q(W)" dataDxfId="118">
      <calculatedColumnFormula>C4*D4*E4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73B5F5-F55E-4398-9152-8BC23658A485}" name="Table2" displayName="Table2" ref="A88:K130" totalsRowShown="0" headerRowDxfId="117" headerRowBorderDxfId="116" tableBorderDxfId="115" totalsRowBorderDxfId="114">
  <tableColumns count="11">
    <tableColumn id="1" xr3:uid="{61BE3B42-D4E3-4E71-A907-C570F46CF855}" name="Space" dataDxfId="113"/>
    <tableColumn id="2" xr3:uid="{76DCDE78-F869-40E0-ABCD-79C8C3C1A3E4}" name="Orientation" dataDxfId="112"/>
    <tableColumn id="3" xr3:uid="{CD935135-9DC6-4C1C-9F1E-7A828F078B88}" name="U" dataDxfId="111"/>
    <tableColumn id="4" xr3:uid="{C804E950-40FB-4A5F-9328-80C405F3249B}" name="A(m^2)" dataDxfId="110">
      <calculatedColumnFormula>(References!C41*4)-(References!B41*1)-(References!A41*2)</calculatedColumnFormula>
    </tableColumn>
    <tableColumn id="5" xr3:uid="{21AA1388-E94F-4617-9CEE-250FC00912F2}" name="CLTDsel" dataDxfId="109">
      <calculatedColumnFormula>_xlfn.IFS(B89="E",25,B89="N",13,B89="W",33,B89="S",22)</calculatedColumnFormula>
    </tableColumn>
    <tableColumn id="6" xr3:uid="{ABE0F3F2-BC46-4987-A077-0D64A9023875}" name="LM" dataDxfId="108">
      <calculatedColumnFormula>_xlfn.IFS(B89="E",-0.55,B89="N",2.22,B89="W",-0.55,B89="S",-3.88)</calculatedColumnFormula>
    </tableColumn>
    <tableColumn id="7" xr3:uid="{6F0FA373-D3AD-4865-9510-F5F436C722EC}" name="k" dataDxfId="107"/>
    <tableColumn id="8" xr3:uid="{93262B13-C824-4CDF-BC59-2F590DA934FE}" name="Ti" dataDxfId="106"/>
    <tableColumn id="9" xr3:uid="{BBB4E247-13C5-4600-AE8B-3CD007724DD0}" name="Tave" dataDxfId="105">
      <calculatedColumnFormula>(References!T$4)-(References!T$3/2)</calculatedColumnFormula>
    </tableColumn>
    <tableColumn id="10" xr3:uid="{3FA6C9A8-66D8-44B3-8D9F-5548A75F6151}" name="CLTD adj" dataDxfId="104">
      <calculatedColumnFormula>(E89+F89)*G89+(25-H89)+(I89-29)</calculatedColumnFormula>
    </tableColumn>
    <tableColumn id="11" xr3:uid="{3D5BDFD6-A736-49A1-B80C-379EF93C40AD}" name="Q(W)" dataDxfId="103">
      <calculatedColumnFormula>C89*D89*E89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12BB50-170F-4991-A496-D8C28A98AF51}" name="Table6" displayName="Table6" ref="A41:K84" totalsRowShown="0" headerRowDxfId="102" headerRowBorderDxfId="101" tableBorderDxfId="100" totalsRowBorderDxfId="99">
  <tableColumns count="11">
    <tableColumn id="1" xr3:uid="{39633EBD-3884-4915-BE60-55B63984A822}" name="Space" dataDxfId="98"/>
    <tableColumn id="2" xr3:uid="{1E39B812-4027-404D-94D8-96AAEE100C37}" name="Orientation" dataDxfId="97"/>
    <tableColumn id="3" xr3:uid="{47E9DA99-00AB-4A59-B307-3FABF0737D86}" name="U" dataDxfId="96"/>
    <tableColumn id="4" xr3:uid="{346B7D69-30D0-4D61-B5CB-97E01FD012E3}" name="A(m^2)" dataDxfId="95"/>
    <tableColumn id="5" xr3:uid="{3C31EBD4-EFE6-42BA-AF07-DB155FD6CC4D}" name="CLTDsel" dataDxfId="94"/>
    <tableColumn id="6" xr3:uid="{7638C51D-03DE-46EA-8F66-4D7377018558}" name="LM" dataDxfId="93"/>
    <tableColumn id="7" xr3:uid="{D74BBD84-CD1E-48CD-9B44-A58EAAE4F7EF}" name="k" dataDxfId="92"/>
    <tableColumn id="8" xr3:uid="{605B0061-805A-47DA-88E3-FBC86B4AD29C}" name="Ti" dataDxfId="91"/>
    <tableColumn id="9" xr3:uid="{0C6FE49D-0428-4261-86EB-E7F42B2B0D47}" name="Tave" dataDxfId="90"/>
    <tableColumn id="10" xr3:uid="{8A9B6B19-B6BC-4B4E-945A-ACFE3D27BC47}" name="CLTD adj" dataDxfId="89">
      <calculatedColumnFormula>(E42+F42)*G42+(25-H42)+(I42-29)</calculatedColumnFormula>
    </tableColumn>
    <tableColumn id="11" xr3:uid="{7C87CDDE-C132-46F3-B5A7-0D615B6E7450}" name="Q(W)" dataDxfId="88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D40405-AC1A-49DE-B466-EFD291497010}" name="Table3" displayName="Table3" ref="A3:K33" totalsRowShown="0" headerRowDxfId="87" headerRowBorderDxfId="86" tableBorderDxfId="85" totalsRowBorderDxfId="84">
  <tableColumns count="11">
    <tableColumn id="1" xr3:uid="{82BD039F-61ED-4756-BBB2-446895CAF1B2}" name="Space" dataDxfId="83"/>
    <tableColumn id="2" xr3:uid="{B3399BD0-3A66-4579-A9C3-D6C7276C7AE4}" name="Orientation" dataDxfId="82"/>
    <tableColumn id="3" xr3:uid="{1DBAE0E5-1DA7-4F24-9DF2-B7ED54D16F52}" name="U" dataDxfId="81"/>
    <tableColumn id="4" xr3:uid="{4DC92FEA-BB58-48DE-89CF-CBEF74AF29BD}" name="To" dataDxfId="80"/>
    <tableColumn id="5" xr3:uid="{B54F047F-C86D-47B5-AECA-EA4D75175859}" name="Ti" dataDxfId="79"/>
    <tableColumn id="6" xr3:uid="{048C4A17-8786-4746-864C-6A804771BC30}" name="A(m^2)" dataDxfId="78">
      <calculatedColumnFormula>References!E5*References!F5</calculatedColumnFormula>
    </tableColumn>
    <tableColumn id="7" xr3:uid="{66D7B70D-ECB6-47A8-8219-8D549BDA1118}" name="SHGF" dataDxfId="77">
      <calculatedColumnFormula>_xlfn.IFS(B4="E",685,B4="N",120,B4="W",685,B4="S",230)</calculatedColumnFormula>
    </tableColumn>
    <tableColumn id="8" xr3:uid="{09AEB7E6-7C5F-4C80-94EE-7F68B59E0481}" name="SCL" dataDxfId="76">
      <calculatedColumnFormula>_xlfn.IFS(B4="E",0.8,B4="N",0.91,B4="W",0.82,B4="S",0.83)</calculatedColumnFormula>
    </tableColumn>
    <tableColumn id="9" xr3:uid="{D0469C68-81DF-403E-B05F-BB50F4F9B29B}" name="SC" dataDxfId="75"/>
    <tableColumn id="10" xr3:uid="{06DFE957-2815-486A-8282-6D97DC107C45}" name="Qsg (W)" dataDxfId="74">
      <calculatedColumnFormula>G4*H4*F4*I4</calculatedColumnFormula>
    </tableColumn>
    <tableColumn id="11" xr3:uid="{26B9C6E6-E1D2-4E6E-9922-D757678D87D7}" name="Qth (W)" dataDxfId="73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84E8E9-91A4-42D2-B89C-AB90714DAED8}" name="Table5" displayName="Table5" ref="A72:K99" totalsRowShown="0" headerRowDxfId="72" dataDxfId="70" headerRowBorderDxfId="71" tableBorderDxfId="69" totalsRowBorderDxfId="68">
  <tableColumns count="11">
    <tableColumn id="1" xr3:uid="{9E895F4B-1727-4522-AC66-01289751023B}" name="Space" dataDxfId="67"/>
    <tableColumn id="2" xr3:uid="{4DC134A6-1538-45EA-BBEB-48CE1FFCCFDF}" name="Orientation" dataDxfId="66"/>
    <tableColumn id="3" xr3:uid="{BBBCB5D2-739B-4419-B5EC-089D62618B5E}" name="U" dataDxfId="65"/>
    <tableColumn id="4" xr3:uid="{E8B89E44-EB1B-4B5F-90F4-48625EDDD2F5}" name="To" dataDxfId="64"/>
    <tableColumn id="5" xr3:uid="{79DF61DA-6234-477B-A37C-1C5151BC84B2}" name="Ti" dataDxfId="63"/>
    <tableColumn id="6" xr3:uid="{E72C03E8-576E-4D7A-92B2-B4F367A28442}" name="A(m^2)" dataDxfId="62">
      <calculatedColumnFormula>References!E41*References!F41</calculatedColumnFormula>
    </tableColumn>
    <tableColumn id="7" xr3:uid="{6CB552C5-66E4-4BC9-A367-0EF3BFF4BC47}" name="SHGF" dataDxfId="61">
      <calculatedColumnFormula>_xlfn.IFS(B73="E",685,B73="N",120,B73="W",685,B73="S",230)</calculatedColumnFormula>
    </tableColumn>
    <tableColumn id="8" xr3:uid="{83097F1A-225D-4AC2-9739-F270A6BE039B}" name="SCL" dataDxfId="60">
      <calculatedColumnFormula>_xlfn.IFS(B73="E",0.8,B73="N",0.91,B73="W",0.82,B73="S",0.83)</calculatedColumnFormula>
    </tableColumn>
    <tableColumn id="9" xr3:uid="{A296748D-3F62-4509-B687-482DAFCB8597}" name="SC" dataDxfId="59"/>
    <tableColumn id="10" xr3:uid="{2058708A-15FD-4E79-A82A-DAE83E79BB30}" name="Qsg (W)" dataDxfId="58">
      <calculatedColumnFormula>G73*H73*F73*I73</calculatedColumnFormula>
    </tableColumn>
    <tableColumn id="11" xr3:uid="{14C92411-DC43-41D3-9680-F123A54212A3}" name="Qth (W)" dataDxfId="57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863C3F-D8E2-4F4B-8948-89DC6C4C45A7}" name="Table7" displayName="Table7" ref="A38:K67" totalsRowShown="0" headerRowDxfId="56" headerRowBorderDxfId="55" tableBorderDxfId="54" totalsRowBorderDxfId="53">
  <tableColumns count="11">
    <tableColumn id="1" xr3:uid="{F844A60A-FD52-40D0-AC35-C4CE8C854E74}" name="Space" dataDxfId="52"/>
    <tableColumn id="2" xr3:uid="{E0F9DBCA-C9BA-4B81-B74F-92477EAA7BF5}" name="Orientation" dataDxfId="51"/>
    <tableColumn id="3" xr3:uid="{68ECB185-A7F2-48F1-A165-AA6EF0E655C8}" name="U" dataDxfId="50"/>
    <tableColumn id="4" xr3:uid="{783E89E9-83B7-4651-989B-AC778735F29D}" name="To" dataDxfId="49"/>
    <tableColumn id="5" xr3:uid="{EA8B820E-9ED4-482B-851C-4DBB4E1D4503}" name="Ti" dataDxfId="48"/>
    <tableColumn id="6" xr3:uid="{0235BC6E-3713-4701-B9DE-736BCD1E2A5C}" name="A(m^2)" dataDxfId="47"/>
    <tableColumn id="7" xr3:uid="{E7625ADC-FEE8-4475-8436-743B4830377A}" name="SHGF" dataDxfId="46">
      <calculatedColumnFormula>_xlfn.IFS(B39="N",120,B39="E",685,B39="S",230,B39="W",685)</calculatedColumnFormula>
    </tableColumn>
    <tableColumn id="8" xr3:uid="{6571538C-6F24-421C-84D8-2425A545D567}" name="SCL" dataDxfId="45">
      <calculatedColumnFormula>_xlfn.IFS(B39="N",0.91,B39="E",0.8,B39="S",0.83,B39="W",0.82)</calculatedColumnFormula>
    </tableColumn>
    <tableColumn id="9" xr3:uid="{CA68E18C-4208-4F82-91B5-9321EA832137}" name="SC" dataDxfId="44"/>
    <tableColumn id="10" xr3:uid="{9992E83B-84F7-40CD-AF1F-309DA65710F5}" name="Qsg (W)" dataDxfId="43">
      <calculatedColumnFormula>I39*H39*G39*F39</calculatedColumnFormula>
    </tableColumn>
    <tableColumn id="11" xr3:uid="{0BD2D7F2-4B79-4D22-8F9E-977E840E8D46}" name="Qth (W)" dataDxfId="42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E84567-4D6D-4986-BA8B-5A2051662AFF}" name="Table8" displayName="Table8" ref="A78:I158" totalsRowShown="0" headerRowDxfId="41" headerRowBorderDxfId="40" tableBorderDxfId="39" totalsRowBorderDxfId="38">
  <tableColumns count="9">
    <tableColumn id="1" xr3:uid="{709F2A43-58DA-4EF2-A24B-E7962B25E9E1}" name="SPACE" dataDxfId="37"/>
    <tableColumn id="2" xr3:uid="{29464663-B004-4015-9E6B-772A724BEEE7}" name="Volume" dataDxfId="36">
      <calculatedColumnFormula>References!AB4*4</calculatedColumnFormula>
    </tableColumn>
    <tableColumn id="3" xr3:uid="{0324E033-1026-48F3-BE42-240D770D7753}" name="L/s" dataDxfId="35">
      <calculatedColumnFormula>((0.15+0.01*3+0.007*(D79-E79))*B79)/3.6</calculatedColumnFormula>
    </tableColumn>
    <tableColumn id="4" xr3:uid="{F4D42BD0-1EDA-4F13-9D35-03B9F2A1DC0B}" name="To" dataDxfId="34"/>
    <tableColumn id="5" xr3:uid="{A322013D-8F09-4AC1-B372-976BC041EA10}" name="Ti" dataDxfId="33"/>
    <tableColumn id="6" xr3:uid="{FDADF820-1322-43F6-971D-49A98AE372EB}" name="Wo" dataDxfId="32"/>
    <tableColumn id="7" xr3:uid="{E7BD3634-4C19-4800-9A4E-58C9DC60564D}" name="Wi" dataDxfId="31">
      <calculatedColumnFormula>_xlfn.IFS(E79=22.5,0.00848061,E79=22,0.00821976,E79=24,0.00929323)</calculatedColumnFormula>
    </tableColumn>
    <tableColumn id="8" xr3:uid="{3F94008E-7E12-4926-874C-9B89AAD57824}" name="Qs (W)" dataDxfId="30">
      <calculatedColumnFormula>1.23*C79*(D79-E79)</calculatedColumnFormula>
    </tableColumn>
    <tableColumn id="9" xr3:uid="{4B5E970B-DDC7-460E-A8A8-ED5A08D16F9D}" name="Ql (W)" dataDxfId="29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25AE67-5DE5-4AD0-9DDB-6A134CAEE123}" name="Table4" displayName="Table4" ref="A163:I233" totalsRowShown="0" headerRowDxfId="28" headerRowBorderDxfId="27" tableBorderDxfId="26" totalsRowBorderDxfId="25">
  <tableColumns count="9">
    <tableColumn id="1" xr3:uid="{57C6C79D-2E7A-43D9-A284-02B2D7884C7C}" name="Space" dataDxfId="24"/>
    <tableColumn id="2" xr3:uid="{3E9AB0AA-DE33-4AA9-AE19-77FB5564E2BF}" name="Volume" dataDxfId="23">
      <calculatedColumnFormula>References!AE4*4</calculatedColumnFormula>
    </tableColumn>
    <tableColumn id="3" xr3:uid="{62741A6D-1398-4941-BBF7-33DDDCB0A5F7}" name="L/s" dataDxfId="22">
      <calculatedColumnFormula>(References!AD4*B164)/3.6</calculatedColumnFormula>
    </tableColumn>
    <tableColumn id="4" xr3:uid="{41E3FD86-6D0D-4DE0-BCFD-CDA335EB5712}" name="To" dataDxfId="21"/>
    <tableColumn id="5" xr3:uid="{97C524DC-9F6B-476C-8EF4-3D46A6511442}" name="Ti" dataDxfId="20"/>
    <tableColumn id="6" xr3:uid="{A4D7FCA1-6033-4F00-A24E-F5AA890DC897}" name="Wo" dataDxfId="19"/>
    <tableColumn id="7" xr3:uid="{1B9CF306-41EE-4EA4-B63B-59D0F4D05201}" name="Wi" dataDxfId="18">
      <calculatedColumnFormula>_xlfn.IFS(E164=22.5,0.00848031,E164=24,0.009293235,E164=22,0.00821976)</calculatedColumnFormula>
    </tableColumn>
    <tableColumn id="8" xr3:uid="{46FE9B31-8805-4B62-A3EF-93B7ABACEFEC}" name="Qs" dataDxfId="17">
      <calculatedColumnFormula>1.232*(D164-E164)*C164</calculatedColumnFormula>
    </tableColumn>
    <tableColumn id="9" xr3:uid="{F40E1C64-6FEA-4533-BBE9-7F771BEE9305}" name="Ql" dataDxfId="16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26F6D8-F752-44D5-9F50-057403959136}" name="Table9" displayName="Table9" ref="A3:I73" totalsRowShown="0" headerRowDxfId="15" headerRowBorderDxfId="14" tableBorderDxfId="13" totalsRowBorderDxfId="12">
  <tableColumns count="9">
    <tableColumn id="1" xr3:uid="{7E392D78-9814-48AF-AD52-213D70CBDE50}" name="SPACE" dataDxfId="11"/>
    <tableColumn id="2" xr3:uid="{E25ECE6D-3B39-4893-9387-EB5C6E5B90C2}" name="Volume" dataDxfId="10">
      <calculatedColumnFormula>References!Z4*4</calculatedColumnFormula>
    </tableColumn>
    <tableColumn id="3" xr3:uid="{D2118221-8543-4117-9C29-CCF10914C18D}" name="L/s" dataDxfId="9">
      <calculatedColumnFormula>(References!Y4*B4)/3.6</calculatedColumnFormula>
    </tableColumn>
    <tableColumn id="4" xr3:uid="{D1CEEB95-83A4-408D-93C3-BB2BCF8F8498}" name="To" dataDxfId="8"/>
    <tableColumn id="5" xr3:uid="{1C510591-1C10-4626-940C-228C66E89E09}" name="Ti" dataDxfId="7"/>
    <tableColumn id="6" xr3:uid="{0DF6A008-836C-442C-9F8B-9B8F832A61E9}" name="Wo" dataDxfId="6"/>
    <tableColumn id="7" xr3:uid="{74AAE0F4-C463-4D7A-BEB2-4929F8632713}" name="Wi" dataDxfId="5"/>
    <tableColumn id="8" xr3:uid="{A5C5D651-208B-4D64-98CF-7CEFDDAB3D78}" name="Qs (W)" dataDxfId="4">
      <calculatedColumnFormula>(1.232*(D4-E4)*C4)</calculatedColumnFormula>
    </tableColumn>
    <tableColumn id="9" xr3:uid="{CF8429B6-E522-4EE6-8FB1-F6C1EC209A6D}" name="Ql (W)" dataDxfId="3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5D00-BFF9-4A16-94EF-59102BC963FD}">
  <sheetPr codeName="Sheet1"/>
  <dimension ref="A1:R131"/>
  <sheetViews>
    <sheetView topLeftCell="A103" zoomScale="70" zoomScaleNormal="70" workbookViewId="0">
      <selection activeCell="E140" sqref="E140"/>
    </sheetView>
  </sheetViews>
  <sheetFormatPr defaultRowHeight="14.5" x14ac:dyDescent="0.35"/>
  <cols>
    <col min="1" max="1" width="25.7265625" customWidth="1"/>
    <col min="2" max="2" width="12.453125" customWidth="1"/>
    <col min="4" max="4" width="9.1796875" customWidth="1"/>
    <col min="5" max="5" width="10.26953125" customWidth="1"/>
    <col min="10" max="10" width="15.26953125" customWidth="1"/>
    <col min="13" max="13" width="12.1796875" customWidth="1"/>
    <col min="14" max="14" width="15.81640625" customWidth="1"/>
    <col min="15" max="15" width="12.26953125" customWidth="1"/>
    <col min="17" max="17" width="11.26953125" customWidth="1"/>
  </cols>
  <sheetData>
    <row r="1" spans="1:18" x14ac:dyDescent="0.35">
      <c r="A1" s="60" t="s">
        <v>11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8" ht="24" thickBot="1" x14ac:dyDescent="0.6">
      <c r="A2" s="58" t="s">
        <v>161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8" ht="15" thickBot="1" x14ac:dyDescent="0.4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7" t="s">
        <v>10</v>
      </c>
      <c r="L3" s="4"/>
      <c r="O3" s="4"/>
    </row>
    <row r="4" spans="1:18" ht="15" thickBot="1" x14ac:dyDescent="0.4">
      <c r="A4" s="7" t="s">
        <v>55</v>
      </c>
      <c r="B4" s="5" t="s">
        <v>47</v>
      </c>
      <c r="C4" s="5">
        <v>2.7143999999999999</v>
      </c>
      <c r="D4" s="5">
        <f>6.5*4-References!B5</f>
        <v>22</v>
      </c>
      <c r="E4" s="5">
        <v>25</v>
      </c>
      <c r="F4" s="5">
        <v>-0.55000000000000004</v>
      </c>
      <c r="G4" s="5">
        <v>0.65</v>
      </c>
      <c r="H4" s="5">
        <v>22.5</v>
      </c>
      <c r="I4" s="5">
        <f>(References!T$4)-(References!T$3/2)</f>
        <v>30.45</v>
      </c>
      <c r="J4" s="5">
        <f>(E4+F4)*G4+(25-H4)+(I4-29)</f>
        <v>19.842499999999998</v>
      </c>
      <c r="K4" s="14">
        <f>C4*D4*E4</f>
        <v>1492.92</v>
      </c>
    </row>
    <row r="5" spans="1:18" ht="15" thickBot="1" x14ac:dyDescent="0.4">
      <c r="A5" s="7" t="s">
        <v>55</v>
      </c>
      <c r="B5" s="5" t="s">
        <v>48</v>
      </c>
      <c r="C5" s="5">
        <v>2.7143999999999999</v>
      </c>
      <c r="D5" s="5">
        <f>6*4-8</f>
        <v>16</v>
      </c>
      <c r="E5" s="5">
        <v>13</v>
      </c>
      <c r="F5" s="5">
        <v>2.2200000000000002</v>
      </c>
      <c r="G5" s="5">
        <v>0.65</v>
      </c>
      <c r="H5" s="5">
        <v>22.5</v>
      </c>
      <c r="I5" s="5">
        <f>(References!T$4)-(References!T$3/2)</f>
        <v>30.45</v>
      </c>
      <c r="J5" s="5">
        <f t="shared" ref="J5:J37" si="0">(E5+F5)*G5+(25-H5)+(I5-29)</f>
        <v>13.843</v>
      </c>
      <c r="K5" s="14">
        <f t="shared" ref="K5:K37" si="1">C5*D5*E5</f>
        <v>564.59519999999998</v>
      </c>
    </row>
    <row r="6" spans="1:18" ht="15" thickBot="1" x14ac:dyDescent="0.4">
      <c r="A6" s="8" t="s">
        <v>56</v>
      </c>
      <c r="B6" s="5" t="s">
        <v>48</v>
      </c>
      <c r="C6" s="5">
        <v>2.7143999999999999</v>
      </c>
      <c r="D6" s="5">
        <f>1.75*4-(References!B7)</f>
        <v>5.8</v>
      </c>
      <c r="E6" s="5">
        <v>13</v>
      </c>
      <c r="F6" s="5">
        <v>2.2200000000000002</v>
      </c>
      <c r="G6" s="5">
        <v>0.65</v>
      </c>
      <c r="H6" s="5">
        <v>22.5</v>
      </c>
      <c r="I6" s="5">
        <f>(References!T$4)-(References!T$3/2)</f>
        <v>30.45</v>
      </c>
      <c r="J6" s="5">
        <f t="shared" si="0"/>
        <v>13.843</v>
      </c>
      <c r="K6" s="14">
        <f t="shared" si="1"/>
        <v>204.66575999999998</v>
      </c>
      <c r="Q6" s="2"/>
      <c r="R6" s="4"/>
    </row>
    <row r="7" spans="1:18" ht="15" thickBot="1" x14ac:dyDescent="0.4">
      <c r="A7" s="8" t="s">
        <v>57</v>
      </c>
      <c r="B7" s="5" t="s">
        <v>48</v>
      </c>
      <c r="C7" s="5">
        <v>2.7143999999999999</v>
      </c>
      <c r="D7" s="5">
        <f>1.35*4-(References!B8)</f>
        <v>5.04</v>
      </c>
      <c r="E7" s="5">
        <v>13</v>
      </c>
      <c r="F7" s="5">
        <v>2.2200000000000002</v>
      </c>
      <c r="G7" s="5">
        <v>0.65</v>
      </c>
      <c r="H7" s="5">
        <v>24</v>
      </c>
      <c r="I7" s="5">
        <f>(References!T$4)-(References!T$3/2)</f>
        <v>30.45</v>
      </c>
      <c r="J7" s="5">
        <f t="shared" si="0"/>
        <v>12.343</v>
      </c>
      <c r="K7" s="14">
        <f t="shared" si="1"/>
        <v>177.847488</v>
      </c>
      <c r="Q7" s="2"/>
      <c r="R7" s="2"/>
    </row>
    <row r="8" spans="1:18" ht="15" thickBot="1" x14ac:dyDescent="0.4">
      <c r="A8" s="7" t="s">
        <v>58</v>
      </c>
      <c r="B8" s="5" t="s">
        <v>48</v>
      </c>
      <c r="C8" s="5">
        <v>2.7143999999999999</v>
      </c>
      <c r="D8" s="5">
        <f>3*4-(References!B9)</f>
        <v>11.28</v>
      </c>
      <c r="E8" s="5">
        <v>13</v>
      </c>
      <c r="F8" s="5">
        <v>2.2200000000000002</v>
      </c>
      <c r="G8" s="5">
        <v>0.65</v>
      </c>
      <c r="H8" s="5">
        <v>24</v>
      </c>
      <c r="I8" s="5">
        <f>(References!T$4)-(References!T$3/2)</f>
        <v>30.45</v>
      </c>
      <c r="J8" s="5">
        <f t="shared" si="0"/>
        <v>12.343</v>
      </c>
      <c r="K8" s="14">
        <f t="shared" si="1"/>
        <v>398.03961599999997</v>
      </c>
    </row>
    <row r="9" spans="1:18" ht="15" thickBot="1" x14ac:dyDescent="0.4">
      <c r="A9" s="7" t="s">
        <v>59</v>
      </c>
      <c r="B9" s="5" t="s">
        <v>48</v>
      </c>
      <c r="C9" s="5">
        <v>2.7143999999999999</v>
      </c>
      <c r="D9" s="5">
        <f>3*4-(References!B10)</f>
        <v>11.28</v>
      </c>
      <c r="E9" s="5">
        <v>13</v>
      </c>
      <c r="F9" s="5">
        <v>2.2200000000000002</v>
      </c>
      <c r="G9" s="5">
        <v>0.65</v>
      </c>
      <c r="H9" s="5">
        <v>24</v>
      </c>
      <c r="I9" s="5">
        <f>(References!T$4)-(References!T$3/2)</f>
        <v>30.45</v>
      </c>
      <c r="J9" s="5">
        <f t="shared" si="0"/>
        <v>12.343</v>
      </c>
      <c r="K9" s="14">
        <f t="shared" si="1"/>
        <v>398.03961599999997</v>
      </c>
    </row>
    <row r="10" spans="1:18" ht="15" thickBot="1" x14ac:dyDescent="0.4">
      <c r="A10" s="9" t="s">
        <v>27</v>
      </c>
      <c r="B10" s="5" t="s">
        <v>48</v>
      </c>
      <c r="C10" s="5">
        <v>2.7143999999999999</v>
      </c>
      <c r="D10" s="5">
        <f>3.8*4-(References!B11)</f>
        <v>13.6</v>
      </c>
      <c r="E10" s="5">
        <v>13</v>
      </c>
      <c r="F10" s="5">
        <v>2.2200000000000002</v>
      </c>
      <c r="G10" s="5">
        <v>0.65</v>
      </c>
      <c r="H10" s="5">
        <v>22</v>
      </c>
      <c r="I10" s="5">
        <f>(References!T$4)-(References!T$3/2)</f>
        <v>30.45</v>
      </c>
      <c r="J10" s="5">
        <f t="shared" si="0"/>
        <v>14.343</v>
      </c>
      <c r="K10" s="14">
        <f t="shared" si="1"/>
        <v>479.90591999999992</v>
      </c>
    </row>
    <row r="11" spans="1:18" ht="15" thickBot="1" x14ac:dyDescent="0.4">
      <c r="A11" s="7" t="s">
        <v>28</v>
      </c>
      <c r="B11" s="5" t="s">
        <v>48</v>
      </c>
      <c r="C11" s="5">
        <v>2.7143999999999999</v>
      </c>
      <c r="D11" s="5">
        <f>6*4-(References!B12)</f>
        <v>19.600000000000001</v>
      </c>
      <c r="E11" s="5">
        <v>13</v>
      </c>
      <c r="F11" s="5">
        <v>2.2200000000000002</v>
      </c>
      <c r="G11" s="5">
        <v>0.65</v>
      </c>
      <c r="H11" s="5">
        <v>22.5</v>
      </c>
      <c r="I11" s="5">
        <f>(References!T$4)-(References!T$3/2)</f>
        <v>30.45</v>
      </c>
      <c r="J11" s="5">
        <f t="shared" si="0"/>
        <v>13.843</v>
      </c>
      <c r="K11" s="14">
        <f t="shared" si="1"/>
        <v>691.62912000000006</v>
      </c>
    </row>
    <row r="12" spans="1:18" ht="15" thickBot="1" x14ac:dyDescent="0.4">
      <c r="A12" s="7" t="s">
        <v>28</v>
      </c>
      <c r="B12" s="5" t="s">
        <v>49</v>
      </c>
      <c r="C12" s="5">
        <v>2.7143999999999999</v>
      </c>
      <c r="D12" s="5">
        <f>7.4*4</f>
        <v>29.6</v>
      </c>
      <c r="E12" s="5">
        <v>33</v>
      </c>
      <c r="F12" s="5">
        <v>-0.55000000000000004</v>
      </c>
      <c r="G12" s="5">
        <v>0.65</v>
      </c>
      <c r="H12" s="5">
        <v>22.5</v>
      </c>
      <c r="I12" s="5">
        <f>(References!T$4)-(References!T$3/2)</f>
        <v>30.45</v>
      </c>
      <c r="J12" s="5">
        <f t="shared" si="0"/>
        <v>25.0425</v>
      </c>
      <c r="K12" s="14">
        <f t="shared" si="1"/>
        <v>2651.4259199999997</v>
      </c>
    </row>
    <row r="13" spans="1:18" ht="15" thickBot="1" x14ac:dyDescent="0.4">
      <c r="A13" s="10" t="s">
        <v>26</v>
      </c>
      <c r="B13" s="5" t="s">
        <v>48</v>
      </c>
      <c r="C13" s="5">
        <v>2.7143999999999999</v>
      </c>
      <c r="D13" s="5">
        <f>2.2*4-References!B14</f>
        <v>8.08</v>
      </c>
      <c r="E13" s="5">
        <v>13</v>
      </c>
      <c r="F13" s="5">
        <v>2.2200000000000002</v>
      </c>
      <c r="G13" s="5">
        <v>0.65</v>
      </c>
      <c r="H13" s="5">
        <v>24</v>
      </c>
      <c r="I13" s="5">
        <f>(References!T$4)-(References!T$3/2)</f>
        <v>30.45</v>
      </c>
      <c r="J13" s="5">
        <f t="shared" si="0"/>
        <v>12.343</v>
      </c>
      <c r="K13" s="14">
        <f t="shared" si="1"/>
        <v>285.12057599999997</v>
      </c>
    </row>
    <row r="14" spans="1:18" ht="15" thickBot="1" x14ac:dyDescent="0.4">
      <c r="A14" s="9" t="s">
        <v>41</v>
      </c>
      <c r="B14" s="5" t="s">
        <v>47</v>
      </c>
      <c r="C14" s="5">
        <v>2.7143999999999999</v>
      </c>
      <c r="D14" s="5">
        <f>6*4-(References!B15)</f>
        <v>22.4</v>
      </c>
      <c r="E14" s="5">
        <v>25</v>
      </c>
      <c r="F14" s="5">
        <v>-0.55000000000000004</v>
      </c>
      <c r="G14" s="5">
        <v>0.65</v>
      </c>
      <c r="H14" s="5">
        <v>22.5</v>
      </c>
      <c r="I14" s="5">
        <f>(References!T$4)-(References!T$3/2)</f>
        <v>30.45</v>
      </c>
      <c r="J14" s="5">
        <f t="shared" si="0"/>
        <v>19.842499999999998</v>
      </c>
      <c r="K14" s="14">
        <f t="shared" si="1"/>
        <v>1520.0639999999999</v>
      </c>
    </row>
    <row r="15" spans="1:18" ht="15" thickBot="1" x14ac:dyDescent="0.4">
      <c r="A15" s="11" t="s">
        <v>40</v>
      </c>
      <c r="B15" s="5" t="s">
        <v>49</v>
      </c>
      <c r="C15" s="5">
        <v>2.7143999999999999</v>
      </c>
      <c r="D15" s="5">
        <f>(8.25*4)-(References!B16)-(2*2.5*1)</f>
        <v>23.6</v>
      </c>
      <c r="E15" s="5">
        <v>33</v>
      </c>
      <c r="F15" s="5">
        <v>-0.55000000000000004</v>
      </c>
      <c r="G15" s="5">
        <v>0.65</v>
      </c>
      <c r="H15" s="5">
        <v>22.5</v>
      </c>
      <c r="I15" s="5">
        <f>(References!T$4)-(References!T$3/2)</f>
        <v>30.45</v>
      </c>
      <c r="J15" s="5">
        <f t="shared" si="0"/>
        <v>25.0425</v>
      </c>
      <c r="K15" s="14">
        <f t="shared" si="1"/>
        <v>2113.9747200000002</v>
      </c>
    </row>
    <row r="16" spans="1:18" ht="15" thickBot="1" x14ac:dyDescent="0.4">
      <c r="A16" s="12" t="s">
        <v>29</v>
      </c>
      <c r="B16" s="5" t="s">
        <v>49</v>
      </c>
      <c r="C16" s="5">
        <v>2.7143999999999999</v>
      </c>
      <c r="D16" s="5">
        <f>15.75*4-(References!B17)-(2*2.5*1)</f>
        <v>49.85</v>
      </c>
      <c r="E16" s="5">
        <v>33</v>
      </c>
      <c r="F16" s="5">
        <v>-0.55000000000000004</v>
      </c>
      <c r="G16" s="5">
        <v>0.65</v>
      </c>
      <c r="H16" s="5">
        <v>22.5</v>
      </c>
      <c r="I16" s="5">
        <f>(References!T$4)-(References!T$3/2)</f>
        <v>30.45</v>
      </c>
      <c r="J16" s="5">
        <f t="shared" si="0"/>
        <v>25.0425</v>
      </c>
      <c r="K16" s="14">
        <f t="shared" si="1"/>
        <v>4465.3237199999994</v>
      </c>
    </row>
    <row r="17" spans="1:11" ht="15" thickBot="1" x14ac:dyDescent="0.4">
      <c r="A17" s="9" t="s">
        <v>39</v>
      </c>
      <c r="B17" s="5" t="s">
        <v>47</v>
      </c>
      <c r="C17" s="5">
        <v>2.7143999999999999</v>
      </c>
      <c r="D17" s="5">
        <f>6*4-References!B18</f>
        <v>21.6</v>
      </c>
      <c r="E17" s="5">
        <v>25</v>
      </c>
      <c r="F17" s="5">
        <v>-0.55000000000000004</v>
      </c>
      <c r="G17" s="5">
        <v>0.65</v>
      </c>
      <c r="H17" s="5">
        <v>22.5</v>
      </c>
      <c r="I17" s="5">
        <f>(References!T$4)-(References!T$3/2)</f>
        <v>30.45</v>
      </c>
      <c r="J17" s="5">
        <f t="shared" si="0"/>
        <v>19.842499999999998</v>
      </c>
      <c r="K17" s="14">
        <f t="shared" si="1"/>
        <v>1465.7760000000001</v>
      </c>
    </row>
    <row r="18" spans="1:11" ht="15" thickBot="1" x14ac:dyDescent="0.4">
      <c r="A18" s="12" t="s">
        <v>30</v>
      </c>
      <c r="B18" s="5" t="s">
        <v>47</v>
      </c>
      <c r="C18" s="5">
        <v>2.7143999999999999</v>
      </c>
      <c r="D18" s="5">
        <f>1.62*4-References!B19</f>
        <v>6.12</v>
      </c>
      <c r="E18" s="5">
        <v>25</v>
      </c>
      <c r="F18" s="5">
        <v>-0.55000000000000004</v>
      </c>
      <c r="G18" s="5">
        <v>0.65</v>
      </c>
      <c r="H18" s="5">
        <v>24</v>
      </c>
      <c r="I18" s="5">
        <f>(References!T$4)-(References!T$3/2)</f>
        <v>30.45</v>
      </c>
      <c r="J18" s="5">
        <f t="shared" si="0"/>
        <v>18.342499999999998</v>
      </c>
      <c r="K18" s="14">
        <f t="shared" si="1"/>
        <v>415.30319999999995</v>
      </c>
    </row>
    <row r="19" spans="1:11" ht="15" thickBot="1" x14ac:dyDescent="0.4">
      <c r="A19" s="9" t="s">
        <v>38</v>
      </c>
      <c r="B19" s="5" t="s">
        <v>47</v>
      </c>
      <c r="C19" s="5">
        <v>2.7143999999999999</v>
      </c>
      <c r="D19" s="5">
        <f>1.6*4-(References!B20)</f>
        <v>6.04</v>
      </c>
      <c r="E19" s="5">
        <v>25</v>
      </c>
      <c r="F19" s="5">
        <v>-0.55000000000000004</v>
      </c>
      <c r="G19" s="5">
        <v>0.65</v>
      </c>
      <c r="H19" s="5">
        <v>24</v>
      </c>
      <c r="I19" s="5">
        <f>(References!T$4)-(References!T$3/2)</f>
        <v>30.45</v>
      </c>
      <c r="J19" s="5">
        <f t="shared" si="0"/>
        <v>18.342499999999998</v>
      </c>
      <c r="K19" s="14">
        <f t="shared" si="1"/>
        <v>409.87439999999998</v>
      </c>
    </row>
    <row r="20" spans="1:11" ht="15" thickBot="1" x14ac:dyDescent="0.4">
      <c r="A20" s="9" t="s">
        <v>37</v>
      </c>
      <c r="B20" s="5" t="s">
        <v>47</v>
      </c>
      <c r="C20" s="5">
        <v>2.7143999999999999</v>
      </c>
      <c r="D20" s="5">
        <f>3*4-References!B21</f>
        <v>10</v>
      </c>
      <c r="E20" s="5">
        <v>25</v>
      </c>
      <c r="F20" s="5">
        <v>-0.55000000000000004</v>
      </c>
      <c r="G20" s="5">
        <v>0.65</v>
      </c>
      <c r="H20" s="5">
        <v>22.5</v>
      </c>
      <c r="I20" s="5">
        <f>(References!T$4)-(References!T$3/2)</f>
        <v>30.45</v>
      </c>
      <c r="J20" s="5">
        <f t="shared" si="0"/>
        <v>19.842499999999998</v>
      </c>
      <c r="K20" s="14">
        <f>C20*D20*E20</f>
        <v>678.59999999999991</v>
      </c>
    </row>
    <row r="21" spans="1:11" ht="15" thickBot="1" x14ac:dyDescent="0.4">
      <c r="A21" s="9" t="s">
        <v>36</v>
      </c>
      <c r="B21" s="6" t="s">
        <v>48</v>
      </c>
      <c r="C21" s="5">
        <v>2.7143999999999999</v>
      </c>
      <c r="D21" s="5">
        <f>1.4*4-(0.6*0.6)</f>
        <v>5.2399999999999993</v>
      </c>
      <c r="E21" s="5">
        <v>13</v>
      </c>
      <c r="F21" s="5">
        <v>2.2200000000000002</v>
      </c>
      <c r="G21" s="5">
        <v>0.65</v>
      </c>
      <c r="H21" s="5">
        <v>22.5</v>
      </c>
      <c r="I21" s="5">
        <f>(References!T$4)-(References!T$3/2)</f>
        <v>30.45</v>
      </c>
      <c r="J21" s="5">
        <f>(E21+F21)*G21+(25-H21)+(I21-29)</f>
        <v>13.843</v>
      </c>
      <c r="K21" s="14">
        <f>C21*D21*E21</f>
        <v>184.90492799999996</v>
      </c>
    </row>
    <row r="22" spans="1:11" ht="15" thickBot="1" x14ac:dyDescent="0.4">
      <c r="A22" s="9" t="s">
        <v>36</v>
      </c>
      <c r="B22" s="5" t="s">
        <v>49</v>
      </c>
      <c r="C22" s="5">
        <v>2.7143999999999999</v>
      </c>
      <c r="D22" s="5">
        <f>6*4-References!B22</f>
        <v>19.2</v>
      </c>
      <c r="E22" s="5">
        <v>33</v>
      </c>
      <c r="F22" s="5">
        <v>-0.55000000000000004</v>
      </c>
      <c r="G22" s="5">
        <v>0.65</v>
      </c>
      <c r="H22" s="5">
        <v>22.5</v>
      </c>
      <c r="I22" s="5">
        <f>(References!T$4)-(References!T$3/2)</f>
        <v>30.45</v>
      </c>
      <c r="J22" s="5">
        <f t="shared" si="0"/>
        <v>25.0425</v>
      </c>
      <c r="K22" s="14">
        <f t="shared" si="1"/>
        <v>1719.8438399999998</v>
      </c>
    </row>
    <row r="23" spans="1:11" ht="15" thickBot="1" x14ac:dyDescent="0.4">
      <c r="A23" s="9" t="s">
        <v>107</v>
      </c>
      <c r="B23" s="6" t="s">
        <v>48</v>
      </c>
      <c r="C23" s="5">
        <v>2.7143999999999999</v>
      </c>
      <c r="D23" s="5">
        <f>1.6*4</f>
        <v>6.4</v>
      </c>
      <c r="E23" s="5">
        <v>13</v>
      </c>
      <c r="F23" s="5">
        <v>2.2200000000000002</v>
      </c>
      <c r="G23" s="5">
        <v>0.65</v>
      </c>
      <c r="H23" s="5">
        <v>24</v>
      </c>
      <c r="I23" s="5">
        <f>(References!T$4)-(References!T$3/2)</f>
        <v>30.45</v>
      </c>
      <c r="J23" s="5">
        <f>(E23+F23)*G23+(25-H23)+(I23-29)</f>
        <v>12.343</v>
      </c>
      <c r="K23" s="14">
        <f>C23*D23*E23</f>
        <v>225.83808000000002</v>
      </c>
    </row>
    <row r="24" spans="1:11" ht="15" thickBot="1" x14ac:dyDescent="0.4">
      <c r="A24" s="9" t="s">
        <v>107</v>
      </c>
      <c r="B24" s="5" t="s">
        <v>49</v>
      </c>
      <c r="C24" s="5">
        <v>2.7143999999999999</v>
      </c>
      <c r="D24" s="5">
        <f>1.85*4-References!B23</f>
        <v>7.04</v>
      </c>
      <c r="E24" s="5">
        <v>33</v>
      </c>
      <c r="F24" s="5">
        <v>-0.55000000000000004</v>
      </c>
      <c r="G24" s="5">
        <v>0.65</v>
      </c>
      <c r="H24" s="5">
        <v>24</v>
      </c>
      <c r="I24" s="5">
        <f>(References!T$4)-(References!T$3/2)</f>
        <v>30.45</v>
      </c>
      <c r="J24" s="5">
        <f t="shared" si="0"/>
        <v>23.5425</v>
      </c>
      <c r="K24" s="14">
        <f t="shared" si="1"/>
        <v>630.60940800000003</v>
      </c>
    </row>
    <row r="25" spans="1:11" ht="15" thickBot="1" x14ac:dyDescent="0.4">
      <c r="A25" s="9" t="s">
        <v>35</v>
      </c>
      <c r="B25" s="5" t="s">
        <v>50</v>
      </c>
      <c r="C25" s="5">
        <v>2.7143999999999999</v>
      </c>
      <c r="D25" s="5">
        <f>(2.73*4)-(1.8)+(1.3*4)-(1.8)</f>
        <v>12.52</v>
      </c>
      <c r="E25" s="5">
        <v>22</v>
      </c>
      <c r="F25" s="5">
        <v>-3.88</v>
      </c>
      <c r="G25" s="5">
        <v>0.65</v>
      </c>
      <c r="H25" s="6">
        <v>24</v>
      </c>
      <c r="I25" s="5">
        <f>(References!T$4)-(References!T$3/2)</f>
        <v>30.45</v>
      </c>
      <c r="J25" s="5">
        <f t="shared" si="0"/>
        <v>14.228</v>
      </c>
      <c r="K25" s="14">
        <f t="shared" si="1"/>
        <v>747.65433599999994</v>
      </c>
    </row>
    <row r="26" spans="1:11" ht="15" thickBot="1" x14ac:dyDescent="0.4">
      <c r="A26" s="9" t="s">
        <v>35</v>
      </c>
      <c r="B26" s="6" t="s">
        <v>47</v>
      </c>
      <c r="C26" s="5">
        <v>2.7143999999999999</v>
      </c>
      <c r="D26" s="5">
        <f>6*4-References!B25</f>
        <v>19.8</v>
      </c>
      <c r="E26" s="5">
        <v>25</v>
      </c>
      <c r="F26" s="5">
        <v>-0.55000000000000004</v>
      </c>
      <c r="G26" s="5">
        <v>0.65</v>
      </c>
      <c r="H26" s="6">
        <v>24</v>
      </c>
      <c r="I26" s="5">
        <f>(References!T$4)-(References!T$3/2)</f>
        <v>30.45</v>
      </c>
      <c r="J26" s="5">
        <f t="shared" si="0"/>
        <v>18.342499999999998</v>
      </c>
      <c r="K26" s="14">
        <f t="shared" si="1"/>
        <v>1343.6279999999999</v>
      </c>
    </row>
    <row r="27" spans="1:11" ht="15" thickBot="1" x14ac:dyDescent="0.4">
      <c r="A27" s="9" t="s">
        <v>34</v>
      </c>
      <c r="B27" s="6" t="s">
        <v>50</v>
      </c>
      <c r="C27" s="5">
        <v>2.7143999999999999</v>
      </c>
      <c r="D27" s="5">
        <f>3.6*4-References!B26</f>
        <v>11.600000000000001</v>
      </c>
      <c r="E27" s="5">
        <v>22</v>
      </c>
      <c r="F27" s="5">
        <v>-3.88</v>
      </c>
      <c r="G27" s="5">
        <v>0.65</v>
      </c>
      <c r="H27" s="6">
        <v>22.5</v>
      </c>
      <c r="I27" s="5">
        <f>(References!T$4)-(References!T$3/2)</f>
        <v>30.45</v>
      </c>
      <c r="J27" s="5">
        <f t="shared" si="0"/>
        <v>15.728</v>
      </c>
      <c r="K27" s="14">
        <f t="shared" si="1"/>
        <v>692.71488000000011</v>
      </c>
    </row>
    <row r="28" spans="1:11" ht="15" thickBot="1" x14ac:dyDescent="0.4">
      <c r="A28" s="9" t="s">
        <v>52</v>
      </c>
      <c r="B28" s="6" t="s">
        <v>50</v>
      </c>
      <c r="C28" s="5">
        <v>2.7143999999999999</v>
      </c>
      <c r="D28" s="5">
        <f>1.4*4</f>
        <v>5.6</v>
      </c>
      <c r="E28" s="5">
        <v>22</v>
      </c>
      <c r="F28" s="5">
        <v>-3.88</v>
      </c>
      <c r="G28" s="5">
        <v>0.65</v>
      </c>
      <c r="H28" s="6">
        <v>24</v>
      </c>
      <c r="I28" s="5">
        <f>(References!T$4)-(References!T$3/2)</f>
        <v>30.45</v>
      </c>
      <c r="J28" s="5">
        <f t="shared" ref="J28" si="2">(E28+F28)*G28+(25-H28)+(I28-29)</f>
        <v>14.228</v>
      </c>
      <c r="K28" s="14">
        <f t="shared" si="1"/>
        <v>334.41407999999996</v>
      </c>
    </row>
    <row r="29" spans="1:11" ht="15" thickBot="1" x14ac:dyDescent="0.4">
      <c r="A29" s="9" t="s">
        <v>33</v>
      </c>
      <c r="B29" s="6" t="s">
        <v>50</v>
      </c>
      <c r="C29" s="5">
        <v>2.7143999999999999</v>
      </c>
      <c r="D29" s="5">
        <f>7.13*4-References!B28</f>
        <v>26.12</v>
      </c>
      <c r="E29" s="5">
        <v>22</v>
      </c>
      <c r="F29" s="5">
        <v>-3.88</v>
      </c>
      <c r="G29" s="5">
        <v>0.65</v>
      </c>
      <c r="H29" s="5">
        <v>22.5</v>
      </c>
      <c r="I29" s="5">
        <f>(References!T$4)-(References!T$3/2)</f>
        <v>30.45</v>
      </c>
      <c r="J29" s="5">
        <f t="shared" si="0"/>
        <v>15.728</v>
      </c>
      <c r="K29" s="14">
        <f t="shared" si="1"/>
        <v>1559.8028159999999</v>
      </c>
    </row>
    <row r="30" spans="1:11" ht="15" thickBot="1" x14ac:dyDescent="0.4">
      <c r="A30" s="9" t="s">
        <v>32</v>
      </c>
      <c r="B30" s="6" t="s">
        <v>49</v>
      </c>
      <c r="C30" s="5">
        <v>2.7143999999999999</v>
      </c>
      <c r="D30" s="5">
        <f>2.75*4-(0.6*0.6)</f>
        <v>10.64</v>
      </c>
      <c r="E30" s="5">
        <v>33</v>
      </c>
      <c r="F30" s="5">
        <v>-0.55000000000000004</v>
      </c>
      <c r="G30" s="5">
        <v>0.65</v>
      </c>
      <c r="H30" s="5">
        <v>22.5</v>
      </c>
      <c r="I30" s="5">
        <f>(References!T$4)-(References!T$3/2)</f>
        <v>30.45</v>
      </c>
      <c r="J30" s="5">
        <f t="shared" si="0"/>
        <v>25.0425</v>
      </c>
      <c r="K30" s="14">
        <f t="shared" si="1"/>
        <v>953.08012800000006</v>
      </c>
    </row>
    <row r="31" spans="1:11" ht="15" thickBot="1" x14ac:dyDescent="0.4">
      <c r="A31" s="9" t="s">
        <v>32</v>
      </c>
      <c r="B31" s="6" t="s">
        <v>50</v>
      </c>
      <c r="C31" s="5">
        <v>2.7143999999999999</v>
      </c>
      <c r="D31" s="5">
        <f>5.4*4-References!B30</f>
        <v>19.400000000000002</v>
      </c>
      <c r="E31" s="5">
        <v>22</v>
      </c>
      <c r="F31" s="5">
        <v>-3.88</v>
      </c>
      <c r="G31" s="5">
        <v>0.65</v>
      </c>
      <c r="H31" s="5">
        <v>22.5</v>
      </c>
      <c r="I31" s="5">
        <f>(References!T$4)-(References!T$3/2)</f>
        <v>30.45</v>
      </c>
      <c r="J31" s="5">
        <f>(E31+F31)*G31+(25-H31)+(I31-29)</f>
        <v>15.728</v>
      </c>
      <c r="K31" s="14">
        <f t="shared" si="1"/>
        <v>1158.5059200000001</v>
      </c>
    </row>
    <row r="32" spans="1:11" ht="15" thickBot="1" x14ac:dyDescent="0.4">
      <c r="A32" s="10" t="s">
        <v>26</v>
      </c>
      <c r="B32" s="6" t="s">
        <v>49</v>
      </c>
      <c r="C32" s="5">
        <v>2.7143999999999999</v>
      </c>
      <c r="D32" s="5">
        <f>1.6*4</f>
        <v>6.4</v>
      </c>
      <c r="E32" s="5">
        <v>33</v>
      </c>
      <c r="F32" s="5">
        <v>-0.55000000000000004</v>
      </c>
      <c r="G32" s="5">
        <v>0.65</v>
      </c>
      <c r="H32" s="5">
        <v>24</v>
      </c>
      <c r="I32" s="5">
        <f>(References!T$4)-(References!T$3/2)</f>
        <v>30.45</v>
      </c>
      <c r="J32" s="5">
        <f t="shared" ref="J32" si="3">(E32+F32)*G32+(25-H32)+(I32-29)</f>
        <v>23.5425</v>
      </c>
      <c r="K32" s="14">
        <f t="shared" si="1"/>
        <v>573.28128000000004</v>
      </c>
    </row>
    <row r="33" spans="1:14" ht="15" thickBot="1" x14ac:dyDescent="0.4">
      <c r="A33" s="13" t="s">
        <v>26</v>
      </c>
      <c r="B33" s="6" t="s">
        <v>50</v>
      </c>
      <c r="C33" s="5">
        <v>2.7143999999999999</v>
      </c>
      <c r="D33" s="5">
        <f>1.8*4-References!B32</f>
        <v>6.84</v>
      </c>
      <c r="E33" s="5">
        <v>22</v>
      </c>
      <c r="F33" s="5">
        <v>-3.88</v>
      </c>
      <c r="G33" s="5">
        <v>0.65</v>
      </c>
      <c r="H33" s="5">
        <v>24</v>
      </c>
      <c r="I33" s="5">
        <f>(References!T$4)-(References!T$3/2)</f>
        <v>30.45</v>
      </c>
      <c r="J33" s="5">
        <f t="shared" si="0"/>
        <v>14.228</v>
      </c>
      <c r="K33" s="14">
        <f t="shared" si="1"/>
        <v>408.46291200000002</v>
      </c>
    </row>
    <row r="34" spans="1:14" ht="15" thickBot="1" x14ac:dyDescent="0.4">
      <c r="A34" s="9" t="s">
        <v>31</v>
      </c>
      <c r="B34" s="6" t="s">
        <v>49</v>
      </c>
      <c r="C34" s="5">
        <v>2.7143999999999999</v>
      </c>
      <c r="D34" s="5">
        <f>12*4-(1.4*3)-(1*2.3*2)</f>
        <v>39.199999999999996</v>
      </c>
      <c r="E34" s="5">
        <v>33</v>
      </c>
      <c r="F34" s="5">
        <v>-0.55000000000000004</v>
      </c>
      <c r="G34" s="5">
        <v>0.65</v>
      </c>
      <c r="H34" s="5">
        <v>24</v>
      </c>
      <c r="I34" s="5">
        <f>(References!T$4)-(References!T$3/2)</f>
        <v>30.45</v>
      </c>
      <c r="J34" s="5">
        <f t="shared" si="0"/>
        <v>23.5425</v>
      </c>
      <c r="K34" s="14">
        <f t="shared" si="1"/>
        <v>3511.3478399999999</v>
      </c>
    </row>
    <row r="35" spans="1:14" ht="15" thickBot="1" x14ac:dyDescent="0.4">
      <c r="A35" s="9" t="s">
        <v>31</v>
      </c>
      <c r="B35" s="6" t="s">
        <v>47</v>
      </c>
      <c r="C35" s="5">
        <v>2.7143999999999999</v>
      </c>
      <c r="D35" s="5">
        <f>12*4-1.4-1.8</f>
        <v>44.800000000000004</v>
      </c>
      <c r="E35" s="5">
        <v>25</v>
      </c>
      <c r="F35" s="5">
        <v>-0.55000000000000004</v>
      </c>
      <c r="G35" s="5">
        <v>0.65</v>
      </c>
      <c r="H35" s="5">
        <v>24</v>
      </c>
      <c r="I35" s="5">
        <f>(References!T$4)-(References!T$3/2)</f>
        <v>30.45</v>
      </c>
      <c r="J35" s="5">
        <f t="shared" si="0"/>
        <v>18.342499999999998</v>
      </c>
      <c r="K35" s="14">
        <f t="shared" si="1"/>
        <v>3040.1280000000002</v>
      </c>
    </row>
    <row r="36" spans="1:14" ht="15" thickBot="1" x14ac:dyDescent="0.4">
      <c r="A36" s="9" t="s">
        <v>31</v>
      </c>
      <c r="B36" s="6" t="s">
        <v>50</v>
      </c>
      <c r="C36" s="5">
        <v>2.7143999999999999</v>
      </c>
      <c r="D36" s="5">
        <f>14.8*4-(1.4*6)</f>
        <v>50.800000000000004</v>
      </c>
      <c r="E36" s="5">
        <v>22</v>
      </c>
      <c r="F36" s="5">
        <v>-3.88</v>
      </c>
      <c r="G36" s="5">
        <v>0.65</v>
      </c>
      <c r="H36" s="5">
        <v>24</v>
      </c>
      <c r="I36" s="5">
        <f>(References!T$4)-(References!T$3/2)</f>
        <v>30.45</v>
      </c>
      <c r="J36" s="5">
        <f t="shared" si="0"/>
        <v>14.228</v>
      </c>
      <c r="K36" s="14">
        <f t="shared" si="1"/>
        <v>3033.6134400000001</v>
      </c>
    </row>
    <row r="37" spans="1:14" ht="15" thickBot="1" x14ac:dyDescent="0.4">
      <c r="A37" s="18" t="s">
        <v>51</v>
      </c>
      <c r="B37" s="19" t="s">
        <v>47</v>
      </c>
      <c r="C37" s="20">
        <v>2.7143999999999999</v>
      </c>
      <c r="D37" s="20">
        <f>3*4-(1.73)</f>
        <v>10.27</v>
      </c>
      <c r="E37" s="20">
        <v>25</v>
      </c>
      <c r="F37" s="20">
        <v>-0.55000000000000004</v>
      </c>
      <c r="G37" s="20">
        <v>0.65</v>
      </c>
      <c r="H37" s="20">
        <v>24</v>
      </c>
      <c r="I37" s="20">
        <f>(References!T$4)-(References!T$3/2)</f>
        <v>30.45</v>
      </c>
      <c r="J37" s="20">
        <f t="shared" si="0"/>
        <v>18.342499999999998</v>
      </c>
      <c r="K37" s="21">
        <f t="shared" si="1"/>
        <v>696.92219999999998</v>
      </c>
    </row>
    <row r="38" spans="1:14" ht="15.5" thickTop="1" thickBot="1" x14ac:dyDescent="0.4">
      <c r="J38" s="44" t="s">
        <v>43</v>
      </c>
      <c r="K38" s="44">
        <f>SUM(K4:K37)</f>
        <v>39227.857343999996</v>
      </c>
    </row>
    <row r="39" spans="1:14" ht="15" thickTop="1" x14ac:dyDescent="0.35"/>
    <row r="40" spans="1:14" ht="24" thickBot="1" x14ac:dyDescent="0.6">
      <c r="A40" s="58" t="s">
        <v>42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</row>
    <row r="41" spans="1:14" ht="15" thickBot="1" x14ac:dyDescent="0.4">
      <c r="A41" s="15" t="s">
        <v>0</v>
      </c>
      <c r="B41" s="16" t="s">
        <v>1</v>
      </c>
      <c r="C41" s="16" t="s">
        <v>2</v>
      </c>
      <c r="D41" s="16" t="s">
        <v>3</v>
      </c>
      <c r="E41" s="16" t="s">
        <v>4</v>
      </c>
      <c r="F41" s="16" t="s">
        <v>5</v>
      </c>
      <c r="G41" s="16" t="s">
        <v>6</v>
      </c>
      <c r="H41" s="16" t="s">
        <v>7</v>
      </c>
      <c r="I41" s="16" t="s">
        <v>8</v>
      </c>
      <c r="J41" s="16" t="s">
        <v>9</v>
      </c>
      <c r="K41" s="17" t="s">
        <v>10</v>
      </c>
      <c r="L41" s="4"/>
      <c r="M41" s="4"/>
      <c r="N41" s="4"/>
    </row>
    <row r="42" spans="1:14" ht="15" thickBot="1" x14ac:dyDescent="0.4">
      <c r="A42" s="8" t="s">
        <v>84</v>
      </c>
      <c r="B42" s="5" t="s">
        <v>47</v>
      </c>
      <c r="C42" s="5">
        <v>2.7143999999999999</v>
      </c>
      <c r="D42" s="5">
        <v>26</v>
      </c>
      <c r="E42" s="5">
        <v>25</v>
      </c>
      <c r="F42" s="5">
        <v>-0.55000000000000004</v>
      </c>
      <c r="G42" s="5">
        <v>0.65</v>
      </c>
      <c r="H42" s="5">
        <v>22.5</v>
      </c>
      <c r="I42" s="5">
        <v>30.45</v>
      </c>
      <c r="J42" s="5">
        <f>(E42+F42)*G42+(25-H42)+(I42-29)</f>
        <v>19.842499999999998</v>
      </c>
      <c r="K42" s="14">
        <f>C42*D42*J42</f>
        <v>1400.3725319999999</v>
      </c>
    </row>
    <row r="43" spans="1:14" ht="15" thickBot="1" x14ac:dyDescent="0.4">
      <c r="A43" s="8" t="s">
        <v>85</v>
      </c>
      <c r="B43" s="5" t="s">
        <v>48</v>
      </c>
      <c r="C43" s="5">
        <v>2.7143999999999999</v>
      </c>
      <c r="D43" s="5">
        <v>19.38</v>
      </c>
      <c r="E43" s="5">
        <v>13</v>
      </c>
      <c r="F43" s="5">
        <v>2.2200000000000002</v>
      </c>
      <c r="G43" s="5">
        <v>0.65</v>
      </c>
      <c r="H43" s="5">
        <v>22.5</v>
      </c>
      <c r="I43" s="5">
        <v>30.45</v>
      </c>
      <c r="J43" s="5">
        <f t="shared" ref="J43:J84" si="4">(E43+F43)*G43+(25-H43)+(I43-29)</f>
        <v>13.843</v>
      </c>
      <c r="K43" s="14">
        <f t="shared" ref="K43:K84" si="5">C43*D43*J43</f>
        <v>728.21201169599988</v>
      </c>
    </row>
    <row r="44" spans="1:14" ht="15" thickBot="1" x14ac:dyDescent="0.4">
      <c r="A44" s="7" t="s">
        <v>145</v>
      </c>
      <c r="B44" s="5" t="s">
        <v>48</v>
      </c>
      <c r="C44" s="5">
        <v>2.7143999999999999</v>
      </c>
      <c r="D44" s="5">
        <v>19.38</v>
      </c>
      <c r="E44" s="5">
        <v>13</v>
      </c>
      <c r="F44" s="5">
        <v>2.2200000000000002</v>
      </c>
      <c r="G44" s="5">
        <v>0.65</v>
      </c>
      <c r="H44" s="5">
        <v>22.5</v>
      </c>
      <c r="I44" s="5">
        <v>30.45</v>
      </c>
      <c r="J44" s="5">
        <f t="shared" si="4"/>
        <v>13.843</v>
      </c>
      <c r="K44" s="14">
        <f t="shared" si="5"/>
        <v>728.21201169599988</v>
      </c>
    </row>
    <row r="45" spans="1:14" ht="15" thickBot="1" x14ac:dyDescent="0.4">
      <c r="A45" s="8" t="s">
        <v>63</v>
      </c>
      <c r="B45" s="5" t="s">
        <v>48</v>
      </c>
      <c r="C45" s="5">
        <v>2.7143999999999999</v>
      </c>
      <c r="D45" s="5">
        <v>43.2</v>
      </c>
      <c r="E45" s="5">
        <v>13</v>
      </c>
      <c r="F45" s="5">
        <v>2.2200000000000002</v>
      </c>
      <c r="G45" s="5">
        <v>0.65</v>
      </c>
      <c r="H45" s="5">
        <v>22.5</v>
      </c>
      <c r="I45" s="5">
        <v>30.45</v>
      </c>
      <c r="J45" s="5">
        <f t="shared" si="4"/>
        <v>13.843</v>
      </c>
      <c r="K45" s="14">
        <f t="shared" si="5"/>
        <v>1623.2589734399999</v>
      </c>
    </row>
    <row r="46" spans="1:14" ht="15" thickBot="1" x14ac:dyDescent="0.4">
      <c r="A46" s="8" t="s">
        <v>64</v>
      </c>
      <c r="B46" s="5" t="s">
        <v>49</v>
      </c>
      <c r="C46" s="5">
        <v>2.7143999999999999</v>
      </c>
      <c r="D46" s="5">
        <v>41.2</v>
      </c>
      <c r="E46" s="5">
        <v>33</v>
      </c>
      <c r="F46" s="5">
        <v>-0.55000000000000004</v>
      </c>
      <c r="G46" s="5">
        <v>0.65</v>
      </c>
      <c r="H46" s="5">
        <v>22.5</v>
      </c>
      <c r="I46" s="5">
        <v>30.45</v>
      </c>
      <c r="J46" s="5">
        <f t="shared" si="4"/>
        <v>25.0425</v>
      </c>
      <c r="K46" s="14">
        <f t="shared" si="5"/>
        <v>2800.5849143999999</v>
      </c>
    </row>
    <row r="47" spans="1:14" ht="15" thickBot="1" x14ac:dyDescent="0.4">
      <c r="A47" s="7" t="s">
        <v>146</v>
      </c>
      <c r="B47" s="5" t="s">
        <v>48</v>
      </c>
      <c r="C47" s="5">
        <v>2.7143999999999999</v>
      </c>
      <c r="D47" s="5">
        <v>19.38</v>
      </c>
      <c r="E47" s="5">
        <v>13</v>
      </c>
      <c r="F47" s="5">
        <v>2.2200000000000002</v>
      </c>
      <c r="G47" s="5">
        <v>0.65</v>
      </c>
      <c r="H47" s="5">
        <v>22.5</v>
      </c>
      <c r="I47" s="5">
        <v>30.45</v>
      </c>
      <c r="J47" s="5">
        <f t="shared" si="4"/>
        <v>13.843</v>
      </c>
      <c r="K47" s="14">
        <f t="shared" si="5"/>
        <v>728.21201169599988</v>
      </c>
    </row>
    <row r="48" spans="1:14" ht="15" thickBot="1" x14ac:dyDescent="0.4">
      <c r="A48" s="7" t="s">
        <v>148</v>
      </c>
      <c r="B48" s="5" t="s">
        <v>48</v>
      </c>
      <c r="C48" s="5">
        <v>2.7143999999999999</v>
      </c>
      <c r="D48" s="5">
        <v>19.38</v>
      </c>
      <c r="E48" s="5">
        <v>13</v>
      </c>
      <c r="F48" s="5">
        <v>2.2200000000000002</v>
      </c>
      <c r="G48" s="5">
        <v>0.65</v>
      </c>
      <c r="H48" s="5">
        <v>22.5</v>
      </c>
      <c r="I48" s="5">
        <v>30.45</v>
      </c>
      <c r="J48" s="5">
        <f t="shared" si="4"/>
        <v>13.843</v>
      </c>
      <c r="K48" s="14">
        <f t="shared" si="5"/>
        <v>728.21201169599988</v>
      </c>
    </row>
    <row r="49" spans="1:13" ht="15" thickBot="1" x14ac:dyDescent="0.4">
      <c r="A49" s="7" t="s">
        <v>147</v>
      </c>
      <c r="B49" s="5" t="s">
        <v>49</v>
      </c>
      <c r="C49" s="5">
        <v>2.7143999999999999</v>
      </c>
      <c r="D49" s="5">
        <v>26</v>
      </c>
      <c r="E49" s="5">
        <v>33</v>
      </c>
      <c r="F49" s="5">
        <v>-0.55000000000000004</v>
      </c>
      <c r="G49" s="5">
        <v>0.65</v>
      </c>
      <c r="H49" s="5">
        <v>22.5</v>
      </c>
      <c r="I49" s="5">
        <v>30.45</v>
      </c>
      <c r="J49" s="5">
        <f t="shared" si="4"/>
        <v>25.0425</v>
      </c>
      <c r="K49" s="14">
        <f t="shared" si="5"/>
        <v>1767.359412</v>
      </c>
    </row>
    <row r="50" spans="1:13" ht="15" thickBot="1" x14ac:dyDescent="0.4">
      <c r="A50" s="7" t="s">
        <v>127</v>
      </c>
      <c r="B50" s="5" t="s">
        <v>49</v>
      </c>
      <c r="C50" s="5">
        <v>2.7143999999999999</v>
      </c>
      <c r="D50" s="5">
        <v>9.6999999999999993</v>
      </c>
      <c r="E50" s="5">
        <v>33</v>
      </c>
      <c r="F50" s="5">
        <v>-0.55000000000000004</v>
      </c>
      <c r="G50" s="5">
        <v>0.65</v>
      </c>
      <c r="H50" s="5">
        <v>22.5</v>
      </c>
      <c r="I50" s="5">
        <v>30.45</v>
      </c>
      <c r="J50" s="5">
        <f t="shared" si="4"/>
        <v>25.0425</v>
      </c>
      <c r="K50" s="14">
        <f t="shared" si="5"/>
        <v>659.36101139999994</v>
      </c>
    </row>
    <row r="51" spans="1:13" ht="15" thickBot="1" x14ac:dyDescent="0.4">
      <c r="A51" s="8" t="s">
        <v>149</v>
      </c>
      <c r="B51" s="5" t="s">
        <v>49</v>
      </c>
      <c r="C51" s="5">
        <v>2.7143999999999999</v>
      </c>
      <c r="D51" s="5">
        <v>12.28</v>
      </c>
      <c r="E51" s="5">
        <v>33</v>
      </c>
      <c r="F51" s="5">
        <v>-0.55000000000000004</v>
      </c>
      <c r="G51" s="5">
        <v>0.65</v>
      </c>
      <c r="H51" s="5">
        <v>22.5</v>
      </c>
      <c r="I51" s="5">
        <v>30.45</v>
      </c>
      <c r="J51" s="5">
        <f t="shared" si="4"/>
        <v>25.0425</v>
      </c>
      <c r="K51" s="14">
        <f t="shared" si="5"/>
        <v>834.73744535999992</v>
      </c>
    </row>
    <row r="52" spans="1:13" ht="15" thickBot="1" x14ac:dyDescent="0.4">
      <c r="A52" s="8" t="s">
        <v>150</v>
      </c>
      <c r="B52" s="5" t="s">
        <v>50</v>
      </c>
      <c r="C52" s="5">
        <v>2.7143999999999999</v>
      </c>
      <c r="D52" s="5">
        <v>10.48</v>
      </c>
      <c r="E52" s="5">
        <v>22</v>
      </c>
      <c r="F52" s="5">
        <v>-3.88</v>
      </c>
      <c r="G52" s="5">
        <v>0.65</v>
      </c>
      <c r="H52" s="5">
        <v>22.5</v>
      </c>
      <c r="I52" s="5">
        <v>30.45</v>
      </c>
      <c r="J52" s="5">
        <f t="shared" si="4"/>
        <v>15.728</v>
      </c>
      <c r="K52" s="14">
        <f t="shared" si="5"/>
        <v>447.41303193600004</v>
      </c>
    </row>
    <row r="53" spans="1:13" ht="15" thickBot="1" x14ac:dyDescent="0.4">
      <c r="A53" s="8" t="s">
        <v>151</v>
      </c>
      <c r="B53" s="5" t="s">
        <v>49</v>
      </c>
      <c r="C53" s="5">
        <v>2.7143999999999999</v>
      </c>
      <c r="D53" s="5">
        <v>7.48</v>
      </c>
      <c r="E53" s="5">
        <v>33</v>
      </c>
      <c r="F53" s="5">
        <v>-0.55000000000000004</v>
      </c>
      <c r="G53" s="5">
        <v>0.65</v>
      </c>
      <c r="H53" s="5">
        <v>24</v>
      </c>
      <c r="I53" s="5">
        <v>30.45</v>
      </c>
      <c r="J53" s="5">
        <f t="shared" si="4"/>
        <v>23.5425</v>
      </c>
      <c r="K53" s="14">
        <f t="shared" si="5"/>
        <v>478.00013976000002</v>
      </c>
    </row>
    <row r="54" spans="1:13" ht="15" thickBot="1" x14ac:dyDescent="0.4">
      <c r="A54" s="7" t="s">
        <v>71</v>
      </c>
      <c r="B54" s="5" t="s">
        <v>49</v>
      </c>
      <c r="C54" s="5">
        <v>2.7143999999999999</v>
      </c>
      <c r="D54" s="5">
        <v>9</v>
      </c>
      <c r="E54" s="5">
        <v>33</v>
      </c>
      <c r="F54" s="5">
        <v>-0.55000000000000004</v>
      </c>
      <c r="G54" s="5">
        <v>0.65</v>
      </c>
      <c r="H54" s="5">
        <v>22.5</v>
      </c>
      <c r="I54" s="5">
        <v>30.45</v>
      </c>
      <c r="J54" s="5">
        <f t="shared" si="4"/>
        <v>25.0425</v>
      </c>
      <c r="K54" s="14">
        <f t="shared" si="5"/>
        <v>611.77825800000005</v>
      </c>
    </row>
    <row r="55" spans="1:13" ht="15" thickBot="1" x14ac:dyDescent="0.4">
      <c r="A55" s="7" t="s">
        <v>71</v>
      </c>
      <c r="B55" s="5" t="s">
        <v>49</v>
      </c>
      <c r="C55" s="5">
        <v>2.7143999999999999</v>
      </c>
      <c r="D55" s="5">
        <v>9</v>
      </c>
      <c r="E55" s="5">
        <v>33</v>
      </c>
      <c r="F55" s="5">
        <v>-0.55000000000000004</v>
      </c>
      <c r="G55" s="5">
        <v>0.65</v>
      </c>
      <c r="H55" s="5">
        <v>22.5</v>
      </c>
      <c r="I55" s="5">
        <v>30.45</v>
      </c>
      <c r="J55" s="5">
        <f t="shared" si="4"/>
        <v>25.0425</v>
      </c>
      <c r="K55" s="14">
        <f t="shared" si="5"/>
        <v>611.77825800000005</v>
      </c>
    </row>
    <row r="56" spans="1:13" ht="15" thickBot="1" x14ac:dyDescent="0.4">
      <c r="A56" s="7" t="s">
        <v>71</v>
      </c>
      <c r="B56" s="5" t="s">
        <v>49</v>
      </c>
      <c r="C56" s="5">
        <v>2.7143999999999999</v>
      </c>
      <c r="D56" s="5">
        <v>9</v>
      </c>
      <c r="E56" s="5">
        <v>33</v>
      </c>
      <c r="F56" s="5">
        <v>-0.55000000000000004</v>
      </c>
      <c r="G56" s="5">
        <v>0.65</v>
      </c>
      <c r="H56" s="5">
        <v>22.5</v>
      </c>
      <c r="I56" s="5">
        <v>30.45</v>
      </c>
      <c r="J56" s="5">
        <f t="shared" si="4"/>
        <v>25.0425</v>
      </c>
      <c r="K56" s="14">
        <f t="shared" si="5"/>
        <v>611.77825800000005</v>
      </c>
    </row>
    <row r="57" spans="1:13" ht="15" thickBot="1" x14ac:dyDescent="0.4">
      <c r="A57" s="7" t="s">
        <v>71</v>
      </c>
      <c r="B57" s="5" t="s">
        <v>49</v>
      </c>
      <c r="C57" s="5">
        <v>2.7143999999999999</v>
      </c>
      <c r="D57" s="5">
        <v>9</v>
      </c>
      <c r="E57" s="5">
        <v>33</v>
      </c>
      <c r="F57" s="5">
        <v>-0.55000000000000004</v>
      </c>
      <c r="G57" s="5">
        <v>0.65</v>
      </c>
      <c r="H57" s="5">
        <v>22.5</v>
      </c>
      <c r="I57" s="5">
        <v>30.45</v>
      </c>
      <c r="J57" s="5">
        <f t="shared" si="4"/>
        <v>25.0425</v>
      </c>
      <c r="K57" s="14">
        <f t="shared" si="5"/>
        <v>611.77825800000005</v>
      </c>
    </row>
    <row r="58" spans="1:13" ht="15" thickBot="1" x14ac:dyDescent="0.4">
      <c r="A58" s="7" t="s">
        <v>128</v>
      </c>
      <c r="B58" s="5" t="s">
        <v>49</v>
      </c>
      <c r="C58" s="5">
        <v>2.7143999999999999</v>
      </c>
      <c r="D58" s="5">
        <v>13.05</v>
      </c>
      <c r="E58" s="5">
        <v>33</v>
      </c>
      <c r="F58" s="5">
        <v>-0.55000000000000004</v>
      </c>
      <c r="G58" s="5">
        <v>0.65</v>
      </c>
      <c r="H58" s="5">
        <v>24</v>
      </c>
      <c r="I58" s="5">
        <v>30.45</v>
      </c>
      <c r="J58" s="5">
        <f t="shared" si="4"/>
        <v>23.5425</v>
      </c>
      <c r="K58" s="14">
        <f t="shared" si="5"/>
        <v>833.94409409999992</v>
      </c>
    </row>
    <row r="59" spans="1:13" ht="15" thickBot="1" x14ac:dyDescent="0.4">
      <c r="A59" s="7" t="s">
        <v>152</v>
      </c>
      <c r="B59" s="5" t="s">
        <v>48</v>
      </c>
      <c r="C59" s="5">
        <v>2.7143999999999999</v>
      </c>
      <c r="D59" s="5">
        <v>12</v>
      </c>
      <c r="E59" s="5">
        <v>13</v>
      </c>
      <c r="F59" s="5">
        <v>2.2200000000000002</v>
      </c>
      <c r="G59" s="5">
        <v>0.65</v>
      </c>
      <c r="H59" s="5">
        <v>24</v>
      </c>
      <c r="I59" s="5">
        <v>30.45</v>
      </c>
      <c r="J59" s="5">
        <f t="shared" si="4"/>
        <v>12.343</v>
      </c>
      <c r="K59" s="14">
        <f t="shared" si="5"/>
        <v>402.04607040000002</v>
      </c>
      <c r="M59" s="3"/>
    </row>
    <row r="60" spans="1:13" ht="15" thickBot="1" x14ac:dyDescent="0.4">
      <c r="A60" s="7" t="s">
        <v>153</v>
      </c>
      <c r="B60" s="5" t="s">
        <v>49</v>
      </c>
      <c r="C60" s="5">
        <v>2.7143999999999999</v>
      </c>
      <c r="D60" s="5">
        <v>10.58</v>
      </c>
      <c r="E60" s="5">
        <v>33</v>
      </c>
      <c r="F60" s="5">
        <v>-0.55000000000000004</v>
      </c>
      <c r="G60" s="5">
        <v>0.65</v>
      </c>
      <c r="H60" s="5">
        <v>24</v>
      </c>
      <c r="I60" s="5">
        <v>30.45</v>
      </c>
      <c r="J60" s="5">
        <f t="shared" si="4"/>
        <v>23.5425</v>
      </c>
      <c r="K60" s="14">
        <f t="shared" si="5"/>
        <v>676.10180195999999</v>
      </c>
      <c r="M60" s="3"/>
    </row>
    <row r="61" spans="1:13" ht="15" thickBot="1" x14ac:dyDescent="0.4">
      <c r="A61" s="8" t="s">
        <v>155</v>
      </c>
      <c r="B61" s="5" t="s">
        <v>49</v>
      </c>
      <c r="C61" s="5">
        <v>2.7143999999999999</v>
      </c>
      <c r="D61" s="5">
        <v>30.4</v>
      </c>
      <c r="E61" s="5">
        <v>33</v>
      </c>
      <c r="F61" s="5">
        <v>-0.55000000000000004</v>
      </c>
      <c r="G61" s="5">
        <v>0.65</v>
      </c>
      <c r="H61" s="5">
        <v>22.5</v>
      </c>
      <c r="I61" s="5">
        <v>30.45</v>
      </c>
      <c r="J61" s="5">
        <f t="shared" si="4"/>
        <v>25.0425</v>
      </c>
      <c r="K61" s="14">
        <f t="shared" si="5"/>
        <v>2066.4510047999997</v>
      </c>
    </row>
    <row r="62" spans="1:13" ht="15" thickBot="1" x14ac:dyDescent="0.4">
      <c r="A62" s="8" t="s">
        <v>154</v>
      </c>
      <c r="B62" s="5" t="s">
        <v>50</v>
      </c>
      <c r="C62" s="5">
        <v>2.7143999999999999</v>
      </c>
      <c r="D62" s="5">
        <v>21.6</v>
      </c>
      <c r="E62" s="5">
        <v>22</v>
      </c>
      <c r="F62" s="5">
        <v>-3.88</v>
      </c>
      <c r="G62" s="5">
        <v>0.65</v>
      </c>
      <c r="H62" s="5">
        <v>22.5</v>
      </c>
      <c r="I62" s="5">
        <v>30.45</v>
      </c>
      <c r="J62" s="5">
        <f t="shared" si="4"/>
        <v>15.728</v>
      </c>
      <c r="K62" s="14">
        <f t="shared" si="5"/>
        <v>922.14899711999999</v>
      </c>
    </row>
    <row r="63" spans="1:13" ht="15" thickBot="1" x14ac:dyDescent="0.4">
      <c r="A63" s="8" t="s">
        <v>156</v>
      </c>
      <c r="B63" s="5" t="s">
        <v>50</v>
      </c>
      <c r="C63" s="5">
        <v>2.7143999999999999</v>
      </c>
      <c r="D63" s="5">
        <v>4.4400000000000004</v>
      </c>
      <c r="E63" s="5">
        <v>22</v>
      </c>
      <c r="F63" s="5">
        <v>-3.88</v>
      </c>
      <c r="G63" s="5">
        <v>0.65</v>
      </c>
      <c r="H63" s="5">
        <v>24</v>
      </c>
      <c r="I63" s="5">
        <v>30.45</v>
      </c>
      <c r="J63" s="5">
        <f t="shared" si="4"/>
        <v>14.228</v>
      </c>
      <c r="K63" s="14">
        <f t="shared" si="5"/>
        <v>171.47494540800002</v>
      </c>
    </row>
    <row r="64" spans="1:13" ht="15" thickBot="1" x14ac:dyDescent="0.4">
      <c r="A64" s="7" t="s">
        <v>131</v>
      </c>
      <c r="B64" s="5" t="s">
        <v>50</v>
      </c>
      <c r="C64" s="5">
        <v>2.7143999999999999</v>
      </c>
      <c r="D64" s="5">
        <v>19.2</v>
      </c>
      <c r="E64" s="5">
        <v>22</v>
      </c>
      <c r="F64" s="5">
        <v>-3.88</v>
      </c>
      <c r="G64" s="5">
        <v>0.65</v>
      </c>
      <c r="H64" s="5">
        <v>22.5</v>
      </c>
      <c r="I64" s="5">
        <v>30.45</v>
      </c>
      <c r="J64" s="5">
        <f t="shared" si="4"/>
        <v>15.728</v>
      </c>
      <c r="K64" s="14">
        <f t="shared" si="5"/>
        <v>819.68799743999989</v>
      </c>
    </row>
    <row r="65" spans="1:13" ht="15" thickBot="1" x14ac:dyDescent="0.4">
      <c r="A65" s="7" t="s">
        <v>132</v>
      </c>
      <c r="B65" s="5" t="s">
        <v>50</v>
      </c>
      <c r="C65" s="5">
        <v>2.7143999999999999</v>
      </c>
      <c r="D65" s="5">
        <v>21.2</v>
      </c>
      <c r="E65" s="5">
        <v>22</v>
      </c>
      <c r="F65" s="5">
        <v>-3.88</v>
      </c>
      <c r="G65" s="5">
        <v>0.65</v>
      </c>
      <c r="H65" s="5">
        <v>22.5</v>
      </c>
      <c r="I65" s="5">
        <v>30.45</v>
      </c>
      <c r="J65" s="5">
        <f t="shared" si="4"/>
        <v>15.728</v>
      </c>
      <c r="K65" s="14">
        <f t="shared" si="5"/>
        <v>905.07216383999992</v>
      </c>
      <c r="M65" s="3"/>
    </row>
    <row r="66" spans="1:13" ht="15" thickBot="1" x14ac:dyDescent="0.4">
      <c r="A66" s="7" t="s">
        <v>133</v>
      </c>
      <c r="B66" s="5" t="s">
        <v>50</v>
      </c>
      <c r="C66" s="5">
        <v>2.7143999999999999</v>
      </c>
      <c r="D66" s="5">
        <v>5.04</v>
      </c>
      <c r="E66" s="5">
        <v>22</v>
      </c>
      <c r="F66" s="5">
        <v>-3.88</v>
      </c>
      <c r="G66" s="5">
        <v>0.65</v>
      </c>
      <c r="H66" s="5">
        <v>22.5</v>
      </c>
      <c r="I66" s="5">
        <v>30.45</v>
      </c>
      <c r="J66" s="5">
        <f t="shared" si="4"/>
        <v>15.728</v>
      </c>
      <c r="K66" s="14">
        <f t="shared" si="5"/>
        <v>215.16809932800001</v>
      </c>
    </row>
    <row r="67" spans="1:13" ht="15" thickBot="1" x14ac:dyDescent="0.4">
      <c r="A67" s="7" t="s">
        <v>134</v>
      </c>
      <c r="B67" s="5" t="s">
        <v>50</v>
      </c>
      <c r="C67" s="5">
        <v>2.7143999999999999</v>
      </c>
      <c r="D67" s="5">
        <v>5.04</v>
      </c>
      <c r="E67" s="5">
        <v>22</v>
      </c>
      <c r="F67" s="5">
        <v>-3.88</v>
      </c>
      <c r="G67" s="5">
        <v>0.65</v>
      </c>
      <c r="H67" s="5">
        <v>22.5</v>
      </c>
      <c r="I67" s="5">
        <v>30.45</v>
      </c>
      <c r="J67" s="5">
        <f t="shared" si="4"/>
        <v>15.728</v>
      </c>
      <c r="K67" s="14">
        <f t="shared" si="5"/>
        <v>215.16809932800001</v>
      </c>
    </row>
    <row r="68" spans="1:13" ht="15" thickBot="1" x14ac:dyDescent="0.4">
      <c r="A68" s="7" t="s">
        <v>135</v>
      </c>
      <c r="B68" s="5" t="s">
        <v>50</v>
      </c>
      <c r="C68" s="5">
        <v>2.7143999999999999</v>
      </c>
      <c r="D68" s="5">
        <v>5.04</v>
      </c>
      <c r="E68" s="5">
        <v>22</v>
      </c>
      <c r="F68" s="5">
        <v>-3.88</v>
      </c>
      <c r="G68" s="5">
        <v>0.65</v>
      </c>
      <c r="H68" s="5">
        <v>22.5</v>
      </c>
      <c r="I68" s="5">
        <v>30.45</v>
      </c>
      <c r="J68" s="5">
        <f t="shared" si="4"/>
        <v>15.728</v>
      </c>
      <c r="K68" s="14">
        <f t="shared" si="5"/>
        <v>215.16809932800001</v>
      </c>
    </row>
    <row r="69" spans="1:13" ht="15" thickBot="1" x14ac:dyDescent="0.4">
      <c r="A69" s="7" t="s">
        <v>136</v>
      </c>
      <c r="B69" s="5" t="s">
        <v>50</v>
      </c>
      <c r="C69" s="5">
        <v>2.7143999999999999</v>
      </c>
      <c r="D69" s="5">
        <v>9.8000000000000007</v>
      </c>
      <c r="E69" s="5">
        <v>22</v>
      </c>
      <c r="F69" s="5">
        <v>-3.88</v>
      </c>
      <c r="G69" s="5">
        <v>0.65</v>
      </c>
      <c r="H69" s="5">
        <v>24</v>
      </c>
      <c r="I69" s="5">
        <v>30.45</v>
      </c>
      <c r="J69" s="5">
        <f t="shared" si="4"/>
        <v>14.228</v>
      </c>
      <c r="K69" s="14">
        <f t="shared" si="5"/>
        <v>378.48073536000004</v>
      </c>
    </row>
    <row r="70" spans="1:13" ht="15" thickBot="1" x14ac:dyDescent="0.4">
      <c r="A70" s="7" t="s">
        <v>137</v>
      </c>
      <c r="B70" s="5" t="s">
        <v>50</v>
      </c>
      <c r="C70" s="5">
        <v>2.7143999999999999</v>
      </c>
      <c r="D70" s="5">
        <v>8.8000000000000007</v>
      </c>
      <c r="E70" s="5">
        <v>22</v>
      </c>
      <c r="F70" s="5">
        <v>-3.88</v>
      </c>
      <c r="G70" s="5">
        <v>0.65</v>
      </c>
      <c r="H70" s="5">
        <v>24</v>
      </c>
      <c r="I70" s="5">
        <v>30.45</v>
      </c>
      <c r="J70" s="5">
        <f t="shared" si="4"/>
        <v>14.228</v>
      </c>
      <c r="K70" s="14">
        <f t="shared" si="5"/>
        <v>339.86025216000002</v>
      </c>
    </row>
    <row r="71" spans="1:13" ht="15" thickBot="1" x14ac:dyDescent="0.4">
      <c r="A71" s="7" t="s">
        <v>138</v>
      </c>
      <c r="B71" s="5" t="s">
        <v>50</v>
      </c>
      <c r="C71" s="5">
        <v>2.7143999999999999</v>
      </c>
      <c r="D71" s="5">
        <v>10.4</v>
      </c>
      <c r="E71" s="5">
        <v>22</v>
      </c>
      <c r="F71" s="5">
        <v>-3.88</v>
      </c>
      <c r="G71" s="5">
        <v>0.65</v>
      </c>
      <c r="H71" s="5">
        <v>24</v>
      </c>
      <c r="I71" s="5">
        <v>30.45</v>
      </c>
      <c r="J71" s="5">
        <f t="shared" si="4"/>
        <v>14.228</v>
      </c>
      <c r="K71" s="14">
        <f t="shared" si="5"/>
        <v>401.65302527999995</v>
      </c>
    </row>
    <row r="72" spans="1:13" ht="15" thickBot="1" x14ac:dyDescent="0.4">
      <c r="A72" s="7" t="s">
        <v>139</v>
      </c>
      <c r="B72" s="5" t="s">
        <v>50</v>
      </c>
      <c r="C72" s="5">
        <v>2.7143999999999999</v>
      </c>
      <c r="D72" s="5">
        <v>10.4</v>
      </c>
      <c r="E72" s="5">
        <v>22</v>
      </c>
      <c r="F72" s="5">
        <v>-3.88</v>
      </c>
      <c r="G72" s="5">
        <v>0.65</v>
      </c>
      <c r="H72" s="5">
        <v>22.5</v>
      </c>
      <c r="I72" s="5">
        <v>30.45</v>
      </c>
      <c r="J72" s="5">
        <f t="shared" si="4"/>
        <v>15.728</v>
      </c>
      <c r="K72" s="14">
        <f t="shared" si="5"/>
        <v>443.99766527999998</v>
      </c>
    </row>
    <row r="73" spans="1:13" ht="15" thickBot="1" x14ac:dyDescent="0.4">
      <c r="A73" s="8" t="s">
        <v>157</v>
      </c>
      <c r="B73" s="5" t="s">
        <v>50</v>
      </c>
      <c r="C73" s="5">
        <v>2.7143999999999999</v>
      </c>
      <c r="D73" s="5">
        <v>6</v>
      </c>
      <c r="E73" s="5">
        <v>22</v>
      </c>
      <c r="F73" s="5">
        <v>-3.88</v>
      </c>
      <c r="G73" s="5">
        <v>0.65</v>
      </c>
      <c r="H73" s="5">
        <v>22</v>
      </c>
      <c r="I73" s="5">
        <v>30.45</v>
      </c>
      <c r="J73" s="5">
        <f t="shared" si="4"/>
        <v>16.228000000000002</v>
      </c>
      <c r="K73" s="14">
        <f t="shared" si="5"/>
        <v>264.29569920000006</v>
      </c>
    </row>
    <row r="74" spans="1:13" ht="15" thickBot="1" x14ac:dyDescent="0.4">
      <c r="A74" s="8" t="s">
        <v>158</v>
      </c>
      <c r="B74" s="5" t="s">
        <v>47</v>
      </c>
      <c r="C74" s="5">
        <v>2.7143999999999999</v>
      </c>
      <c r="D74" s="5">
        <v>6</v>
      </c>
      <c r="E74" s="5">
        <v>25</v>
      </c>
      <c r="F74" s="5">
        <v>-0.55000000000000004</v>
      </c>
      <c r="G74" s="5">
        <v>0.65</v>
      </c>
      <c r="H74" s="5">
        <v>22</v>
      </c>
      <c r="I74" s="5">
        <v>30.45</v>
      </c>
      <c r="J74" s="5">
        <f t="shared" si="4"/>
        <v>20.342499999999998</v>
      </c>
      <c r="K74" s="14">
        <f t="shared" si="5"/>
        <v>331.30609199999998</v>
      </c>
    </row>
    <row r="75" spans="1:13" ht="15" thickBot="1" x14ac:dyDescent="0.4">
      <c r="A75" s="34" t="s">
        <v>66</v>
      </c>
      <c r="B75" s="5" t="s">
        <v>47</v>
      </c>
      <c r="C75" s="5">
        <v>2.7143999999999999</v>
      </c>
      <c r="D75" s="5">
        <v>8.6</v>
      </c>
      <c r="E75" s="5">
        <v>25</v>
      </c>
      <c r="F75" s="5">
        <v>-0.55000000000000004</v>
      </c>
      <c r="G75" s="5">
        <v>0.65</v>
      </c>
      <c r="H75" s="5">
        <v>22.5</v>
      </c>
      <c r="I75" s="5">
        <v>30.45</v>
      </c>
      <c r="J75" s="5">
        <f t="shared" si="4"/>
        <v>19.842499999999998</v>
      </c>
      <c r="K75" s="14">
        <f t="shared" si="5"/>
        <v>463.20014519999995</v>
      </c>
      <c r="M75" s="3"/>
    </row>
    <row r="76" spans="1:13" ht="15" thickBot="1" x14ac:dyDescent="0.4">
      <c r="A76" s="8" t="s">
        <v>160</v>
      </c>
      <c r="B76" s="5" t="s">
        <v>47</v>
      </c>
      <c r="C76" s="5">
        <v>2.7143999999999999</v>
      </c>
      <c r="D76" s="5">
        <v>24</v>
      </c>
      <c r="E76" s="5">
        <v>25</v>
      </c>
      <c r="F76" s="5">
        <v>-0.55000000000000004</v>
      </c>
      <c r="G76" s="5">
        <v>0.65</v>
      </c>
      <c r="H76" s="5">
        <v>22</v>
      </c>
      <c r="I76" s="5">
        <v>30.45</v>
      </c>
      <c r="J76" s="5">
        <f t="shared" si="4"/>
        <v>20.342499999999998</v>
      </c>
      <c r="K76" s="14">
        <f t="shared" si="5"/>
        <v>1325.2243679999999</v>
      </c>
    </row>
    <row r="77" spans="1:13" ht="15" thickBot="1" x14ac:dyDescent="0.4">
      <c r="A77" s="8" t="s">
        <v>159</v>
      </c>
      <c r="B77" s="5" t="s">
        <v>48</v>
      </c>
      <c r="C77" s="5">
        <v>2.7143999999999999</v>
      </c>
      <c r="D77" s="5">
        <v>9.4</v>
      </c>
      <c r="E77" s="5">
        <v>13</v>
      </c>
      <c r="F77" s="5">
        <v>2.2200000000000002</v>
      </c>
      <c r="G77" s="5">
        <v>0.65</v>
      </c>
      <c r="H77" s="5">
        <v>22.5</v>
      </c>
      <c r="I77" s="5">
        <v>30.45</v>
      </c>
      <c r="J77" s="5">
        <f t="shared" si="4"/>
        <v>13.843</v>
      </c>
      <c r="K77" s="14">
        <f t="shared" si="5"/>
        <v>353.20912848</v>
      </c>
    </row>
    <row r="78" spans="1:13" ht="15" thickBot="1" x14ac:dyDescent="0.4">
      <c r="A78" s="7" t="s">
        <v>141</v>
      </c>
      <c r="B78" s="5" t="s">
        <v>47</v>
      </c>
      <c r="C78" s="5">
        <v>2.7143999999999999</v>
      </c>
      <c r="D78" s="5">
        <v>12.9</v>
      </c>
      <c r="E78" s="5">
        <v>25</v>
      </c>
      <c r="F78" s="5">
        <v>-0.55000000000000004</v>
      </c>
      <c r="G78" s="5">
        <v>0.65</v>
      </c>
      <c r="H78" s="5">
        <v>22.5</v>
      </c>
      <c r="I78" s="5">
        <v>30.45</v>
      </c>
      <c r="J78" s="5">
        <f t="shared" si="4"/>
        <v>19.842499999999998</v>
      </c>
      <c r="K78" s="14">
        <f t="shared" si="5"/>
        <v>694.80021779999993</v>
      </c>
    </row>
    <row r="79" spans="1:13" ht="15" thickBot="1" x14ac:dyDescent="0.4">
      <c r="A79" s="7" t="s">
        <v>142</v>
      </c>
      <c r="B79" s="5" t="s">
        <v>47</v>
      </c>
      <c r="C79" s="5">
        <v>2.7143999999999999</v>
      </c>
      <c r="D79" s="5">
        <v>20.399999999999999</v>
      </c>
      <c r="E79" s="5">
        <v>25</v>
      </c>
      <c r="F79" s="5">
        <v>-0.55000000000000004</v>
      </c>
      <c r="G79" s="5">
        <v>0.65</v>
      </c>
      <c r="H79" s="5">
        <v>22.5</v>
      </c>
      <c r="I79" s="5">
        <v>30.45</v>
      </c>
      <c r="J79" s="5">
        <f t="shared" si="4"/>
        <v>19.842499999999998</v>
      </c>
      <c r="K79" s="14">
        <f t="shared" si="5"/>
        <v>1098.7538327999998</v>
      </c>
      <c r="M79" s="3"/>
    </row>
    <row r="80" spans="1:13" ht="15" thickBot="1" x14ac:dyDescent="0.4">
      <c r="A80" s="7" t="s">
        <v>143</v>
      </c>
      <c r="B80" s="5" t="s">
        <v>47</v>
      </c>
      <c r="C80" s="5">
        <v>2.7143999999999999</v>
      </c>
      <c r="D80" s="5">
        <v>8.16</v>
      </c>
      <c r="E80" s="5">
        <v>25</v>
      </c>
      <c r="F80" s="5">
        <v>-0.55000000000000004</v>
      </c>
      <c r="G80" s="5">
        <v>0.65</v>
      </c>
      <c r="H80" s="5">
        <v>22.5</v>
      </c>
      <c r="I80" s="5">
        <v>30.45</v>
      </c>
      <c r="J80" s="5">
        <f t="shared" si="4"/>
        <v>19.842499999999998</v>
      </c>
      <c r="K80" s="14">
        <f t="shared" si="5"/>
        <v>439.50153311999998</v>
      </c>
    </row>
    <row r="81" spans="1:11" ht="15" thickBot="1" x14ac:dyDescent="0.4">
      <c r="A81" s="7" t="s">
        <v>144</v>
      </c>
      <c r="B81" s="5" t="s">
        <v>47</v>
      </c>
      <c r="C81" s="5">
        <v>2.7143999999999999</v>
      </c>
      <c r="D81" s="5">
        <v>10.199999999999999</v>
      </c>
      <c r="E81" s="5">
        <v>25</v>
      </c>
      <c r="F81" s="5">
        <v>-0.55000000000000004</v>
      </c>
      <c r="G81" s="5">
        <v>0.65</v>
      </c>
      <c r="H81" s="5">
        <v>22.5</v>
      </c>
      <c r="I81" s="5">
        <v>30.45</v>
      </c>
      <c r="J81" s="5">
        <f t="shared" si="4"/>
        <v>19.842499999999998</v>
      </c>
      <c r="K81" s="14">
        <f t="shared" si="5"/>
        <v>549.37691639999991</v>
      </c>
    </row>
    <row r="82" spans="1:11" ht="15" thickBot="1" x14ac:dyDescent="0.4">
      <c r="A82" s="7" t="s">
        <v>70</v>
      </c>
      <c r="B82" s="5" t="s">
        <v>50</v>
      </c>
      <c r="C82" s="5">
        <v>2.7143999999999999</v>
      </c>
      <c r="D82" s="5">
        <v>12.28</v>
      </c>
      <c r="E82" s="5">
        <v>22</v>
      </c>
      <c r="F82" s="5">
        <v>-0.55000000000000004</v>
      </c>
      <c r="G82" s="5">
        <v>0.65</v>
      </c>
      <c r="H82" s="5">
        <v>22.5</v>
      </c>
      <c r="I82" s="5">
        <v>30.45</v>
      </c>
      <c r="J82" s="5">
        <f t="shared" si="4"/>
        <v>17.892500000000002</v>
      </c>
      <c r="K82" s="14">
        <f t="shared" si="5"/>
        <v>596.40769655999998</v>
      </c>
    </row>
    <row r="83" spans="1:11" ht="15" thickBot="1" x14ac:dyDescent="0.4">
      <c r="A83" s="7" t="s">
        <v>69</v>
      </c>
      <c r="B83" s="5" t="s">
        <v>47</v>
      </c>
      <c r="C83" s="5">
        <v>2.7143999999999999</v>
      </c>
      <c r="D83" s="5">
        <v>8.8800000000000008</v>
      </c>
      <c r="E83" s="5">
        <v>25</v>
      </c>
      <c r="F83" s="5">
        <v>-0.55000000000000004</v>
      </c>
      <c r="G83" s="5">
        <v>0.65</v>
      </c>
      <c r="H83" s="5">
        <v>22.5</v>
      </c>
      <c r="I83" s="5">
        <v>30.45</v>
      </c>
      <c r="J83" s="5">
        <f t="shared" si="4"/>
        <v>19.842499999999998</v>
      </c>
      <c r="K83" s="14">
        <f t="shared" si="5"/>
        <v>478.28108015999999</v>
      </c>
    </row>
    <row r="84" spans="1:11" ht="15" thickBot="1" x14ac:dyDescent="0.4">
      <c r="A84" s="22" t="s">
        <v>89</v>
      </c>
      <c r="B84" s="20" t="s">
        <v>47</v>
      </c>
      <c r="C84" s="20">
        <v>2.7143999999999999</v>
      </c>
      <c r="D84" s="20">
        <v>7.84</v>
      </c>
      <c r="E84" s="20">
        <v>25</v>
      </c>
      <c r="F84" s="20">
        <v>-0.55000000000000004</v>
      </c>
      <c r="G84" s="20">
        <v>0.65</v>
      </c>
      <c r="H84" s="20">
        <v>22.5</v>
      </c>
      <c r="I84" s="20">
        <v>30.45</v>
      </c>
      <c r="J84" s="20">
        <f t="shared" si="4"/>
        <v>19.842499999999998</v>
      </c>
      <c r="K84" s="21">
        <f t="shared" si="5"/>
        <v>422.26617887999993</v>
      </c>
    </row>
    <row r="85" spans="1:11" ht="15" thickBot="1" x14ac:dyDescent="0.4">
      <c r="J85" s="43" t="s">
        <v>43</v>
      </c>
      <c r="K85" s="43">
        <f>SUM(Table6[Q(W)])</f>
        <v>31394.094478812</v>
      </c>
    </row>
    <row r="86" spans="1:11" x14ac:dyDescent="0.35">
      <c r="J86" s="1"/>
      <c r="K86" s="1"/>
    </row>
    <row r="87" spans="1:11" ht="23.5" x14ac:dyDescent="0.55000000000000004">
      <c r="A87" s="59" t="s">
        <v>60</v>
      </c>
      <c r="B87" s="59"/>
      <c r="C87" s="59"/>
      <c r="D87" s="59"/>
      <c r="E87" s="59"/>
      <c r="F87" s="59"/>
      <c r="G87" s="59"/>
      <c r="H87" s="59"/>
      <c r="I87" s="59"/>
      <c r="J87" s="59"/>
      <c r="K87" s="59"/>
    </row>
    <row r="88" spans="1:11" ht="15" thickBot="1" x14ac:dyDescent="0.4">
      <c r="A88" s="30" t="s">
        <v>0</v>
      </c>
      <c r="B88" s="29" t="s">
        <v>1</v>
      </c>
      <c r="C88" s="29" t="s">
        <v>2</v>
      </c>
      <c r="D88" s="29" t="s">
        <v>3</v>
      </c>
      <c r="E88" s="29" t="s">
        <v>4</v>
      </c>
      <c r="F88" s="29" t="s">
        <v>5</v>
      </c>
      <c r="G88" s="29" t="s">
        <v>6</v>
      </c>
      <c r="H88" s="29" t="s">
        <v>7</v>
      </c>
      <c r="I88" s="29" t="s">
        <v>8</v>
      </c>
      <c r="J88" s="29" t="s">
        <v>9</v>
      </c>
      <c r="K88" s="31" t="s">
        <v>10</v>
      </c>
    </row>
    <row r="89" spans="1:11" ht="15" thickBot="1" x14ac:dyDescent="0.4">
      <c r="A89" s="7" t="s">
        <v>84</v>
      </c>
      <c r="B89" s="5" t="s">
        <v>47</v>
      </c>
      <c r="C89" s="25">
        <v>2.7143999999999999</v>
      </c>
      <c r="D89" s="5">
        <f>(References!C41*4)-(References!B41*1)-(References!A41*2)</f>
        <v>26</v>
      </c>
      <c r="E89" s="5">
        <f>_xlfn.IFS(B89="E",25,B89="N",13,B89="W",33,B89="S",22)</f>
        <v>25</v>
      </c>
      <c r="F89" s="5">
        <f>_xlfn.IFS(B89="E",-0.55,B89="N",2.22,B89="W",-0.55,B89="S",-3.88)</f>
        <v>-0.55000000000000004</v>
      </c>
      <c r="G89" s="5">
        <v>0.65</v>
      </c>
      <c r="H89" s="5">
        <v>22.5</v>
      </c>
      <c r="I89" s="28">
        <f>(References!T$4)-(References!T$3/2)</f>
        <v>30.45</v>
      </c>
      <c r="J89" s="5">
        <f t="shared" ref="J89:J130" si="6">(E89+F89)*G89+(25-H89)+(I89-29)</f>
        <v>19.842499999999998</v>
      </c>
      <c r="K89" s="14">
        <f t="shared" ref="K89:K130" si="7">C89*D89*E89</f>
        <v>1764.36</v>
      </c>
    </row>
    <row r="90" spans="1:11" ht="15" thickBot="1" x14ac:dyDescent="0.4">
      <c r="A90" s="7" t="s">
        <v>85</v>
      </c>
      <c r="B90" s="5" t="s">
        <v>48</v>
      </c>
      <c r="C90" s="25">
        <v>2.7143999999999999</v>
      </c>
      <c r="D90" s="5">
        <f>(References!C42*4)-(References!B42*1)-(References!A42*2)</f>
        <v>19.399999999999999</v>
      </c>
      <c r="E90" s="5">
        <f t="shared" ref="E90:E130" si="8">_xlfn.IFS(B90="E",25,B90="N",13,B90="W",33,B90="S",22)</f>
        <v>13</v>
      </c>
      <c r="F90" s="5">
        <f t="shared" ref="F90:F130" si="9">_xlfn.IFS(B90="E",-0.55,B90="N",2.22,B90="W",-0.55,B90="S",-3.88)</f>
        <v>2.2200000000000002</v>
      </c>
      <c r="G90" s="5">
        <v>0.65</v>
      </c>
      <c r="H90" s="5">
        <v>22.5</v>
      </c>
      <c r="I90" s="28">
        <f>(References!T$4)-(References!T$3/2)</f>
        <v>30.45</v>
      </c>
      <c r="J90" s="5">
        <f t="shared" si="6"/>
        <v>13.843</v>
      </c>
      <c r="K90" s="14">
        <f t="shared" si="7"/>
        <v>684.5716799999999</v>
      </c>
    </row>
    <row r="91" spans="1:11" ht="15" thickBot="1" x14ac:dyDescent="0.4">
      <c r="A91" s="7" t="s">
        <v>61</v>
      </c>
      <c r="B91" s="5" t="s">
        <v>48</v>
      </c>
      <c r="C91" s="25">
        <v>2.7143999999999999</v>
      </c>
      <c r="D91" s="5">
        <f>(References!C43*4)-(References!B43*1)-(References!A43*2)</f>
        <v>19.399999999999999</v>
      </c>
      <c r="E91" s="5">
        <f t="shared" si="8"/>
        <v>13</v>
      </c>
      <c r="F91" s="5">
        <f t="shared" si="9"/>
        <v>2.2200000000000002</v>
      </c>
      <c r="G91" s="5">
        <v>0.65</v>
      </c>
      <c r="H91" s="5">
        <v>22.5</v>
      </c>
      <c r="I91" s="28">
        <f>(References!T$4)-(References!T$3/2)</f>
        <v>30.45</v>
      </c>
      <c r="J91" s="5">
        <f t="shared" si="6"/>
        <v>13.843</v>
      </c>
      <c r="K91" s="14">
        <f t="shared" si="7"/>
        <v>684.5716799999999</v>
      </c>
    </row>
    <row r="92" spans="1:11" ht="15" thickBot="1" x14ac:dyDescent="0.4">
      <c r="A92" s="7" t="s">
        <v>62</v>
      </c>
      <c r="B92" s="5" t="s">
        <v>47</v>
      </c>
      <c r="C92" s="25">
        <v>2.7143999999999999</v>
      </c>
      <c r="D92" s="5">
        <f>(References!C44*4)-(References!B44*1)-(References!A44*2)</f>
        <v>40.92</v>
      </c>
      <c r="E92" s="5">
        <f t="shared" si="8"/>
        <v>25</v>
      </c>
      <c r="F92" s="5">
        <f t="shared" si="9"/>
        <v>-0.55000000000000004</v>
      </c>
      <c r="G92" s="5">
        <v>0.65</v>
      </c>
      <c r="H92" s="5">
        <v>22.5</v>
      </c>
      <c r="I92" s="28">
        <f>(References!T$4)-(References!T$3/2)</f>
        <v>30.45</v>
      </c>
      <c r="J92" s="5">
        <f t="shared" si="6"/>
        <v>19.842499999999998</v>
      </c>
      <c r="K92" s="14">
        <f t="shared" si="7"/>
        <v>2776.8312000000001</v>
      </c>
    </row>
    <row r="93" spans="1:11" ht="15" thickBot="1" x14ac:dyDescent="0.4">
      <c r="A93" s="7" t="s">
        <v>63</v>
      </c>
      <c r="B93" s="5" t="s">
        <v>48</v>
      </c>
      <c r="C93" s="25">
        <v>2.7143999999999999</v>
      </c>
      <c r="D93" s="5">
        <f>(References!C45*4)-(References!B45*1)-(References!A45*2)</f>
        <v>68</v>
      </c>
      <c r="E93" s="5">
        <f t="shared" si="8"/>
        <v>13</v>
      </c>
      <c r="F93" s="5">
        <f t="shared" si="9"/>
        <v>2.2200000000000002</v>
      </c>
      <c r="G93" s="5">
        <v>0.65</v>
      </c>
      <c r="H93" s="5">
        <v>22.5</v>
      </c>
      <c r="I93" s="28">
        <f>(References!T$4)-(References!T$3/2)</f>
        <v>30.45</v>
      </c>
      <c r="J93" s="5">
        <f t="shared" si="6"/>
        <v>13.843</v>
      </c>
      <c r="K93" s="14">
        <f t="shared" si="7"/>
        <v>2399.5295999999998</v>
      </c>
    </row>
    <row r="94" spans="1:11" ht="15" thickBot="1" x14ac:dyDescent="0.4">
      <c r="A94" s="7" t="s">
        <v>64</v>
      </c>
      <c r="B94" s="5" t="s">
        <v>49</v>
      </c>
      <c r="C94" s="25">
        <v>2.7143999999999999</v>
      </c>
      <c r="D94" s="5">
        <f>(References!C46*4)-(References!B46*1)-(References!A46*2)</f>
        <v>40.92</v>
      </c>
      <c r="E94" s="5">
        <f t="shared" si="8"/>
        <v>33</v>
      </c>
      <c r="F94" s="5">
        <f t="shared" si="9"/>
        <v>-0.55000000000000004</v>
      </c>
      <c r="G94" s="5">
        <v>0.65</v>
      </c>
      <c r="H94" s="5">
        <v>22.5</v>
      </c>
      <c r="I94" s="28">
        <f>(References!T$4)-(References!T$3/2)</f>
        <v>30.45</v>
      </c>
      <c r="J94" s="5">
        <f t="shared" si="6"/>
        <v>25.0425</v>
      </c>
      <c r="K94" s="14">
        <f t="shared" si="7"/>
        <v>3665.4171840000004</v>
      </c>
    </row>
    <row r="95" spans="1:11" ht="15" thickBot="1" x14ac:dyDescent="0.4">
      <c r="A95" s="7" t="s">
        <v>61</v>
      </c>
      <c r="B95" s="5" t="s">
        <v>48</v>
      </c>
      <c r="C95" s="25">
        <v>2.7143999999999999</v>
      </c>
      <c r="D95" s="5">
        <f>(References!C47*4)-(References!B47*1)-(References!A47*2)</f>
        <v>19.399999999999999</v>
      </c>
      <c r="E95" s="5">
        <f t="shared" si="8"/>
        <v>13</v>
      </c>
      <c r="F95" s="5">
        <f t="shared" si="9"/>
        <v>2.2200000000000002</v>
      </c>
      <c r="G95" s="5">
        <v>0.65</v>
      </c>
      <c r="H95" s="5">
        <v>22.5</v>
      </c>
      <c r="I95" s="28">
        <f>(References!T$4)-(References!T$3/2)</f>
        <v>30.45</v>
      </c>
      <c r="J95" s="5">
        <f t="shared" si="6"/>
        <v>13.843</v>
      </c>
      <c r="K95" s="14">
        <f t="shared" si="7"/>
        <v>684.5716799999999</v>
      </c>
    </row>
    <row r="96" spans="1:11" ht="15" thickBot="1" x14ac:dyDescent="0.4">
      <c r="A96" s="7" t="s">
        <v>85</v>
      </c>
      <c r="B96" s="5" t="s">
        <v>48</v>
      </c>
      <c r="C96" s="25">
        <v>2.7143999999999999</v>
      </c>
      <c r="D96" s="5">
        <f>(References!C48*4)-(References!B48*1)-(References!A48*2)</f>
        <v>19.399999999999999</v>
      </c>
      <c r="E96" s="5">
        <f t="shared" si="8"/>
        <v>13</v>
      </c>
      <c r="F96" s="5">
        <f t="shared" si="9"/>
        <v>2.2200000000000002</v>
      </c>
      <c r="G96" s="5">
        <v>0.65</v>
      </c>
      <c r="H96" s="5">
        <v>22.5</v>
      </c>
      <c r="I96" s="28">
        <f>(References!T$4)-(References!T$3/2)</f>
        <v>30.45</v>
      </c>
      <c r="J96" s="5">
        <f t="shared" si="6"/>
        <v>13.843</v>
      </c>
      <c r="K96" s="14">
        <f t="shared" si="7"/>
        <v>684.5716799999999</v>
      </c>
    </row>
    <row r="97" spans="1:11" ht="15" thickBot="1" x14ac:dyDescent="0.4">
      <c r="A97" s="7" t="s">
        <v>86</v>
      </c>
      <c r="B97" s="5" t="s">
        <v>49</v>
      </c>
      <c r="C97" s="25">
        <v>2.7143999999999999</v>
      </c>
      <c r="D97" s="5">
        <f>(References!C49*4)-(References!B49*1)-(References!A49*2)</f>
        <v>26</v>
      </c>
      <c r="E97" s="5">
        <f t="shared" si="8"/>
        <v>33</v>
      </c>
      <c r="F97" s="5">
        <f t="shared" si="9"/>
        <v>-0.55000000000000004</v>
      </c>
      <c r="G97" s="5">
        <v>0.65</v>
      </c>
      <c r="H97" s="5">
        <v>22.5</v>
      </c>
      <c r="I97" s="28">
        <f>(References!T$4)-(References!T$3/2)</f>
        <v>30.45</v>
      </c>
      <c r="J97" s="5">
        <f t="shared" si="6"/>
        <v>25.0425</v>
      </c>
      <c r="K97" s="14">
        <f t="shared" si="7"/>
        <v>2328.9551999999999</v>
      </c>
    </row>
    <row r="98" spans="1:11" ht="15" thickBot="1" x14ac:dyDescent="0.4">
      <c r="A98" s="7" t="s">
        <v>65</v>
      </c>
      <c r="B98" s="5" t="s">
        <v>49</v>
      </c>
      <c r="C98" s="25">
        <v>2.7143999999999999</v>
      </c>
      <c r="D98" s="5">
        <f>(References!C50*4)-(References!B50*1)-(References!A50*2)</f>
        <v>9.6999999999999993</v>
      </c>
      <c r="E98" s="5">
        <f t="shared" si="8"/>
        <v>33</v>
      </c>
      <c r="F98" s="5">
        <f t="shared" si="9"/>
        <v>-0.55000000000000004</v>
      </c>
      <c r="G98" s="5">
        <v>0.65</v>
      </c>
      <c r="H98" s="5">
        <v>22.5</v>
      </c>
      <c r="I98" s="28">
        <f>(References!T$4)-(References!T$3/2)</f>
        <v>30.45</v>
      </c>
      <c r="J98" s="5">
        <f t="shared" si="6"/>
        <v>25.0425</v>
      </c>
      <c r="K98" s="14">
        <f t="shared" si="7"/>
        <v>868.87943999999993</v>
      </c>
    </row>
    <row r="99" spans="1:11" ht="15" thickBot="1" x14ac:dyDescent="0.4">
      <c r="A99" s="7" t="s">
        <v>68</v>
      </c>
      <c r="B99" s="5" t="s">
        <v>49</v>
      </c>
      <c r="C99" s="25">
        <v>2.7143999999999999</v>
      </c>
      <c r="D99" s="5">
        <f>(References!C51*4)-(References!B51*1)-(References!A51*2)</f>
        <v>13.4</v>
      </c>
      <c r="E99" s="5">
        <f t="shared" si="8"/>
        <v>33</v>
      </c>
      <c r="F99" s="5">
        <f t="shared" si="9"/>
        <v>-0.55000000000000004</v>
      </c>
      <c r="G99" s="5">
        <v>0.65</v>
      </c>
      <c r="H99" s="5">
        <v>22.5</v>
      </c>
      <c r="I99" s="28">
        <f>(References!T$4)-(References!T$3/2)</f>
        <v>30.45</v>
      </c>
      <c r="J99" s="5">
        <f t="shared" si="6"/>
        <v>25.0425</v>
      </c>
      <c r="K99" s="14">
        <f t="shared" si="7"/>
        <v>1200.3076799999999</v>
      </c>
    </row>
    <row r="100" spans="1:11" ht="15" thickBot="1" x14ac:dyDescent="0.4">
      <c r="A100" s="7" t="s">
        <v>89</v>
      </c>
      <c r="B100" s="5" t="s">
        <v>49</v>
      </c>
      <c r="C100" s="25">
        <v>2.7143999999999999</v>
      </c>
      <c r="D100" s="5">
        <f>(References!C52*4)-(References!B52*0.6)-(References!A52*2)</f>
        <v>8.56</v>
      </c>
      <c r="E100" s="5">
        <f t="shared" si="8"/>
        <v>33</v>
      </c>
      <c r="F100" s="5">
        <f t="shared" si="9"/>
        <v>-0.55000000000000004</v>
      </c>
      <c r="G100" s="5">
        <v>0.65</v>
      </c>
      <c r="H100" s="5">
        <v>22.5</v>
      </c>
      <c r="I100" s="28">
        <f>(References!T$4)-(References!T$3/2)</f>
        <v>30.45</v>
      </c>
      <c r="J100" s="5">
        <f t="shared" si="6"/>
        <v>25.0425</v>
      </c>
      <c r="K100" s="14">
        <f t="shared" si="7"/>
        <v>766.76371200000006</v>
      </c>
    </row>
    <row r="101" spans="1:11" ht="15" thickBot="1" x14ac:dyDescent="0.4">
      <c r="A101" s="7" t="s">
        <v>70</v>
      </c>
      <c r="B101" s="5" t="s">
        <v>50</v>
      </c>
      <c r="C101" s="25">
        <v>2.7143999999999999</v>
      </c>
      <c r="D101" s="5">
        <f>(References!C53*4)-(References!B53*1)-(References!A53*2)</f>
        <v>12</v>
      </c>
      <c r="E101" s="5">
        <f t="shared" si="8"/>
        <v>22</v>
      </c>
      <c r="F101" s="5">
        <f t="shared" si="9"/>
        <v>-3.88</v>
      </c>
      <c r="G101" s="5">
        <v>0.65</v>
      </c>
      <c r="H101" s="5">
        <v>22.5</v>
      </c>
      <c r="I101" s="28">
        <f>(References!T$4)-(References!T$3/2)</f>
        <v>30.45</v>
      </c>
      <c r="J101" s="5">
        <f t="shared" si="6"/>
        <v>15.728</v>
      </c>
      <c r="K101" s="14">
        <f t="shared" si="7"/>
        <v>716.60159999999996</v>
      </c>
    </row>
    <row r="102" spans="1:11" ht="15" thickBot="1" x14ac:dyDescent="0.4">
      <c r="A102" s="7" t="s">
        <v>71</v>
      </c>
      <c r="B102" s="5" t="s">
        <v>49</v>
      </c>
      <c r="C102" s="25">
        <v>2.7143999999999999</v>
      </c>
      <c r="D102" s="5">
        <f>(References!C54*4)-(References!B54*1)-(References!A54*2)</f>
        <v>10.6</v>
      </c>
      <c r="E102" s="5">
        <f t="shared" si="8"/>
        <v>33</v>
      </c>
      <c r="F102" s="5">
        <f t="shared" si="9"/>
        <v>-0.55000000000000004</v>
      </c>
      <c r="G102" s="5">
        <v>0.65</v>
      </c>
      <c r="H102" s="5">
        <v>22.5</v>
      </c>
      <c r="I102" s="28">
        <f>(References!T$4)-(References!T$3/2)</f>
        <v>30.45</v>
      </c>
      <c r="J102" s="5">
        <f t="shared" si="6"/>
        <v>25.0425</v>
      </c>
      <c r="K102" s="14">
        <f t="shared" si="7"/>
        <v>949.49712</v>
      </c>
    </row>
    <row r="103" spans="1:11" ht="15" thickBot="1" x14ac:dyDescent="0.4">
      <c r="A103" s="7" t="s">
        <v>71</v>
      </c>
      <c r="B103" s="5" t="s">
        <v>49</v>
      </c>
      <c r="C103" s="25">
        <v>2.7143999999999999</v>
      </c>
      <c r="D103" s="5">
        <f>(References!C55*4)-(References!B55*1)-(References!A55*2)</f>
        <v>10.6</v>
      </c>
      <c r="E103" s="5">
        <f t="shared" si="8"/>
        <v>33</v>
      </c>
      <c r="F103" s="5">
        <f t="shared" si="9"/>
        <v>-0.55000000000000004</v>
      </c>
      <c r="G103" s="5">
        <v>0.65</v>
      </c>
      <c r="H103" s="5">
        <v>22.5</v>
      </c>
      <c r="I103" s="28">
        <f>(References!T$4)-(References!T$3/2)</f>
        <v>30.45</v>
      </c>
      <c r="J103" s="5">
        <f t="shared" si="6"/>
        <v>25.0425</v>
      </c>
      <c r="K103" s="14">
        <f t="shared" si="7"/>
        <v>949.49712</v>
      </c>
    </row>
    <row r="104" spans="1:11" ht="15" thickBot="1" x14ac:dyDescent="0.4">
      <c r="A104" s="7" t="s">
        <v>71</v>
      </c>
      <c r="B104" s="5" t="s">
        <v>49</v>
      </c>
      <c r="C104" s="25">
        <v>2.7143999999999999</v>
      </c>
      <c r="D104" s="5">
        <f>(References!C56*4)-(References!B56*1)-(References!A56*2)</f>
        <v>10.6</v>
      </c>
      <c r="E104" s="5">
        <f t="shared" si="8"/>
        <v>33</v>
      </c>
      <c r="F104" s="5">
        <f t="shared" si="9"/>
        <v>-0.55000000000000004</v>
      </c>
      <c r="G104" s="5">
        <v>0.65</v>
      </c>
      <c r="H104" s="5">
        <v>22.5</v>
      </c>
      <c r="I104" s="28">
        <f>(References!T$4)-(References!T$3/2)</f>
        <v>30.45</v>
      </c>
      <c r="J104" s="5">
        <f t="shared" si="6"/>
        <v>25.0425</v>
      </c>
      <c r="K104" s="14">
        <f t="shared" si="7"/>
        <v>949.49712</v>
      </c>
    </row>
    <row r="105" spans="1:11" ht="15" thickBot="1" x14ac:dyDescent="0.4">
      <c r="A105" s="7" t="s">
        <v>71</v>
      </c>
      <c r="B105" s="5" t="s">
        <v>49</v>
      </c>
      <c r="C105" s="25">
        <v>2.7143999999999999</v>
      </c>
      <c r="D105" s="5">
        <f>(References!C57*4)-(References!B57*1)-(References!A57*2)</f>
        <v>10.6</v>
      </c>
      <c r="E105" s="5">
        <f t="shared" si="8"/>
        <v>33</v>
      </c>
      <c r="F105" s="5">
        <f t="shared" si="9"/>
        <v>-0.55000000000000004</v>
      </c>
      <c r="G105" s="5">
        <v>0.65</v>
      </c>
      <c r="H105" s="5">
        <v>22.5</v>
      </c>
      <c r="I105" s="28">
        <f>(References!T$4)-(References!T$3/2)</f>
        <v>30.45</v>
      </c>
      <c r="J105" s="5">
        <f t="shared" si="6"/>
        <v>25.0425</v>
      </c>
      <c r="K105" s="14">
        <f t="shared" si="7"/>
        <v>949.49712</v>
      </c>
    </row>
    <row r="106" spans="1:11" ht="15" thickBot="1" x14ac:dyDescent="0.4">
      <c r="A106" s="7" t="s">
        <v>72</v>
      </c>
      <c r="B106" s="5" t="s">
        <v>49</v>
      </c>
      <c r="C106" s="25">
        <v>2.7143999999999999</v>
      </c>
      <c r="D106" s="5">
        <f>(References!C58*4)-(References!B58*1)-(References!A58*2)</f>
        <v>11.65</v>
      </c>
      <c r="E106" s="5">
        <f t="shared" si="8"/>
        <v>33</v>
      </c>
      <c r="F106" s="5">
        <f t="shared" si="9"/>
        <v>-0.55000000000000004</v>
      </c>
      <c r="G106" s="5">
        <v>0.65</v>
      </c>
      <c r="H106" s="5">
        <v>22.5</v>
      </c>
      <c r="I106" s="28">
        <f>(References!T$4)-(References!T$3/2)</f>
        <v>30.45</v>
      </c>
      <c r="J106" s="5">
        <f t="shared" si="6"/>
        <v>25.0425</v>
      </c>
      <c r="K106" s="14">
        <f t="shared" si="7"/>
        <v>1043.55108</v>
      </c>
    </row>
    <row r="107" spans="1:11" ht="15" thickBot="1" x14ac:dyDescent="0.4">
      <c r="A107" s="7" t="s">
        <v>74</v>
      </c>
      <c r="B107" s="5" t="s">
        <v>48</v>
      </c>
      <c r="C107" s="25">
        <v>2.7143999999999999</v>
      </c>
      <c r="D107" s="5">
        <f>(References!C59*4)-(References!B59*1)-(References!A59*2)</f>
        <v>12</v>
      </c>
      <c r="E107" s="5">
        <f t="shared" si="8"/>
        <v>13</v>
      </c>
      <c r="F107" s="5">
        <f t="shared" si="9"/>
        <v>2.2200000000000002</v>
      </c>
      <c r="G107" s="5">
        <v>0.65</v>
      </c>
      <c r="H107" s="5">
        <v>22.5</v>
      </c>
      <c r="I107" s="28">
        <f>(References!T$4)-(References!T$3/2)</f>
        <v>30.45</v>
      </c>
      <c r="J107" s="5">
        <f t="shared" si="6"/>
        <v>13.843</v>
      </c>
      <c r="K107" s="14">
        <f t="shared" si="7"/>
        <v>423.44640000000004</v>
      </c>
    </row>
    <row r="108" spans="1:11" ht="15" thickBot="1" x14ac:dyDescent="0.4">
      <c r="A108" s="7" t="s">
        <v>75</v>
      </c>
      <c r="B108" s="5" t="s">
        <v>49</v>
      </c>
      <c r="C108" s="25">
        <v>2.7143999999999999</v>
      </c>
      <c r="D108" s="5">
        <f>(References!C60*4)-(References!B60*1)-(References!A60*2)</f>
        <v>13.2</v>
      </c>
      <c r="E108" s="5">
        <f t="shared" si="8"/>
        <v>33</v>
      </c>
      <c r="F108" s="5">
        <f t="shared" si="9"/>
        <v>-0.55000000000000004</v>
      </c>
      <c r="G108" s="5">
        <v>0.65</v>
      </c>
      <c r="H108" s="5">
        <v>22.5</v>
      </c>
      <c r="I108" s="28">
        <f>(References!T$4)-(References!T$3/2)</f>
        <v>30.45</v>
      </c>
      <c r="J108" s="5">
        <f t="shared" si="6"/>
        <v>25.0425</v>
      </c>
      <c r="K108" s="14">
        <f t="shared" si="7"/>
        <v>1182.3926399999998</v>
      </c>
    </row>
    <row r="109" spans="1:11" ht="15" thickBot="1" x14ac:dyDescent="0.4">
      <c r="A109" s="7" t="s">
        <v>76</v>
      </c>
      <c r="B109" s="5" t="s">
        <v>49</v>
      </c>
      <c r="C109" s="25">
        <v>2.7143999999999999</v>
      </c>
      <c r="D109" s="5">
        <f>(References!C61*4)-(References!B61*1)-(References!A61*2)</f>
        <v>13.2</v>
      </c>
      <c r="E109" s="5">
        <f t="shared" si="8"/>
        <v>33</v>
      </c>
      <c r="F109" s="5">
        <f t="shared" si="9"/>
        <v>-0.55000000000000004</v>
      </c>
      <c r="G109" s="5">
        <v>0.65</v>
      </c>
      <c r="H109" s="5">
        <v>22.5</v>
      </c>
      <c r="I109" s="28">
        <f>(References!T$4)-(References!T$3/2)</f>
        <v>30.45</v>
      </c>
      <c r="J109" s="5">
        <f t="shared" si="6"/>
        <v>25.0425</v>
      </c>
      <c r="K109" s="14">
        <f t="shared" si="7"/>
        <v>1182.3926399999998</v>
      </c>
    </row>
    <row r="110" spans="1:11" ht="15" thickBot="1" x14ac:dyDescent="0.4">
      <c r="A110" s="7" t="s">
        <v>77</v>
      </c>
      <c r="B110" s="5" t="s">
        <v>49</v>
      </c>
      <c r="C110" s="25">
        <v>2.7143999999999999</v>
      </c>
      <c r="D110" s="5">
        <f>(References!C62*4)-(References!B62*1)-(References!A62*2)</f>
        <v>10.4</v>
      </c>
      <c r="E110" s="5">
        <f t="shared" si="8"/>
        <v>33</v>
      </c>
      <c r="F110" s="5">
        <f t="shared" si="9"/>
        <v>-0.55000000000000004</v>
      </c>
      <c r="G110" s="5">
        <v>0.65</v>
      </c>
      <c r="H110" s="5">
        <v>22.5</v>
      </c>
      <c r="I110" s="28">
        <f>(References!T$4)-(References!T$3/2)</f>
        <v>30.45</v>
      </c>
      <c r="J110" s="5">
        <f t="shared" si="6"/>
        <v>25.0425</v>
      </c>
      <c r="K110" s="14">
        <f t="shared" si="7"/>
        <v>931.58207999999991</v>
      </c>
    </row>
    <row r="111" spans="1:11" ht="15" thickBot="1" x14ac:dyDescent="0.4">
      <c r="A111" s="7" t="s">
        <v>78</v>
      </c>
      <c r="B111" s="5" t="s">
        <v>49</v>
      </c>
      <c r="C111" s="25">
        <v>2.7143999999999999</v>
      </c>
      <c r="D111" s="5">
        <f>(References!C63*4)-(References!B63*1)-(References!A63*2)</f>
        <v>7.6899999999999995</v>
      </c>
      <c r="E111" s="5">
        <f t="shared" si="8"/>
        <v>33</v>
      </c>
      <c r="F111" s="5">
        <f t="shared" si="9"/>
        <v>-0.55000000000000004</v>
      </c>
      <c r="G111" s="5">
        <v>0.65</v>
      </c>
      <c r="H111" s="5">
        <v>22.5</v>
      </c>
      <c r="I111" s="28">
        <f>(References!T$4)-(References!T$3/2)</f>
        <v>30.45</v>
      </c>
      <c r="J111" s="5">
        <f t="shared" si="6"/>
        <v>25.0425</v>
      </c>
      <c r="K111" s="14">
        <f t="shared" si="7"/>
        <v>688.83328799999992</v>
      </c>
    </row>
    <row r="112" spans="1:11" ht="15" thickBot="1" x14ac:dyDescent="0.4">
      <c r="A112" s="7" t="s">
        <v>92</v>
      </c>
      <c r="B112" s="5" t="s">
        <v>49</v>
      </c>
      <c r="C112" s="25">
        <v>2.7143999999999999</v>
      </c>
      <c r="D112" s="5">
        <f>(References!C64*4)-(References!B64*0.6)-(References!A64*2)</f>
        <v>7.1599999999999993</v>
      </c>
      <c r="E112" s="5">
        <f t="shared" si="8"/>
        <v>33</v>
      </c>
      <c r="F112" s="5">
        <f t="shared" si="9"/>
        <v>-0.55000000000000004</v>
      </c>
      <c r="G112" s="5">
        <v>0.65</v>
      </c>
      <c r="H112" s="5">
        <v>22.5</v>
      </c>
      <c r="I112" s="28">
        <f>(References!T$4)-(References!T$3/2)</f>
        <v>30.45</v>
      </c>
      <c r="J112" s="5">
        <f t="shared" si="6"/>
        <v>25.0425</v>
      </c>
      <c r="K112" s="14">
        <f t="shared" si="7"/>
        <v>641.35843199999999</v>
      </c>
    </row>
    <row r="113" spans="1:11" ht="15" thickBot="1" x14ac:dyDescent="0.4">
      <c r="A113" s="7" t="s">
        <v>93</v>
      </c>
      <c r="B113" s="5" t="s">
        <v>50</v>
      </c>
      <c r="C113" s="25">
        <v>2.7143999999999999</v>
      </c>
      <c r="D113" s="5">
        <f>(References!C65*4)-(References!B65*0.6)-(References!A65*2)</f>
        <v>5.64</v>
      </c>
      <c r="E113" s="5">
        <f t="shared" si="8"/>
        <v>22</v>
      </c>
      <c r="F113" s="5">
        <f t="shared" si="9"/>
        <v>-3.88</v>
      </c>
      <c r="G113" s="5">
        <v>0.65</v>
      </c>
      <c r="H113" s="5">
        <v>22.5</v>
      </c>
      <c r="I113" s="28">
        <f>(References!T$4)-(References!T$3/2)</f>
        <v>30.45</v>
      </c>
      <c r="J113" s="5">
        <f t="shared" si="6"/>
        <v>15.728</v>
      </c>
      <c r="K113" s="14">
        <f t="shared" si="7"/>
        <v>336.802752</v>
      </c>
    </row>
    <row r="114" spans="1:11" ht="15" thickBot="1" x14ac:dyDescent="0.4">
      <c r="A114" s="7" t="s">
        <v>79</v>
      </c>
      <c r="B114" s="5" t="s">
        <v>50</v>
      </c>
      <c r="C114" s="25">
        <v>2.7143999999999999</v>
      </c>
      <c r="D114" s="5">
        <f>(References!C66*4)-(References!B66*1)-(References!A66*2)</f>
        <v>20.400000000000002</v>
      </c>
      <c r="E114" s="5">
        <f t="shared" si="8"/>
        <v>22</v>
      </c>
      <c r="F114" s="5">
        <f t="shared" si="9"/>
        <v>-3.88</v>
      </c>
      <c r="G114" s="5">
        <v>0.65</v>
      </c>
      <c r="H114" s="5">
        <v>22.5</v>
      </c>
      <c r="I114" s="28">
        <f>(References!T$4)-(References!T$3/2)</f>
        <v>30.45</v>
      </c>
      <c r="J114" s="5">
        <f t="shared" si="6"/>
        <v>15.728</v>
      </c>
      <c r="K114" s="14">
        <f t="shared" si="7"/>
        <v>1218.2227200000002</v>
      </c>
    </row>
    <row r="115" spans="1:11" ht="15" thickBot="1" x14ac:dyDescent="0.4">
      <c r="A115" s="7" t="s">
        <v>80</v>
      </c>
      <c r="B115" s="5" t="s">
        <v>50</v>
      </c>
      <c r="C115" s="25">
        <v>2.7143999999999999</v>
      </c>
      <c r="D115" s="5">
        <f>(References!C67*4)-(References!B67*1)-(References!A67*2)</f>
        <v>19.2</v>
      </c>
      <c r="E115" s="5">
        <f t="shared" si="8"/>
        <v>22</v>
      </c>
      <c r="F115" s="5">
        <f t="shared" si="9"/>
        <v>-3.88</v>
      </c>
      <c r="G115" s="5">
        <v>0.65</v>
      </c>
      <c r="H115" s="5">
        <v>22.5</v>
      </c>
      <c r="I115" s="28">
        <f>(References!T$4)-(References!T$3/2)</f>
        <v>30.45</v>
      </c>
      <c r="J115" s="5">
        <f t="shared" si="6"/>
        <v>15.728</v>
      </c>
      <c r="K115" s="14">
        <f t="shared" si="7"/>
        <v>1146.5625599999998</v>
      </c>
    </row>
    <row r="116" spans="1:11" ht="15" thickBot="1" x14ac:dyDescent="0.4">
      <c r="A116" s="7" t="s">
        <v>58</v>
      </c>
      <c r="B116" s="5" t="s">
        <v>50</v>
      </c>
      <c r="C116" s="25">
        <v>2.7143999999999999</v>
      </c>
      <c r="D116" s="5">
        <f>(References!C68*4)-(References!B68*0.6)-(References!A68*2)</f>
        <v>11.28</v>
      </c>
      <c r="E116" s="5">
        <f t="shared" si="8"/>
        <v>22</v>
      </c>
      <c r="F116" s="5">
        <f t="shared" si="9"/>
        <v>-3.88</v>
      </c>
      <c r="G116" s="5">
        <v>0.65</v>
      </c>
      <c r="H116" s="5">
        <v>24</v>
      </c>
      <c r="I116" s="28">
        <f>(References!T$4)-(References!T$3/2)</f>
        <v>30.45</v>
      </c>
      <c r="J116" s="5">
        <f t="shared" si="6"/>
        <v>14.228</v>
      </c>
      <c r="K116" s="14">
        <f t="shared" si="7"/>
        <v>673.605504</v>
      </c>
    </row>
    <row r="117" spans="1:11" ht="15" thickBot="1" x14ac:dyDescent="0.4">
      <c r="A117" s="7" t="s">
        <v>59</v>
      </c>
      <c r="B117" s="5" t="s">
        <v>50</v>
      </c>
      <c r="C117" s="25">
        <v>2.7143999999999999</v>
      </c>
      <c r="D117" s="5">
        <f>(References!C69*4)-(References!B69*0.6)-(References!A69*2)</f>
        <v>11.28</v>
      </c>
      <c r="E117" s="5">
        <f t="shared" si="8"/>
        <v>22</v>
      </c>
      <c r="F117" s="5">
        <f t="shared" si="9"/>
        <v>-3.88</v>
      </c>
      <c r="G117" s="5">
        <v>0.65</v>
      </c>
      <c r="H117" s="5">
        <v>24</v>
      </c>
      <c r="I117" s="28">
        <f>(References!T$4)-(References!T$3/2)</f>
        <v>30.45</v>
      </c>
      <c r="J117" s="5">
        <f t="shared" si="6"/>
        <v>14.228</v>
      </c>
      <c r="K117" s="14">
        <f t="shared" si="7"/>
        <v>673.605504</v>
      </c>
    </row>
    <row r="118" spans="1:11" ht="15" thickBot="1" x14ac:dyDescent="0.4">
      <c r="A118" s="7" t="s">
        <v>91</v>
      </c>
      <c r="B118" s="5" t="s">
        <v>50</v>
      </c>
      <c r="C118" s="25">
        <v>2.7143999999999999</v>
      </c>
      <c r="D118" s="5">
        <f>(References!C70*4)-(References!B70*1)-(References!A70*2)</f>
        <v>24</v>
      </c>
      <c r="E118" s="5">
        <f t="shared" si="8"/>
        <v>22</v>
      </c>
      <c r="F118" s="5">
        <f t="shared" si="9"/>
        <v>-3.88</v>
      </c>
      <c r="G118" s="5">
        <v>0.65</v>
      </c>
      <c r="H118" s="5">
        <v>22.5</v>
      </c>
      <c r="I118" s="28">
        <f>(References!T$4)-(References!T$3/2)</f>
        <v>30.45</v>
      </c>
      <c r="J118" s="5">
        <f t="shared" si="6"/>
        <v>15.728</v>
      </c>
      <c r="K118" s="14">
        <f t="shared" si="7"/>
        <v>1433.2031999999999</v>
      </c>
    </row>
    <row r="119" spans="1:11" ht="15" thickBot="1" x14ac:dyDescent="0.4">
      <c r="A119" s="7" t="s">
        <v>81</v>
      </c>
      <c r="B119" s="5" t="s">
        <v>50</v>
      </c>
      <c r="C119" s="25">
        <v>2.7143999999999999</v>
      </c>
      <c r="D119" s="5">
        <f>(References!C71*4)-(References!B71*1)-(References!A71*2)</f>
        <v>48</v>
      </c>
      <c r="E119" s="5">
        <f t="shared" si="8"/>
        <v>22</v>
      </c>
      <c r="F119" s="5">
        <f t="shared" si="9"/>
        <v>-3.88</v>
      </c>
      <c r="G119" s="5">
        <v>0.65</v>
      </c>
      <c r="H119" s="5">
        <v>24</v>
      </c>
      <c r="I119" s="28">
        <f>(References!T$4)-(References!T$3/2)</f>
        <v>30.45</v>
      </c>
      <c r="J119" s="5">
        <f t="shared" si="6"/>
        <v>14.228</v>
      </c>
      <c r="K119" s="14">
        <f t="shared" si="7"/>
        <v>2866.4063999999998</v>
      </c>
    </row>
    <row r="120" spans="1:11" ht="15" thickBot="1" x14ac:dyDescent="0.4">
      <c r="A120" s="7" t="s">
        <v>82</v>
      </c>
      <c r="B120" s="5" t="s">
        <v>47</v>
      </c>
      <c r="C120" s="25">
        <v>2.7143999999999999</v>
      </c>
      <c r="D120" s="5">
        <f>(References!C72*4)-(References!B72*1)-(References!A72*2)</f>
        <v>61.6</v>
      </c>
      <c r="E120" s="5">
        <f t="shared" si="8"/>
        <v>25</v>
      </c>
      <c r="F120" s="5">
        <f t="shared" si="9"/>
        <v>-0.55000000000000004</v>
      </c>
      <c r="G120" s="5">
        <v>0.65</v>
      </c>
      <c r="H120" s="5">
        <v>24</v>
      </c>
      <c r="I120" s="28">
        <f>(References!T$4)-(References!T$3/2)</f>
        <v>30.45</v>
      </c>
      <c r="J120" s="5">
        <f t="shared" si="6"/>
        <v>18.342499999999998</v>
      </c>
      <c r="K120" s="14">
        <f t="shared" si="7"/>
        <v>4180.1760000000004</v>
      </c>
    </row>
    <row r="121" spans="1:11" ht="15" thickBot="1" x14ac:dyDescent="0.4">
      <c r="A121" s="7" t="s">
        <v>83</v>
      </c>
      <c r="B121" s="5" t="s">
        <v>48</v>
      </c>
      <c r="C121" s="25">
        <v>2.7143999999999999</v>
      </c>
      <c r="D121" s="5">
        <f>(References!C73*4)-(References!B73*1)-(References!A73*2)</f>
        <v>8.8800000000000008</v>
      </c>
      <c r="E121" s="5">
        <f t="shared" si="8"/>
        <v>13</v>
      </c>
      <c r="F121" s="5">
        <f t="shared" si="9"/>
        <v>2.2200000000000002</v>
      </c>
      <c r="G121" s="5">
        <v>0.65</v>
      </c>
      <c r="H121" s="5">
        <v>24</v>
      </c>
      <c r="I121" s="28">
        <f>(References!T$4)-(References!T$3/2)</f>
        <v>30.45</v>
      </c>
      <c r="J121" s="5">
        <f t="shared" si="6"/>
        <v>12.343</v>
      </c>
      <c r="K121" s="14">
        <f t="shared" si="7"/>
        <v>313.35033600000003</v>
      </c>
    </row>
    <row r="122" spans="1:11" ht="15" thickBot="1" x14ac:dyDescent="0.4">
      <c r="A122" s="7" t="s">
        <v>72</v>
      </c>
      <c r="B122" s="5" t="s">
        <v>47</v>
      </c>
      <c r="C122" s="25">
        <v>2.7143999999999999</v>
      </c>
      <c r="D122" s="5">
        <f>(References!C74*4)-(References!B74*1)-(References!A74*2)</f>
        <v>11.67</v>
      </c>
      <c r="E122" s="5">
        <f t="shared" si="8"/>
        <v>25</v>
      </c>
      <c r="F122" s="5">
        <f t="shared" si="9"/>
        <v>-0.55000000000000004</v>
      </c>
      <c r="G122" s="5">
        <v>0.65</v>
      </c>
      <c r="H122" s="5">
        <v>22.5</v>
      </c>
      <c r="I122" s="28">
        <f>(References!T$4)-(References!T$3/2)</f>
        <v>30.45</v>
      </c>
      <c r="J122" s="5">
        <f t="shared" si="6"/>
        <v>19.842499999999998</v>
      </c>
      <c r="K122" s="14">
        <f t="shared" si="7"/>
        <v>791.92619999999999</v>
      </c>
    </row>
    <row r="123" spans="1:11" ht="15" thickBot="1" x14ac:dyDescent="0.4">
      <c r="A123" s="7" t="s">
        <v>71</v>
      </c>
      <c r="B123" s="5" t="s">
        <v>47</v>
      </c>
      <c r="C123" s="25">
        <v>2.7143999999999999</v>
      </c>
      <c r="D123" s="5">
        <f>(References!C75*4)-(References!B75*1)-(References!A75*2)</f>
        <v>10.6</v>
      </c>
      <c r="E123" s="5">
        <f t="shared" si="8"/>
        <v>25</v>
      </c>
      <c r="F123" s="5">
        <f t="shared" si="9"/>
        <v>-0.55000000000000004</v>
      </c>
      <c r="G123" s="5">
        <v>0.65</v>
      </c>
      <c r="H123" s="5">
        <v>22.5</v>
      </c>
      <c r="I123" s="28">
        <f>(References!T$4)-(References!T$3/2)</f>
        <v>30.45</v>
      </c>
      <c r="J123" s="5">
        <f t="shared" si="6"/>
        <v>19.842499999999998</v>
      </c>
      <c r="K123" s="14">
        <f t="shared" si="7"/>
        <v>719.31600000000003</v>
      </c>
    </row>
    <row r="124" spans="1:11" ht="15" thickBot="1" x14ac:dyDescent="0.4">
      <c r="A124" s="7" t="s">
        <v>71</v>
      </c>
      <c r="B124" s="5" t="s">
        <v>47</v>
      </c>
      <c r="C124" s="25">
        <v>2.7143999999999999</v>
      </c>
      <c r="D124" s="5">
        <f>(References!C76*4)-(References!B76*1)-(References!A76*2)</f>
        <v>10.6</v>
      </c>
      <c r="E124" s="5">
        <f t="shared" si="8"/>
        <v>25</v>
      </c>
      <c r="F124" s="5">
        <f t="shared" si="9"/>
        <v>-0.55000000000000004</v>
      </c>
      <c r="G124" s="5">
        <v>0.65</v>
      </c>
      <c r="H124" s="5">
        <v>22.5</v>
      </c>
      <c r="I124" s="28">
        <f>(References!T$4)-(References!T$3/2)</f>
        <v>30.45</v>
      </c>
      <c r="J124" s="5">
        <f t="shared" si="6"/>
        <v>19.842499999999998</v>
      </c>
      <c r="K124" s="14">
        <f t="shared" si="7"/>
        <v>719.31600000000003</v>
      </c>
    </row>
    <row r="125" spans="1:11" ht="15" thickBot="1" x14ac:dyDescent="0.4">
      <c r="A125" s="7" t="s">
        <v>71</v>
      </c>
      <c r="B125" s="5" t="s">
        <v>47</v>
      </c>
      <c r="C125" s="25">
        <v>2.7143999999999999</v>
      </c>
      <c r="D125" s="5">
        <f>(References!C77*4)-(References!B77*1)-(References!A77*2)</f>
        <v>10.6</v>
      </c>
      <c r="E125" s="5">
        <f t="shared" si="8"/>
        <v>25</v>
      </c>
      <c r="F125" s="5">
        <f t="shared" si="9"/>
        <v>-0.55000000000000004</v>
      </c>
      <c r="G125" s="5">
        <v>0.65</v>
      </c>
      <c r="H125" s="5">
        <v>22.5</v>
      </c>
      <c r="I125" s="28">
        <f>(References!T$4)-(References!T$3/2)</f>
        <v>30.45</v>
      </c>
      <c r="J125" s="5">
        <f t="shared" si="6"/>
        <v>19.842499999999998</v>
      </c>
      <c r="K125" s="14">
        <f t="shared" si="7"/>
        <v>719.31600000000003</v>
      </c>
    </row>
    <row r="126" spans="1:11" ht="15" thickBot="1" x14ac:dyDescent="0.4">
      <c r="A126" s="7" t="s">
        <v>71</v>
      </c>
      <c r="B126" s="5" t="s">
        <v>47</v>
      </c>
      <c r="C126" s="25">
        <v>2.7143999999999999</v>
      </c>
      <c r="D126" s="5">
        <f>(References!C78*4)-(References!B78*1)-(References!A78*2)</f>
        <v>10.6</v>
      </c>
      <c r="E126" s="5">
        <f t="shared" si="8"/>
        <v>25</v>
      </c>
      <c r="F126" s="5">
        <f t="shared" si="9"/>
        <v>-0.55000000000000004</v>
      </c>
      <c r="G126" s="5">
        <v>0.65</v>
      </c>
      <c r="H126" s="5">
        <v>22.5</v>
      </c>
      <c r="I126" s="28">
        <f>(References!T$4)-(References!T$3/2)</f>
        <v>30.45</v>
      </c>
      <c r="J126" s="5">
        <f t="shared" si="6"/>
        <v>19.842499999999998</v>
      </c>
      <c r="K126" s="14">
        <f t="shared" si="7"/>
        <v>719.31600000000003</v>
      </c>
    </row>
    <row r="127" spans="1:11" ht="15" thickBot="1" x14ac:dyDescent="0.4">
      <c r="A127" s="7" t="s">
        <v>70</v>
      </c>
      <c r="B127" s="5" t="s">
        <v>50</v>
      </c>
      <c r="C127" s="25">
        <v>2.7143999999999999</v>
      </c>
      <c r="D127" s="5">
        <f>(References!C79*4)-(References!B79*1)-(References!A79*2)</f>
        <v>8.8800000000000008</v>
      </c>
      <c r="E127" s="5">
        <f t="shared" si="8"/>
        <v>22</v>
      </c>
      <c r="F127" s="5">
        <f t="shared" si="9"/>
        <v>-3.88</v>
      </c>
      <c r="G127" s="5">
        <v>0.65</v>
      </c>
      <c r="H127" s="5">
        <v>22.5</v>
      </c>
      <c r="I127" s="28">
        <f>(References!T$4)-(References!T$3/2)</f>
        <v>30.45</v>
      </c>
      <c r="J127" s="5">
        <f t="shared" si="6"/>
        <v>15.728</v>
      </c>
      <c r="K127" s="14">
        <f t="shared" si="7"/>
        <v>530.28518400000007</v>
      </c>
    </row>
    <row r="128" spans="1:11" ht="15" thickBot="1" x14ac:dyDescent="0.4">
      <c r="A128" s="7" t="s">
        <v>69</v>
      </c>
      <c r="B128" s="5" t="s">
        <v>47</v>
      </c>
      <c r="C128" s="25">
        <v>2.7143999999999999</v>
      </c>
      <c r="D128" s="5">
        <f>(References!C80*4)-(References!B80*1)-(References!A80*2)</f>
        <v>13.4</v>
      </c>
      <c r="E128" s="5">
        <f t="shared" si="8"/>
        <v>25</v>
      </c>
      <c r="F128" s="5">
        <f t="shared" si="9"/>
        <v>-0.55000000000000004</v>
      </c>
      <c r="G128" s="5">
        <v>0.65</v>
      </c>
      <c r="H128" s="5">
        <v>22.5</v>
      </c>
      <c r="I128" s="28">
        <f>(References!T$4)-(References!T$3/2)</f>
        <v>30.45</v>
      </c>
      <c r="J128" s="5">
        <f t="shared" si="6"/>
        <v>19.842499999999998</v>
      </c>
      <c r="K128" s="14">
        <f t="shared" si="7"/>
        <v>909.32399999999996</v>
      </c>
    </row>
    <row r="129" spans="1:11" ht="15" thickBot="1" x14ac:dyDescent="0.4">
      <c r="A129" s="7" t="s">
        <v>89</v>
      </c>
      <c r="B129" s="5" t="s">
        <v>47</v>
      </c>
      <c r="C129" s="25">
        <v>2.7143999999999999</v>
      </c>
      <c r="D129" s="5">
        <f>(References!C81*4)-(References!B81*0.6)-(References!A81*2)</f>
        <v>9.0400000000000009</v>
      </c>
      <c r="E129" s="5">
        <f t="shared" si="8"/>
        <v>25</v>
      </c>
      <c r="F129" s="5">
        <f t="shared" si="9"/>
        <v>-0.55000000000000004</v>
      </c>
      <c r="G129" s="5">
        <v>0.65</v>
      </c>
      <c r="H129" s="5">
        <v>22.5</v>
      </c>
      <c r="I129" s="28">
        <f>(References!T$4)-(References!T$3/2)</f>
        <v>30.45</v>
      </c>
      <c r="J129" s="5">
        <f t="shared" si="6"/>
        <v>19.842499999999998</v>
      </c>
      <c r="K129" s="14">
        <f t="shared" si="7"/>
        <v>613.45440000000008</v>
      </c>
    </row>
    <row r="130" spans="1:11" ht="15" thickBot="1" x14ac:dyDescent="0.4">
      <c r="A130" s="22" t="s">
        <v>66</v>
      </c>
      <c r="B130" s="20" t="s">
        <v>47</v>
      </c>
      <c r="C130" s="32">
        <v>2.7143999999999999</v>
      </c>
      <c r="D130" s="20">
        <f>(References!C82*4)-(References!B82*1)-(References!A82*2)</f>
        <v>2.4000000000000004</v>
      </c>
      <c r="E130" s="20">
        <f t="shared" si="8"/>
        <v>25</v>
      </c>
      <c r="F130" s="20">
        <f t="shared" si="9"/>
        <v>-0.55000000000000004</v>
      </c>
      <c r="G130" s="20">
        <v>0.65</v>
      </c>
      <c r="H130" s="20">
        <v>22.5</v>
      </c>
      <c r="I130" s="33">
        <f>(References!T$4)-(References!T$3/2)</f>
        <v>30.45</v>
      </c>
      <c r="J130" s="20">
        <f t="shared" si="6"/>
        <v>19.842499999999998</v>
      </c>
      <c r="K130" s="21">
        <f t="shared" si="7"/>
        <v>162.864</v>
      </c>
    </row>
    <row r="131" spans="1:11" ht="15" thickBot="1" x14ac:dyDescent="0.4">
      <c r="J131" s="43" t="s">
        <v>162</v>
      </c>
      <c r="K131" s="43">
        <f>SUM(Table2[Q(W)])</f>
        <v>47844.530136000001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9744-B858-49F8-871A-685DD67EF54F}">
  <sheetPr codeName="Sheet2"/>
  <dimension ref="A1:R101"/>
  <sheetViews>
    <sheetView topLeftCell="A46" workbookViewId="0">
      <selection activeCell="F5" sqref="F5"/>
    </sheetView>
  </sheetViews>
  <sheetFormatPr defaultRowHeight="14.5" x14ac:dyDescent="0.35"/>
  <cols>
    <col min="1" max="1" width="33.26953125" customWidth="1"/>
    <col min="2" max="2" width="12.26953125" customWidth="1"/>
    <col min="10" max="11" width="9.26953125" customWidth="1"/>
  </cols>
  <sheetData>
    <row r="1" spans="1:11" x14ac:dyDescent="0.35">
      <c r="A1" s="61" t="s">
        <v>12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3.5" x14ac:dyDescent="0.55000000000000004">
      <c r="A2" s="59" t="s">
        <v>161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15" thickBot="1" x14ac:dyDescent="0.4">
      <c r="A3" s="40" t="s">
        <v>0</v>
      </c>
      <c r="B3" s="41" t="s">
        <v>1</v>
      </c>
      <c r="C3" s="41" t="s">
        <v>2</v>
      </c>
      <c r="D3" s="41" t="s">
        <v>13</v>
      </c>
      <c r="E3" s="41" t="s">
        <v>7</v>
      </c>
      <c r="F3" s="41" t="s">
        <v>3</v>
      </c>
      <c r="G3" s="41" t="s">
        <v>14</v>
      </c>
      <c r="H3" s="41" t="s">
        <v>15</v>
      </c>
      <c r="I3" s="41" t="s">
        <v>16</v>
      </c>
      <c r="J3" s="41" t="s">
        <v>18</v>
      </c>
      <c r="K3" s="42" t="s">
        <v>17</v>
      </c>
    </row>
    <row r="4" spans="1:11" ht="15" thickBot="1" x14ac:dyDescent="0.4">
      <c r="A4" s="7" t="s">
        <v>55</v>
      </c>
      <c r="B4" s="5" t="s">
        <v>47</v>
      </c>
      <c r="C4" s="5">
        <v>2.8721999999999999</v>
      </c>
      <c r="D4" s="5">
        <v>34.5</v>
      </c>
      <c r="E4" s="5">
        <v>22.5</v>
      </c>
      <c r="F4" s="5">
        <f>References!E5*References!F5</f>
        <v>2</v>
      </c>
      <c r="G4" s="5">
        <f>_xlfn.IFS(B4="E",685,B4="N",120,B4="W",685,B4="S",230)</f>
        <v>685</v>
      </c>
      <c r="H4" s="5">
        <f>_xlfn.IFS(B4="E",0.8,B4="N",0.91,B4="W",0.82,B4="S",0.83)</f>
        <v>0.8</v>
      </c>
      <c r="I4" s="5">
        <v>0.55000000000000004</v>
      </c>
      <c r="J4" s="5">
        <f>G4*H4*F4*I4</f>
        <v>602.80000000000007</v>
      </c>
      <c r="K4" s="14">
        <f>(C4*F4)*(D4-E4)</f>
        <v>68.9328</v>
      </c>
    </row>
    <row r="5" spans="1:11" ht="15" thickBot="1" x14ac:dyDescent="0.4">
      <c r="A5" s="7" t="s">
        <v>56</v>
      </c>
      <c r="B5" s="5" t="s">
        <v>48</v>
      </c>
      <c r="C5" s="5">
        <v>2.8721999999999999</v>
      </c>
      <c r="D5" s="5">
        <v>34.5</v>
      </c>
      <c r="E5" s="5">
        <v>22.5</v>
      </c>
      <c r="F5" s="5">
        <f>References!E6*References!F6</f>
        <v>1.2</v>
      </c>
      <c r="G5" s="5">
        <f t="shared" ref="G5:G33" si="0">_xlfn.IFS(B5="E",685,B5="N",120,B5="W",685,B5="S",230)</f>
        <v>120</v>
      </c>
      <c r="H5" s="5">
        <f t="shared" ref="H5:H33" si="1">_xlfn.IFS(B5="E",0.8,B5="N",0.91,B5="W",0.82,B5="S",0.83)</f>
        <v>0.91</v>
      </c>
      <c r="I5" s="5">
        <v>0.55000000000000004</v>
      </c>
      <c r="J5" s="5">
        <f t="shared" ref="J5:J33" si="2">G5*H5*F5*I5</f>
        <v>72.072000000000003</v>
      </c>
      <c r="K5" s="14">
        <f t="shared" ref="K5:K33" si="3">(C5*F5)*(D5-E5)</f>
        <v>41.359679999999997</v>
      </c>
    </row>
    <row r="6" spans="1:11" ht="15" thickBot="1" x14ac:dyDescent="0.4">
      <c r="A6" s="7" t="s">
        <v>57</v>
      </c>
      <c r="B6" s="5" t="s">
        <v>48</v>
      </c>
      <c r="C6" s="5">
        <v>2.8721999999999999</v>
      </c>
      <c r="D6" s="5">
        <v>34.5</v>
      </c>
      <c r="E6" s="5">
        <v>22.5</v>
      </c>
      <c r="F6" s="5">
        <f>References!E7*References!F7</f>
        <v>0.36</v>
      </c>
      <c r="G6" s="5">
        <f t="shared" si="0"/>
        <v>120</v>
      </c>
      <c r="H6" s="5">
        <f t="shared" si="1"/>
        <v>0.91</v>
      </c>
      <c r="I6" s="5">
        <v>0.55000000000000004</v>
      </c>
      <c r="J6" s="5">
        <f t="shared" si="2"/>
        <v>21.621600000000001</v>
      </c>
      <c r="K6" s="14">
        <f t="shared" si="3"/>
        <v>12.407904</v>
      </c>
    </row>
    <row r="7" spans="1:11" ht="15" thickBot="1" x14ac:dyDescent="0.4">
      <c r="A7" s="7" t="s">
        <v>102</v>
      </c>
      <c r="B7" s="5" t="s">
        <v>48</v>
      </c>
      <c r="C7" s="5">
        <v>2.8721999999999999</v>
      </c>
      <c r="D7" s="5">
        <v>34.5</v>
      </c>
      <c r="E7" s="5">
        <v>24</v>
      </c>
      <c r="F7" s="5">
        <f>References!E8*References!F8</f>
        <v>0.72</v>
      </c>
      <c r="G7" s="5">
        <f t="shared" si="0"/>
        <v>120</v>
      </c>
      <c r="H7" s="5">
        <f t="shared" si="1"/>
        <v>0.91</v>
      </c>
      <c r="I7" s="5">
        <v>0.55000000000000004</v>
      </c>
      <c r="J7" s="5">
        <f t="shared" si="2"/>
        <v>43.243200000000002</v>
      </c>
      <c r="K7" s="14">
        <f t="shared" si="3"/>
        <v>21.713832</v>
      </c>
    </row>
    <row r="8" spans="1:11" ht="15" thickBot="1" x14ac:dyDescent="0.4">
      <c r="A8" s="7" t="s">
        <v>59</v>
      </c>
      <c r="B8" s="5" t="s">
        <v>48</v>
      </c>
      <c r="C8" s="5">
        <v>2.8721999999999999</v>
      </c>
      <c r="D8" s="5">
        <v>34.5</v>
      </c>
      <c r="E8" s="5">
        <v>24</v>
      </c>
      <c r="F8" s="5">
        <f>References!E9*References!F9</f>
        <v>0.72</v>
      </c>
      <c r="G8" s="5">
        <f t="shared" si="0"/>
        <v>120</v>
      </c>
      <c r="H8" s="5">
        <f t="shared" si="1"/>
        <v>0.91</v>
      </c>
      <c r="I8" s="5">
        <v>0.55000000000000004</v>
      </c>
      <c r="J8" s="5">
        <f t="shared" si="2"/>
        <v>43.243200000000002</v>
      </c>
      <c r="K8" s="14">
        <f t="shared" si="3"/>
        <v>21.713832</v>
      </c>
    </row>
    <row r="9" spans="1:11" ht="15" thickBot="1" x14ac:dyDescent="0.4">
      <c r="A9" s="7" t="s">
        <v>103</v>
      </c>
      <c r="B9" s="5" t="s">
        <v>48</v>
      </c>
      <c r="C9" s="5">
        <v>2.8210999999999999</v>
      </c>
      <c r="D9" s="5">
        <v>34.5</v>
      </c>
      <c r="E9" s="5">
        <v>22</v>
      </c>
      <c r="F9" s="5">
        <f>References!E10*References!F10</f>
        <v>1.6</v>
      </c>
      <c r="G9" s="5">
        <f t="shared" si="0"/>
        <v>120</v>
      </c>
      <c r="H9" s="5">
        <f t="shared" si="1"/>
        <v>0.91</v>
      </c>
      <c r="I9" s="5">
        <v>0.55000000000000004</v>
      </c>
      <c r="J9" s="5">
        <f t="shared" si="2"/>
        <v>96.096000000000018</v>
      </c>
      <c r="K9" s="14">
        <f t="shared" si="3"/>
        <v>56.422000000000004</v>
      </c>
    </row>
    <row r="10" spans="1:11" ht="15" thickBot="1" x14ac:dyDescent="0.4">
      <c r="A10" s="7" t="s">
        <v>104</v>
      </c>
      <c r="B10" s="5" t="s">
        <v>48</v>
      </c>
      <c r="C10" s="5">
        <v>2.8721999999999999</v>
      </c>
      <c r="D10" s="5">
        <v>34.5</v>
      </c>
      <c r="E10" s="5">
        <v>22.5</v>
      </c>
      <c r="F10" s="5">
        <f>References!E11*References!F11</f>
        <v>2.2000000000000002</v>
      </c>
      <c r="G10" s="5">
        <f t="shared" si="0"/>
        <v>120</v>
      </c>
      <c r="H10" s="5">
        <f t="shared" si="1"/>
        <v>0.91</v>
      </c>
      <c r="I10" s="5">
        <v>0.55000000000000004</v>
      </c>
      <c r="J10" s="5">
        <f t="shared" si="2"/>
        <v>132.13200000000003</v>
      </c>
      <c r="K10" s="14">
        <f t="shared" si="3"/>
        <v>75.82607999999999</v>
      </c>
    </row>
    <row r="11" spans="1:11" ht="15" thickBot="1" x14ac:dyDescent="0.4">
      <c r="A11" s="7" t="s">
        <v>105</v>
      </c>
      <c r="B11" s="5" t="s">
        <v>48</v>
      </c>
      <c r="C11" s="5">
        <v>2.8721999999999999</v>
      </c>
      <c r="D11" s="5">
        <v>34.5</v>
      </c>
      <c r="E11" s="5">
        <v>22.5</v>
      </c>
      <c r="F11" s="5">
        <f>References!E12*References!F12</f>
        <v>0.72</v>
      </c>
      <c r="G11" s="5">
        <f t="shared" si="0"/>
        <v>120</v>
      </c>
      <c r="H11" s="5">
        <f t="shared" si="1"/>
        <v>0.91</v>
      </c>
      <c r="I11" s="5">
        <v>0.55000000000000004</v>
      </c>
      <c r="J11" s="5">
        <f t="shared" si="2"/>
        <v>43.243200000000002</v>
      </c>
      <c r="K11" s="14">
        <f t="shared" si="3"/>
        <v>24.815808000000001</v>
      </c>
    </row>
    <row r="12" spans="1:11" ht="15" thickBot="1" x14ac:dyDescent="0.4">
      <c r="A12" s="7" t="s">
        <v>106</v>
      </c>
      <c r="B12" s="5" t="s">
        <v>49</v>
      </c>
      <c r="C12" s="5">
        <v>2.8721999999999999</v>
      </c>
      <c r="D12" s="5">
        <v>34.5</v>
      </c>
      <c r="E12" s="5">
        <v>22.5</v>
      </c>
      <c r="F12" s="5">
        <f>References!E13*References!F13</f>
        <v>2</v>
      </c>
      <c r="G12" s="5">
        <f t="shared" si="0"/>
        <v>685</v>
      </c>
      <c r="H12" s="5">
        <f t="shared" si="1"/>
        <v>0.82</v>
      </c>
      <c r="I12" s="5">
        <v>0.55000000000000004</v>
      </c>
      <c r="J12" s="5">
        <f t="shared" si="2"/>
        <v>617.87</v>
      </c>
      <c r="K12" s="14">
        <f t="shared" si="3"/>
        <v>68.9328</v>
      </c>
    </row>
    <row r="13" spans="1:11" ht="15" thickBot="1" x14ac:dyDescent="0.4">
      <c r="A13" s="7" t="s">
        <v>65</v>
      </c>
      <c r="B13" s="5" t="s">
        <v>49</v>
      </c>
      <c r="C13" s="5">
        <v>2.8721999999999999</v>
      </c>
      <c r="D13" s="5">
        <v>34.5</v>
      </c>
      <c r="E13" s="5">
        <v>22.5</v>
      </c>
      <c r="F13" s="5">
        <f>References!E14*References!F14</f>
        <v>2.75</v>
      </c>
      <c r="G13" s="5">
        <f t="shared" si="0"/>
        <v>685</v>
      </c>
      <c r="H13" s="5">
        <f t="shared" si="1"/>
        <v>0.82</v>
      </c>
      <c r="I13" s="5">
        <v>0.55000000000000004</v>
      </c>
      <c r="J13" s="5">
        <f t="shared" si="2"/>
        <v>849.57124999999996</v>
      </c>
      <c r="K13" s="14">
        <f t="shared" ref="K13" si="4">(C13*F13)*(D13-E13)</f>
        <v>94.782599999999988</v>
      </c>
    </row>
    <row r="14" spans="1:11" ht="15" thickBot="1" x14ac:dyDescent="0.4">
      <c r="A14" s="7" t="s">
        <v>65</v>
      </c>
      <c r="B14" s="5" t="s">
        <v>49</v>
      </c>
      <c r="C14" s="5">
        <v>2.8210999999999999</v>
      </c>
      <c r="D14" s="5">
        <v>34.5</v>
      </c>
      <c r="E14" s="5">
        <v>22.5</v>
      </c>
      <c r="F14" s="5">
        <f>References!E15*References!F15</f>
        <v>9</v>
      </c>
      <c r="G14" s="5">
        <f t="shared" si="0"/>
        <v>685</v>
      </c>
      <c r="H14" s="5">
        <f t="shared" si="1"/>
        <v>0.82</v>
      </c>
      <c r="I14" s="5">
        <v>0.55000000000000004</v>
      </c>
      <c r="J14" s="5">
        <f t="shared" si="2"/>
        <v>2780.415</v>
      </c>
      <c r="K14" s="14">
        <f t="shared" si="3"/>
        <v>304.67880000000002</v>
      </c>
    </row>
    <row r="15" spans="1:11" ht="15" thickBot="1" x14ac:dyDescent="0.4">
      <c r="A15" s="7" t="s">
        <v>108</v>
      </c>
      <c r="B15" s="5" t="s">
        <v>48</v>
      </c>
      <c r="C15" s="5">
        <v>2.8721999999999999</v>
      </c>
      <c r="D15" s="5">
        <v>34.5</v>
      </c>
      <c r="E15" s="5">
        <v>22.5</v>
      </c>
      <c r="F15" s="5">
        <f>References!E16*References!F16</f>
        <v>0.6</v>
      </c>
      <c r="G15" s="5">
        <f t="shared" si="0"/>
        <v>120</v>
      </c>
      <c r="H15" s="5">
        <f t="shared" si="1"/>
        <v>0.91</v>
      </c>
      <c r="I15" s="5">
        <v>0.55000000000000004</v>
      </c>
      <c r="J15" s="5">
        <f t="shared" si="2"/>
        <v>36.036000000000001</v>
      </c>
      <c r="K15" s="14">
        <f t="shared" si="3"/>
        <v>20.679839999999999</v>
      </c>
    </row>
    <row r="16" spans="1:11" ht="15" thickBot="1" x14ac:dyDescent="0.4">
      <c r="A16" s="7" t="s">
        <v>109</v>
      </c>
      <c r="B16" s="5" t="s">
        <v>49</v>
      </c>
      <c r="C16" s="5">
        <v>2.8721999999999999</v>
      </c>
      <c r="D16" s="5">
        <v>34.5</v>
      </c>
      <c r="E16" s="5">
        <v>22.5</v>
      </c>
      <c r="F16" s="5">
        <f>References!E17*References!F17</f>
        <v>4.2</v>
      </c>
      <c r="G16" s="5">
        <f t="shared" si="0"/>
        <v>685</v>
      </c>
      <c r="H16" s="5">
        <f t="shared" si="1"/>
        <v>0.82</v>
      </c>
      <c r="I16" s="5">
        <v>0.55000000000000004</v>
      </c>
      <c r="J16" s="5">
        <f t="shared" si="2"/>
        <v>1297.527</v>
      </c>
      <c r="K16" s="14">
        <f t="shared" si="3"/>
        <v>144.75888</v>
      </c>
    </row>
    <row r="17" spans="1:11" ht="15" thickBot="1" x14ac:dyDescent="0.4">
      <c r="A17" s="7" t="s">
        <v>107</v>
      </c>
      <c r="B17" s="5" t="s">
        <v>49</v>
      </c>
      <c r="C17" s="5">
        <v>2.8721999999999999</v>
      </c>
      <c r="D17" s="5">
        <v>34.5</v>
      </c>
      <c r="E17" s="5">
        <v>24</v>
      </c>
      <c r="F17" s="5">
        <f>References!E18*References!F18</f>
        <v>0.36</v>
      </c>
      <c r="G17" s="5">
        <f t="shared" si="0"/>
        <v>685</v>
      </c>
      <c r="H17" s="5">
        <f t="shared" si="1"/>
        <v>0.82</v>
      </c>
      <c r="I17" s="5">
        <v>0.55000000000000004</v>
      </c>
      <c r="J17" s="5">
        <f t="shared" si="2"/>
        <v>111.21659999999999</v>
      </c>
      <c r="K17" s="14">
        <f t="shared" si="3"/>
        <v>10.856916</v>
      </c>
    </row>
    <row r="18" spans="1:11" ht="15" thickBot="1" x14ac:dyDescent="0.4">
      <c r="A18" s="7" t="s">
        <v>110</v>
      </c>
      <c r="B18" s="5" t="s">
        <v>49</v>
      </c>
      <c r="C18" s="5">
        <v>2.8721999999999999</v>
      </c>
      <c r="D18" s="5">
        <v>34.5</v>
      </c>
      <c r="E18" s="5">
        <v>22.5</v>
      </c>
      <c r="F18" s="5">
        <f>References!E19*References!F19</f>
        <v>0.6</v>
      </c>
      <c r="G18" s="5">
        <f t="shared" si="0"/>
        <v>685</v>
      </c>
      <c r="H18" s="5">
        <f t="shared" si="1"/>
        <v>0.82</v>
      </c>
      <c r="I18" s="5">
        <v>0.55000000000000004</v>
      </c>
      <c r="J18" s="5">
        <f t="shared" si="2"/>
        <v>185.36099999999996</v>
      </c>
      <c r="K18" s="14">
        <f t="shared" si="3"/>
        <v>20.679839999999999</v>
      </c>
    </row>
    <row r="19" spans="1:11" ht="15" thickBot="1" x14ac:dyDescent="0.4">
      <c r="A19" s="7" t="s">
        <v>111</v>
      </c>
      <c r="B19" s="5" t="s">
        <v>50</v>
      </c>
      <c r="C19" s="5">
        <v>2.8721999999999999</v>
      </c>
      <c r="D19" s="5">
        <v>34.5</v>
      </c>
      <c r="E19" s="5">
        <v>22.5</v>
      </c>
      <c r="F19" s="5">
        <f>References!E20*References!F20</f>
        <v>1.6</v>
      </c>
      <c r="G19" s="5">
        <f t="shared" si="0"/>
        <v>230</v>
      </c>
      <c r="H19" s="5">
        <f t="shared" si="1"/>
        <v>0.83</v>
      </c>
      <c r="I19" s="5">
        <v>0.55000000000000004</v>
      </c>
      <c r="J19" s="5">
        <f t="shared" si="2"/>
        <v>167.99200000000002</v>
      </c>
      <c r="K19" s="14">
        <f t="shared" si="3"/>
        <v>55.146239999999992</v>
      </c>
    </row>
    <row r="20" spans="1:11" ht="15" thickBot="1" x14ac:dyDescent="0.4">
      <c r="A20" s="7" t="s">
        <v>112</v>
      </c>
      <c r="B20" s="5" t="s">
        <v>50</v>
      </c>
      <c r="C20" s="5">
        <v>2.8721999999999999</v>
      </c>
      <c r="D20" s="5">
        <v>34.5</v>
      </c>
      <c r="E20" s="5">
        <v>24</v>
      </c>
      <c r="F20" s="5">
        <f>References!E21*References!F21</f>
        <v>0.36</v>
      </c>
      <c r="G20" s="5">
        <f t="shared" si="0"/>
        <v>230</v>
      </c>
      <c r="H20" s="5">
        <f t="shared" si="1"/>
        <v>0.83</v>
      </c>
      <c r="I20" s="5">
        <v>0.55000000000000004</v>
      </c>
      <c r="J20" s="5">
        <f t="shared" si="2"/>
        <v>37.798199999999994</v>
      </c>
      <c r="K20" s="14">
        <f t="shared" si="3"/>
        <v>10.856916</v>
      </c>
    </row>
    <row r="21" spans="1:11" ht="15" thickBot="1" x14ac:dyDescent="0.4">
      <c r="A21" s="7" t="s">
        <v>113</v>
      </c>
      <c r="B21" s="5" t="s">
        <v>49</v>
      </c>
      <c r="C21" s="5">
        <v>2.8721999999999999</v>
      </c>
      <c r="D21" s="5">
        <v>34.5</v>
      </c>
      <c r="E21" s="5">
        <v>24</v>
      </c>
      <c r="F21" s="5">
        <f>References!E22*References!F22</f>
        <v>4.2</v>
      </c>
      <c r="G21" s="5">
        <f t="shared" si="0"/>
        <v>685</v>
      </c>
      <c r="H21" s="5">
        <f t="shared" si="1"/>
        <v>0.82</v>
      </c>
      <c r="I21" s="5">
        <v>0.55000000000000004</v>
      </c>
      <c r="J21" s="5">
        <f t="shared" si="2"/>
        <v>1297.527</v>
      </c>
      <c r="K21" s="14">
        <f t="shared" si="3"/>
        <v>126.66402000000001</v>
      </c>
    </row>
    <row r="22" spans="1:11" ht="15" thickBot="1" x14ac:dyDescent="0.4">
      <c r="A22" s="7" t="s">
        <v>114</v>
      </c>
      <c r="B22" s="5" t="s">
        <v>50</v>
      </c>
      <c r="C22" s="5">
        <v>2.8721999999999999</v>
      </c>
      <c r="D22" s="5">
        <v>34.5</v>
      </c>
      <c r="E22" s="5">
        <v>24</v>
      </c>
      <c r="F22" s="5">
        <f>References!E23*References!F23</f>
        <v>8.4</v>
      </c>
      <c r="G22" s="5">
        <f t="shared" si="0"/>
        <v>230</v>
      </c>
      <c r="H22" s="5">
        <f t="shared" si="1"/>
        <v>0.83</v>
      </c>
      <c r="I22" s="5">
        <v>0.55000000000000004</v>
      </c>
      <c r="J22" s="5">
        <f t="shared" si="2"/>
        <v>881.95800000000008</v>
      </c>
      <c r="K22" s="14">
        <f t="shared" si="3"/>
        <v>253.32804000000002</v>
      </c>
    </row>
    <row r="23" spans="1:11" ht="15" thickBot="1" x14ac:dyDescent="0.4">
      <c r="A23" s="7" t="s">
        <v>115</v>
      </c>
      <c r="B23" s="5" t="s">
        <v>47</v>
      </c>
      <c r="C23" s="5">
        <v>2.8721999999999999</v>
      </c>
      <c r="D23" s="5">
        <v>34.5</v>
      </c>
      <c r="E23" s="5">
        <v>24</v>
      </c>
      <c r="F23" s="5">
        <f>References!E24*References!F24</f>
        <v>1.4</v>
      </c>
      <c r="G23" s="5">
        <f t="shared" si="0"/>
        <v>685</v>
      </c>
      <c r="H23" s="5">
        <f t="shared" si="1"/>
        <v>0.8</v>
      </c>
      <c r="I23" s="5">
        <v>0.55000000000000004</v>
      </c>
      <c r="J23" s="5">
        <f t="shared" si="2"/>
        <v>421.96</v>
      </c>
      <c r="K23" s="14">
        <f t="shared" si="3"/>
        <v>42.221339999999998</v>
      </c>
    </row>
    <row r="24" spans="1:11" ht="15" thickBot="1" x14ac:dyDescent="0.4">
      <c r="A24" s="7" t="s">
        <v>116</v>
      </c>
      <c r="B24" s="5" t="s">
        <v>50</v>
      </c>
      <c r="C24" s="5">
        <v>2.8721999999999999</v>
      </c>
      <c r="D24" s="5">
        <v>34.5</v>
      </c>
      <c r="E24" s="5">
        <v>22.5</v>
      </c>
      <c r="F24" s="5">
        <f>References!E25*References!F25</f>
        <v>2.4</v>
      </c>
      <c r="G24" s="5">
        <f t="shared" si="0"/>
        <v>230</v>
      </c>
      <c r="H24" s="5">
        <f t="shared" si="1"/>
        <v>0.83</v>
      </c>
      <c r="I24" s="5">
        <v>0.55000000000000004</v>
      </c>
      <c r="J24" s="5">
        <f t="shared" si="2"/>
        <v>251.98799999999997</v>
      </c>
      <c r="K24" s="14">
        <f t="shared" si="3"/>
        <v>82.719359999999995</v>
      </c>
    </row>
    <row r="25" spans="1:11" ht="15" thickBot="1" x14ac:dyDescent="0.4">
      <c r="A25" s="7" t="s">
        <v>117</v>
      </c>
      <c r="B25" s="5" t="s">
        <v>50</v>
      </c>
      <c r="C25" s="5">
        <v>2.8721999999999999</v>
      </c>
      <c r="D25" s="5">
        <v>34.5</v>
      </c>
      <c r="E25" s="5">
        <v>22.5</v>
      </c>
      <c r="F25" s="5">
        <f>References!E26*References!F26</f>
        <v>2.8</v>
      </c>
      <c r="G25" s="5">
        <f t="shared" si="0"/>
        <v>230</v>
      </c>
      <c r="H25" s="5">
        <f t="shared" si="1"/>
        <v>0.83</v>
      </c>
      <c r="I25" s="5">
        <v>0.55000000000000004</v>
      </c>
      <c r="J25" s="5">
        <f t="shared" si="2"/>
        <v>293.98599999999993</v>
      </c>
      <c r="K25" s="14">
        <f t="shared" si="3"/>
        <v>96.505919999999989</v>
      </c>
    </row>
    <row r="26" spans="1:11" ht="15" thickBot="1" x14ac:dyDescent="0.4">
      <c r="A26" s="7" t="s">
        <v>118</v>
      </c>
      <c r="B26" s="5" t="s">
        <v>50</v>
      </c>
      <c r="C26" s="5">
        <v>2.8721999999999999</v>
      </c>
      <c r="D26" s="5">
        <v>34.5</v>
      </c>
      <c r="E26" s="5">
        <v>24</v>
      </c>
      <c r="F26" s="5">
        <f>References!E27*References!F27</f>
        <v>1.8</v>
      </c>
      <c r="G26" s="5">
        <f t="shared" si="0"/>
        <v>230</v>
      </c>
      <c r="H26" s="5">
        <f t="shared" si="1"/>
        <v>0.83</v>
      </c>
      <c r="I26" s="5">
        <v>0.55000000000000004</v>
      </c>
      <c r="J26" s="5">
        <f t="shared" si="2"/>
        <v>188.99099999999999</v>
      </c>
      <c r="K26" s="14">
        <f t="shared" si="3"/>
        <v>54.284579999999998</v>
      </c>
    </row>
    <row r="27" spans="1:11" ht="15" thickBot="1" x14ac:dyDescent="0.4">
      <c r="A27" s="7" t="s">
        <v>119</v>
      </c>
      <c r="B27" s="5" t="s">
        <v>47</v>
      </c>
      <c r="C27" s="5">
        <v>2.8721999999999999</v>
      </c>
      <c r="D27" s="5">
        <v>34.5</v>
      </c>
      <c r="E27" s="5">
        <v>24</v>
      </c>
      <c r="F27" s="5">
        <f>References!E28*References!F28</f>
        <v>2.4</v>
      </c>
      <c r="G27" s="5">
        <f t="shared" si="0"/>
        <v>685</v>
      </c>
      <c r="H27" s="5">
        <f t="shared" si="1"/>
        <v>0.8</v>
      </c>
      <c r="I27" s="5">
        <v>0.55000000000000004</v>
      </c>
      <c r="J27" s="5">
        <f t="shared" si="2"/>
        <v>723.36000000000013</v>
      </c>
      <c r="K27" s="14">
        <f t="shared" si="3"/>
        <v>72.379440000000002</v>
      </c>
    </row>
    <row r="28" spans="1:11" ht="15" thickBot="1" x14ac:dyDescent="0.4">
      <c r="A28" s="7" t="s">
        <v>51</v>
      </c>
      <c r="B28" s="5" t="s">
        <v>47</v>
      </c>
      <c r="C28" s="5">
        <v>2.8721999999999999</v>
      </c>
      <c r="D28" s="5">
        <v>34.5</v>
      </c>
      <c r="E28" s="5">
        <v>24</v>
      </c>
      <c r="F28" s="5">
        <f>References!E29*References!F29</f>
        <v>1.73</v>
      </c>
      <c r="G28" s="5">
        <f>_xlfn.IFS(B28="E",685,B28="N",120,B28="W",685,B28="S",230)</f>
        <v>685</v>
      </c>
      <c r="H28" s="5">
        <f t="shared" si="1"/>
        <v>0.8</v>
      </c>
      <c r="I28" s="5">
        <v>0.55000000000000004</v>
      </c>
      <c r="J28" s="5">
        <f t="shared" si="2"/>
        <v>521.42200000000003</v>
      </c>
      <c r="K28" s="14">
        <f t="shared" si="3"/>
        <v>52.173512999999993</v>
      </c>
    </row>
    <row r="29" spans="1:11" ht="15" thickBot="1" x14ac:dyDescent="0.4">
      <c r="A29" s="7" t="s">
        <v>37</v>
      </c>
      <c r="B29" s="5" t="s">
        <v>47</v>
      </c>
      <c r="C29" s="5">
        <v>2.8721999999999999</v>
      </c>
      <c r="D29" s="5">
        <v>34.5</v>
      </c>
      <c r="E29" s="5">
        <v>22.5</v>
      </c>
      <c r="F29" s="5">
        <f>References!E30*References!F30</f>
        <v>2</v>
      </c>
      <c r="G29" s="5">
        <f t="shared" si="0"/>
        <v>685</v>
      </c>
      <c r="H29" s="5">
        <f t="shared" si="1"/>
        <v>0.8</v>
      </c>
      <c r="I29" s="5">
        <v>0.55000000000000004</v>
      </c>
      <c r="J29" s="5">
        <f>G29*H29*F29*I29</f>
        <v>602.80000000000007</v>
      </c>
      <c r="K29" s="14">
        <f t="shared" si="3"/>
        <v>68.9328</v>
      </c>
    </row>
    <row r="30" spans="1:11" ht="15" thickBot="1" x14ac:dyDescent="0.4">
      <c r="A30" s="7" t="s">
        <v>38</v>
      </c>
      <c r="B30" s="5" t="s">
        <v>47</v>
      </c>
      <c r="C30" s="5">
        <v>2.8721999999999999</v>
      </c>
      <c r="D30" s="5">
        <v>34.5</v>
      </c>
      <c r="E30" s="5">
        <v>22.5</v>
      </c>
      <c r="F30" s="5">
        <f>References!E31*References!F31</f>
        <v>0.36</v>
      </c>
      <c r="G30" s="5">
        <f t="shared" si="0"/>
        <v>685</v>
      </c>
      <c r="H30" s="5">
        <f t="shared" si="1"/>
        <v>0.8</v>
      </c>
      <c r="I30" s="5">
        <v>0.55000000000000004</v>
      </c>
      <c r="J30" s="5">
        <f t="shared" si="2"/>
        <v>108.504</v>
      </c>
      <c r="K30" s="14">
        <f t="shared" si="3"/>
        <v>12.407904</v>
      </c>
    </row>
    <row r="31" spans="1:11" ht="15" thickBot="1" x14ac:dyDescent="0.4">
      <c r="A31" s="7" t="s">
        <v>120</v>
      </c>
      <c r="B31" s="5" t="s">
        <v>47</v>
      </c>
      <c r="C31" s="5">
        <v>2.8721999999999999</v>
      </c>
      <c r="D31" s="5">
        <v>34.5</v>
      </c>
      <c r="E31" s="5">
        <v>24</v>
      </c>
      <c r="F31" s="5">
        <f>References!E32*References!F32</f>
        <v>0.36</v>
      </c>
      <c r="G31" s="5">
        <f t="shared" si="0"/>
        <v>685</v>
      </c>
      <c r="H31" s="5">
        <f t="shared" si="1"/>
        <v>0.8</v>
      </c>
      <c r="I31" s="5">
        <v>0.55000000000000004</v>
      </c>
      <c r="J31" s="5">
        <f t="shared" si="2"/>
        <v>108.504</v>
      </c>
      <c r="K31" s="14">
        <f t="shared" si="3"/>
        <v>10.856916</v>
      </c>
    </row>
    <row r="32" spans="1:11" ht="15" thickBot="1" x14ac:dyDescent="0.4">
      <c r="A32" s="7" t="s">
        <v>121</v>
      </c>
      <c r="B32" s="5" t="s">
        <v>47</v>
      </c>
      <c r="C32" s="5">
        <v>2.8721999999999999</v>
      </c>
      <c r="D32" s="5">
        <v>34.5</v>
      </c>
      <c r="E32" s="5">
        <v>22.5</v>
      </c>
      <c r="F32" s="5">
        <f>References!E33*References!F33</f>
        <v>2.4</v>
      </c>
      <c r="G32" s="5">
        <f t="shared" si="0"/>
        <v>685</v>
      </c>
      <c r="H32" s="5">
        <f t="shared" si="1"/>
        <v>0.8</v>
      </c>
      <c r="I32" s="5">
        <v>0.55000000000000004</v>
      </c>
      <c r="J32" s="5">
        <f t="shared" si="2"/>
        <v>723.36000000000013</v>
      </c>
      <c r="K32" s="14">
        <f t="shared" si="3"/>
        <v>82.719359999999995</v>
      </c>
    </row>
    <row r="33" spans="1:18" ht="15" thickBot="1" x14ac:dyDescent="0.4">
      <c r="A33" s="22" t="s">
        <v>41</v>
      </c>
      <c r="B33" s="20" t="s">
        <v>47</v>
      </c>
      <c r="C33" s="20">
        <v>2.8721999999999999</v>
      </c>
      <c r="D33" s="20">
        <v>34.5</v>
      </c>
      <c r="E33" s="20">
        <v>22.5</v>
      </c>
      <c r="F33" s="20">
        <f>References!E34*References!F34</f>
        <v>1.6</v>
      </c>
      <c r="G33" s="20">
        <f t="shared" si="0"/>
        <v>685</v>
      </c>
      <c r="H33" s="20">
        <f t="shared" si="1"/>
        <v>0.8</v>
      </c>
      <c r="I33" s="20">
        <v>0.55000000000000004</v>
      </c>
      <c r="J33" s="20">
        <f t="shared" si="2"/>
        <v>482.24000000000007</v>
      </c>
      <c r="K33" s="21">
        <f t="shared" si="3"/>
        <v>55.146239999999992</v>
      </c>
    </row>
    <row r="34" spans="1:18" ht="15" thickBot="1" x14ac:dyDescent="0.4">
      <c r="H34" s="62" t="s">
        <v>123</v>
      </c>
      <c r="I34" s="62"/>
      <c r="J34" s="43">
        <f>SUM(J4:J33)</f>
        <v>13744.838250000003</v>
      </c>
      <c r="K34" s="43">
        <f>SUM(K4:K33)</f>
        <v>2064.9042009999998</v>
      </c>
    </row>
    <row r="35" spans="1:18" ht="15" thickBot="1" x14ac:dyDescent="0.4">
      <c r="H35" s="62" t="s">
        <v>167</v>
      </c>
      <c r="I35" s="62"/>
      <c r="J35" s="53">
        <f>J34+K34</f>
        <v>15809.742451000002</v>
      </c>
      <c r="K35" s="53"/>
    </row>
    <row r="36" spans="1:18" x14ac:dyDescent="0.35">
      <c r="H36" s="2"/>
      <c r="I36" s="2"/>
      <c r="J36" s="2"/>
      <c r="K36" s="2"/>
    </row>
    <row r="37" spans="1:18" ht="23.5" x14ac:dyDescent="0.55000000000000004">
      <c r="A37" s="59" t="s">
        <v>42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8" ht="15" thickBot="1" x14ac:dyDescent="0.4">
      <c r="A38" s="24" t="s">
        <v>0</v>
      </c>
      <c r="B38" s="35" t="s">
        <v>1</v>
      </c>
      <c r="C38" s="35" t="s">
        <v>2</v>
      </c>
      <c r="D38" s="35" t="s">
        <v>13</v>
      </c>
      <c r="E38" s="35" t="s">
        <v>7</v>
      </c>
      <c r="F38" s="35" t="s">
        <v>3</v>
      </c>
      <c r="G38" s="35" t="s">
        <v>14</v>
      </c>
      <c r="H38" s="35" t="s">
        <v>15</v>
      </c>
      <c r="I38" s="35" t="s">
        <v>16</v>
      </c>
      <c r="J38" s="35" t="s">
        <v>18</v>
      </c>
      <c r="K38" s="23" t="s">
        <v>17</v>
      </c>
    </row>
    <row r="39" spans="1:18" ht="15" thickBot="1" x14ac:dyDescent="0.4">
      <c r="A39" s="7" t="s">
        <v>61</v>
      </c>
      <c r="B39" s="5" t="s">
        <v>48</v>
      </c>
      <c r="C39" s="5">
        <v>2.8721999999999999</v>
      </c>
      <c r="D39" s="5">
        <v>34.5</v>
      </c>
      <c r="E39" s="5">
        <v>22.5</v>
      </c>
      <c r="F39" s="5">
        <v>4.62</v>
      </c>
      <c r="G39" s="5">
        <f>_xlfn.IFS(B39="N",120,B39="E",685,B39="S",230,B39="W",685)</f>
        <v>120</v>
      </c>
      <c r="H39" s="5">
        <f>_xlfn.IFS(B39="N",0.91,B39="E",0.8,B39="S",0.83,B39="W",0.82)</f>
        <v>0.91</v>
      </c>
      <c r="I39" s="5">
        <v>0.55000000000000004</v>
      </c>
      <c r="J39" s="5">
        <f>I39*H39*G39*F39</f>
        <v>277.47720000000004</v>
      </c>
      <c r="K39" s="14">
        <f>(C39*F39)*(D39-E39)</f>
        <v>159.23476799999997</v>
      </c>
    </row>
    <row r="40" spans="1:18" ht="15" thickBot="1" x14ac:dyDescent="0.4">
      <c r="A40" s="7" t="s">
        <v>61</v>
      </c>
      <c r="B40" s="5" t="s">
        <v>48</v>
      </c>
      <c r="C40" s="5">
        <v>2.8721999999999999</v>
      </c>
      <c r="D40" s="5">
        <v>34.5</v>
      </c>
      <c r="E40" s="5">
        <v>22.5</v>
      </c>
      <c r="F40" s="5">
        <v>4.62</v>
      </c>
      <c r="G40" s="5">
        <f>_xlfn.IFS(B40="N",120,B40="E",685,B40="S",230,B40="W",685)</f>
        <v>120</v>
      </c>
      <c r="H40" s="5">
        <f t="shared" ref="H40:H67" si="5">_xlfn.IFS(B40="N",0.91,B40="E",0.8,B40="S",0.83,B40="W",0.82)</f>
        <v>0.91</v>
      </c>
      <c r="I40" s="5">
        <v>0.55000000000000004</v>
      </c>
      <c r="J40" s="5">
        <f t="shared" ref="J40:J67" si="6">I40*H40*G40*F40</f>
        <v>277.47720000000004</v>
      </c>
      <c r="K40" s="14">
        <f t="shared" ref="K40:K67" si="7">(C40*F40)*(D40-E40)</f>
        <v>159.23476799999997</v>
      </c>
      <c r="P40" t="s">
        <v>100</v>
      </c>
      <c r="R40">
        <v>2.8721999999999999</v>
      </c>
    </row>
    <row r="41" spans="1:18" ht="15" thickBot="1" x14ac:dyDescent="0.4">
      <c r="A41" s="7" t="s">
        <v>61</v>
      </c>
      <c r="B41" s="5" t="s">
        <v>48</v>
      </c>
      <c r="C41" s="5">
        <v>2.8721999999999999</v>
      </c>
      <c r="D41" s="5">
        <v>34.5</v>
      </c>
      <c r="E41" s="5">
        <v>22.5</v>
      </c>
      <c r="F41" s="5">
        <v>4.62</v>
      </c>
      <c r="G41" s="5">
        <f t="shared" ref="G41:G67" si="8">_xlfn.IFS(B41="N",120,B41="E",685,B41="S",230,B41="W",685)</f>
        <v>120</v>
      </c>
      <c r="H41" s="5">
        <f t="shared" si="5"/>
        <v>0.91</v>
      </c>
      <c r="I41" s="5">
        <v>0.55000000000000004</v>
      </c>
      <c r="J41" s="5">
        <f t="shared" si="6"/>
        <v>277.47720000000004</v>
      </c>
      <c r="K41" s="14">
        <f t="shared" si="7"/>
        <v>159.23476799999997</v>
      </c>
      <c r="P41" t="s">
        <v>101</v>
      </c>
      <c r="R41">
        <v>2.8210999999999999</v>
      </c>
    </row>
    <row r="42" spans="1:18" ht="15" thickBot="1" x14ac:dyDescent="0.4">
      <c r="A42" s="7" t="s">
        <v>61</v>
      </c>
      <c r="B42" s="5" t="s">
        <v>48</v>
      </c>
      <c r="C42" s="5">
        <v>2.8721999999999999</v>
      </c>
      <c r="D42" s="5">
        <v>34.5</v>
      </c>
      <c r="E42" s="5">
        <v>22.5</v>
      </c>
      <c r="F42" s="5">
        <v>4.62</v>
      </c>
      <c r="G42" s="5">
        <f t="shared" si="8"/>
        <v>120</v>
      </c>
      <c r="H42" s="5">
        <f t="shared" si="5"/>
        <v>0.91</v>
      </c>
      <c r="I42" s="5">
        <v>0.55000000000000004</v>
      </c>
      <c r="J42" s="5">
        <f t="shared" si="6"/>
        <v>277.47720000000004</v>
      </c>
      <c r="K42" s="14">
        <f t="shared" si="7"/>
        <v>159.23476799999997</v>
      </c>
    </row>
    <row r="43" spans="1:18" ht="15" thickBot="1" x14ac:dyDescent="0.4">
      <c r="A43" s="7" t="s">
        <v>65</v>
      </c>
      <c r="B43" s="5" t="s">
        <v>49</v>
      </c>
      <c r="C43" s="5">
        <v>2.8210999999999999</v>
      </c>
      <c r="D43" s="5">
        <v>34.5</v>
      </c>
      <c r="E43" s="5">
        <v>22.5</v>
      </c>
      <c r="F43" s="5">
        <v>2.7</v>
      </c>
      <c r="G43" s="5">
        <f t="shared" si="8"/>
        <v>685</v>
      </c>
      <c r="H43" s="5">
        <f t="shared" si="5"/>
        <v>0.82</v>
      </c>
      <c r="I43" s="5">
        <v>0.55000000000000004</v>
      </c>
      <c r="J43" s="5">
        <f t="shared" si="6"/>
        <v>834.12450000000001</v>
      </c>
      <c r="K43" s="14">
        <f t="shared" si="7"/>
        <v>91.403639999999996</v>
      </c>
    </row>
    <row r="44" spans="1:18" ht="15" thickBot="1" x14ac:dyDescent="0.4">
      <c r="A44" s="7" t="s">
        <v>67</v>
      </c>
      <c r="B44" s="5" t="s">
        <v>49</v>
      </c>
      <c r="C44" s="5">
        <v>2.8721999999999999</v>
      </c>
      <c r="D44" s="5">
        <v>34.5</v>
      </c>
      <c r="E44" s="5">
        <v>22.5</v>
      </c>
      <c r="F44" s="5">
        <v>1.4</v>
      </c>
      <c r="G44" s="5">
        <f t="shared" si="8"/>
        <v>685</v>
      </c>
      <c r="H44" s="5">
        <f t="shared" si="5"/>
        <v>0.82</v>
      </c>
      <c r="I44" s="5">
        <v>0.55000000000000004</v>
      </c>
      <c r="J44" s="5">
        <f t="shared" si="6"/>
        <v>432.50899999999996</v>
      </c>
      <c r="K44" s="14">
        <f t="shared" si="7"/>
        <v>48.252959999999995</v>
      </c>
    </row>
    <row r="45" spans="1:18" ht="15" thickBot="1" x14ac:dyDescent="0.4">
      <c r="A45" s="7" t="s">
        <v>89</v>
      </c>
      <c r="B45" s="5" t="s">
        <v>49</v>
      </c>
      <c r="C45" s="5">
        <v>2.8721999999999999</v>
      </c>
      <c r="D45" s="5">
        <v>34.5</v>
      </c>
      <c r="E45" s="5">
        <v>24</v>
      </c>
      <c r="F45" s="5">
        <v>0.36</v>
      </c>
      <c r="G45" s="5">
        <f t="shared" si="8"/>
        <v>685</v>
      </c>
      <c r="H45" s="5">
        <f t="shared" si="5"/>
        <v>0.82</v>
      </c>
      <c r="I45" s="5">
        <v>0.55000000000000004</v>
      </c>
      <c r="J45" s="5">
        <f t="shared" si="6"/>
        <v>111.2166</v>
      </c>
      <c r="K45" s="14">
        <f t="shared" si="7"/>
        <v>10.856916</v>
      </c>
    </row>
    <row r="46" spans="1:18" ht="15" thickBot="1" x14ac:dyDescent="0.4">
      <c r="A46" s="7" t="s">
        <v>71</v>
      </c>
      <c r="B46" s="5" t="s">
        <v>49</v>
      </c>
      <c r="C46" s="5">
        <v>2.8721999999999999</v>
      </c>
      <c r="D46" s="5">
        <v>34.5</v>
      </c>
      <c r="E46" s="5">
        <v>22.5</v>
      </c>
      <c r="F46" s="5">
        <v>3</v>
      </c>
      <c r="G46" s="5">
        <f t="shared" si="8"/>
        <v>685</v>
      </c>
      <c r="H46" s="5">
        <f t="shared" si="5"/>
        <v>0.82</v>
      </c>
      <c r="I46" s="5">
        <v>0.55000000000000004</v>
      </c>
      <c r="J46" s="5">
        <f t="shared" si="6"/>
        <v>926.80500000000006</v>
      </c>
      <c r="K46" s="14">
        <f t="shared" si="7"/>
        <v>103.39920000000001</v>
      </c>
    </row>
    <row r="47" spans="1:18" ht="15" thickBot="1" x14ac:dyDescent="0.4">
      <c r="A47" s="7" t="s">
        <v>71</v>
      </c>
      <c r="B47" s="5" t="s">
        <v>49</v>
      </c>
      <c r="C47" s="5">
        <v>2.8721999999999999</v>
      </c>
      <c r="D47" s="5">
        <v>34.5</v>
      </c>
      <c r="E47" s="5">
        <v>22.5</v>
      </c>
      <c r="F47" s="5">
        <v>3</v>
      </c>
      <c r="G47" s="5">
        <f t="shared" si="8"/>
        <v>685</v>
      </c>
      <c r="H47" s="5">
        <f t="shared" si="5"/>
        <v>0.82</v>
      </c>
      <c r="I47" s="5">
        <v>0.55000000000000004</v>
      </c>
      <c r="J47" s="5">
        <f t="shared" si="6"/>
        <v>926.80500000000006</v>
      </c>
      <c r="K47" s="14">
        <f t="shared" si="7"/>
        <v>103.39920000000001</v>
      </c>
    </row>
    <row r="48" spans="1:18" ht="15" thickBot="1" x14ac:dyDescent="0.4">
      <c r="A48" s="7" t="s">
        <v>71</v>
      </c>
      <c r="B48" s="5" t="s">
        <v>49</v>
      </c>
      <c r="C48" s="5">
        <v>2.8721999999999999</v>
      </c>
      <c r="D48" s="5">
        <v>34.5</v>
      </c>
      <c r="E48" s="5">
        <v>22.5</v>
      </c>
      <c r="F48" s="5">
        <v>3</v>
      </c>
      <c r="G48" s="5">
        <f t="shared" si="8"/>
        <v>685</v>
      </c>
      <c r="H48" s="5">
        <f t="shared" si="5"/>
        <v>0.82</v>
      </c>
      <c r="I48" s="5">
        <v>0.55000000000000004</v>
      </c>
      <c r="J48" s="5">
        <f t="shared" si="6"/>
        <v>926.80500000000006</v>
      </c>
      <c r="K48" s="14">
        <f t="shared" si="7"/>
        <v>103.39920000000001</v>
      </c>
    </row>
    <row r="49" spans="1:11" ht="15" thickBot="1" x14ac:dyDescent="0.4">
      <c r="A49" s="7" t="s">
        <v>71</v>
      </c>
      <c r="B49" s="5" t="s">
        <v>49</v>
      </c>
      <c r="C49" s="5">
        <v>2.8721999999999999</v>
      </c>
      <c r="D49" s="5">
        <v>34.5</v>
      </c>
      <c r="E49" s="5">
        <v>22.5</v>
      </c>
      <c r="F49" s="5">
        <v>3</v>
      </c>
      <c r="G49" s="5">
        <f t="shared" si="8"/>
        <v>685</v>
      </c>
      <c r="H49" s="5">
        <f t="shared" si="5"/>
        <v>0.82</v>
      </c>
      <c r="I49" s="5">
        <v>0.55000000000000004</v>
      </c>
      <c r="J49" s="5">
        <f t="shared" si="6"/>
        <v>926.80500000000006</v>
      </c>
      <c r="K49" s="14">
        <f t="shared" si="7"/>
        <v>103.39920000000001</v>
      </c>
    </row>
    <row r="50" spans="1:11" ht="15" thickBot="1" x14ac:dyDescent="0.4">
      <c r="A50" s="7" t="s">
        <v>128</v>
      </c>
      <c r="B50" s="5" t="s">
        <v>49</v>
      </c>
      <c r="C50" s="5">
        <v>2.8721999999999999</v>
      </c>
      <c r="D50" s="5">
        <v>34.5</v>
      </c>
      <c r="E50" s="5">
        <v>22.5</v>
      </c>
      <c r="F50" s="5">
        <v>1.95</v>
      </c>
      <c r="G50" s="5">
        <f t="shared" si="8"/>
        <v>685</v>
      </c>
      <c r="H50" s="5">
        <f t="shared" si="5"/>
        <v>0.82</v>
      </c>
      <c r="I50" s="5">
        <v>0.55000000000000004</v>
      </c>
      <c r="J50" s="5">
        <f t="shared" si="6"/>
        <v>602.42324999999994</v>
      </c>
      <c r="K50" s="14">
        <f t="shared" si="7"/>
        <v>67.209479999999999</v>
      </c>
    </row>
    <row r="51" spans="1:11" ht="15" thickBot="1" x14ac:dyDescent="0.4">
      <c r="A51" s="7" t="s">
        <v>129</v>
      </c>
      <c r="B51" s="5" t="s">
        <v>49</v>
      </c>
      <c r="C51" s="5">
        <v>2.8721999999999999</v>
      </c>
      <c r="D51" s="5">
        <v>34.5</v>
      </c>
      <c r="E51" s="5">
        <v>24</v>
      </c>
      <c r="F51" s="5">
        <v>5.0199999999999996</v>
      </c>
      <c r="G51" s="5">
        <f t="shared" si="8"/>
        <v>685</v>
      </c>
      <c r="H51" s="5">
        <f t="shared" si="5"/>
        <v>0.82</v>
      </c>
      <c r="I51" s="5">
        <v>0.55000000000000004</v>
      </c>
      <c r="J51" s="5">
        <f t="shared" si="6"/>
        <v>1550.8536999999999</v>
      </c>
      <c r="K51" s="14">
        <f t="shared" si="7"/>
        <v>151.39366199999998</v>
      </c>
    </row>
    <row r="52" spans="1:11" ht="15" thickBot="1" x14ac:dyDescent="0.4">
      <c r="A52" s="7" t="s">
        <v>130</v>
      </c>
      <c r="B52" s="5" t="s">
        <v>50</v>
      </c>
      <c r="C52" s="5">
        <v>2.8721999999999999</v>
      </c>
      <c r="D52" s="5">
        <v>34.5</v>
      </c>
      <c r="E52" s="5">
        <v>22.5</v>
      </c>
      <c r="F52" s="5">
        <v>2.4</v>
      </c>
      <c r="G52" s="5">
        <f t="shared" si="8"/>
        <v>230</v>
      </c>
      <c r="H52" s="5">
        <f t="shared" si="5"/>
        <v>0.83</v>
      </c>
      <c r="I52" s="5">
        <v>0.55000000000000004</v>
      </c>
      <c r="J52" s="5">
        <f t="shared" si="6"/>
        <v>251.988</v>
      </c>
      <c r="K52" s="14">
        <f t="shared" si="7"/>
        <v>82.719359999999995</v>
      </c>
    </row>
    <row r="53" spans="1:11" ht="15" thickBot="1" x14ac:dyDescent="0.4">
      <c r="A53" s="7" t="s">
        <v>156</v>
      </c>
      <c r="B53" s="5" t="s">
        <v>50</v>
      </c>
      <c r="C53" s="5">
        <v>2.8721999999999999</v>
      </c>
      <c r="D53" s="5">
        <v>34.5</v>
      </c>
      <c r="E53" s="5">
        <v>24</v>
      </c>
      <c r="F53" s="5">
        <v>0.36</v>
      </c>
      <c r="G53" s="5">
        <f t="shared" si="8"/>
        <v>230</v>
      </c>
      <c r="H53" s="5">
        <f t="shared" si="5"/>
        <v>0.83</v>
      </c>
      <c r="I53" s="5">
        <v>0.55000000000000004</v>
      </c>
      <c r="J53" s="5">
        <f t="shared" si="6"/>
        <v>37.798200000000001</v>
      </c>
      <c r="K53" s="14">
        <f t="shared" si="7"/>
        <v>10.856916</v>
      </c>
    </row>
    <row r="54" spans="1:11" ht="15" thickBot="1" x14ac:dyDescent="0.4">
      <c r="A54" s="7" t="s">
        <v>132</v>
      </c>
      <c r="B54" s="5" t="s">
        <v>50</v>
      </c>
      <c r="C54" s="5">
        <v>2.8721999999999999</v>
      </c>
      <c r="D54" s="5">
        <v>34.5</v>
      </c>
      <c r="E54" s="5">
        <v>22.5</v>
      </c>
      <c r="F54" s="5">
        <v>2.8</v>
      </c>
      <c r="G54" s="5">
        <f t="shared" si="8"/>
        <v>230</v>
      </c>
      <c r="H54" s="5">
        <f t="shared" si="5"/>
        <v>0.83</v>
      </c>
      <c r="I54" s="5">
        <v>0.55000000000000004</v>
      </c>
      <c r="J54" s="5">
        <f t="shared" si="6"/>
        <v>293.98599999999999</v>
      </c>
      <c r="K54" s="14">
        <f t="shared" si="7"/>
        <v>96.505919999999989</v>
      </c>
    </row>
    <row r="55" spans="1:11" ht="15" thickBot="1" x14ac:dyDescent="0.4">
      <c r="A55" s="7" t="s">
        <v>163</v>
      </c>
      <c r="B55" s="5" t="s">
        <v>50</v>
      </c>
      <c r="C55" s="5">
        <v>2.8721999999999999</v>
      </c>
      <c r="D55" s="5">
        <v>34.5</v>
      </c>
      <c r="E55" s="5">
        <v>22.5</v>
      </c>
      <c r="F55" s="5">
        <v>0.36</v>
      </c>
      <c r="G55" s="5">
        <f t="shared" si="8"/>
        <v>230</v>
      </c>
      <c r="H55" s="5">
        <f t="shared" si="5"/>
        <v>0.83</v>
      </c>
      <c r="I55" s="5">
        <v>0.55000000000000004</v>
      </c>
      <c r="J55" s="5">
        <f t="shared" si="6"/>
        <v>37.798200000000001</v>
      </c>
      <c r="K55" s="14">
        <f t="shared" si="7"/>
        <v>12.407904</v>
      </c>
    </row>
    <row r="56" spans="1:11" ht="15" thickBot="1" x14ac:dyDescent="0.4">
      <c r="A56" s="7" t="s">
        <v>164</v>
      </c>
      <c r="B56" s="5" t="s">
        <v>50</v>
      </c>
      <c r="C56" s="5">
        <v>2.8721999999999999</v>
      </c>
      <c r="D56" s="5">
        <v>34.5</v>
      </c>
      <c r="E56" s="5">
        <v>22.5</v>
      </c>
      <c r="F56" s="5">
        <v>0.36</v>
      </c>
      <c r="G56" s="5">
        <f t="shared" si="8"/>
        <v>230</v>
      </c>
      <c r="H56" s="5">
        <f t="shared" si="5"/>
        <v>0.83</v>
      </c>
      <c r="I56" s="5">
        <v>0.55000000000000004</v>
      </c>
      <c r="J56" s="5">
        <f t="shared" si="6"/>
        <v>37.798200000000001</v>
      </c>
      <c r="K56" s="14">
        <f t="shared" si="7"/>
        <v>12.407904</v>
      </c>
    </row>
    <row r="57" spans="1:11" ht="15" thickBot="1" x14ac:dyDescent="0.4">
      <c r="A57" s="7" t="s">
        <v>165</v>
      </c>
      <c r="B57" s="5" t="s">
        <v>50</v>
      </c>
      <c r="C57" s="5">
        <v>2.8721999999999999</v>
      </c>
      <c r="D57" s="5">
        <v>34.5</v>
      </c>
      <c r="E57" s="5">
        <v>22.5</v>
      </c>
      <c r="F57" s="5">
        <v>0.36</v>
      </c>
      <c r="G57" s="5">
        <f t="shared" si="8"/>
        <v>230</v>
      </c>
      <c r="H57" s="5">
        <f t="shared" si="5"/>
        <v>0.83</v>
      </c>
      <c r="I57" s="5">
        <v>0.55000000000000004</v>
      </c>
      <c r="J57" s="5">
        <f t="shared" si="6"/>
        <v>37.798200000000001</v>
      </c>
      <c r="K57" s="14">
        <f t="shared" si="7"/>
        <v>12.407904</v>
      </c>
    </row>
    <row r="58" spans="1:11" ht="15" thickBot="1" x14ac:dyDescent="0.4">
      <c r="A58" s="7" t="s">
        <v>166</v>
      </c>
      <c r="B58" s="5" t="s">
        <v>50</v>
      </c>
      <c r="C58" s="5">
        <v>2.8721999999999999</v>
      </c>
      <c r="D58" s="5">
        <v>34.5</v>
      </c>
      <c r="E58" s="5">
        <v>24</v>
      </c>
      <c r="F58" s="5">
        <v>1.6</v>
      </c>
      <c r="G58" s="5">
        <f t="shared" si="8"/>
        <v>230</v>
      </c>
      <c r="H58" s="5">
        <f t="shared" si="5"/>
        <v>0.83</v>
      </c>
      <c r="I58" s="5">
        <v>0.55000000000000004</v>
      </c>
      <c r="J58" s="5">
        <f t="shared" si="6"/>
        <v>167.99200000000002</v>
      </c>
      <c r="K58" s="14">
        <f t="shared" si="7"/>
        <v>48.252959999999995</v>
      </c>
    </row>
    <row r="59" spans="1:11" ht="15" thickBot="1" x14ac:dyDescent="0.4">
      <c r="A59" s="7" t="s">
        <v>137</v>
      </c>
      <c r="B59" s="5" t="s">
        <v>50</v>
      </c>
      <c r="C59" s="5">
        <v>2.8721999999999999</v>
      </c>
      <c r="D59" s="5">
        <v>34.5</v>
      </c>
      <c r="E59" s="5">
        <v>24</v>
      </c>
      <c r="F59" s="5">
        <v>1.6</v>
      </c>
      <c r="G59" s="5">
        <f t="shared" si="8"/>
        <v>230</v>
      </c>
      <c r="H59" s="5">
        <f t="shared" si="5"/>
        <v>0.83</v>
      </c>
      <c r="I59" s="5">
        <v>0.55000000000000004</v>
      </c>
      <c r="J59" s="5">
        <f t="shared" si="6"/>
        <v>167.99200000000002</v>
      </c>
      <c r="K59" s="14">
        <f t="shared" si="7"/>
        <v>48.252959999999995</v>
      </c>
    </row>
    <row r="60" spans="1:11" ht="15" thickBot="1" x14ac:dyDescent="0.4">
      <c r="A60" s="7" t="s">
        <v>138</v>
      </c>
      <c r="B60" s="5" t="s">
        <v>50</v>
      </c>
      <c r="C60" s="5">
        <v>2.8721999999999999</v>
      </c>
      <c r="D60" s="5">
        <v>34.5</v>
      </c>
      <c r="E60" s="5">
        <v>24</v>
      </c>
      <c r="F60" s="5">
        <v>1.6</v>
      </c>
      <c r="G60" s="5">
        <f t="shared" si="8"/>
        <v>230</v>
      </c>
      <c r="H60" s="5">
        <f t="shared" si="5"/>
        <v>0.83</v>
      </c>
      <c r="I60" s="5">
        <v>0.55000000000000004</v>
      </c>
      <c r="J60" s="5">
        <f t="shared" si="6"/>
        <v>167.99200000000002</v>
      </c>
      <c r="K60" s="14">
        <f t="shared" si="7"/>
        <v>48.252959999999995</v>
      </c>
    </row>
    <row r="61" spans="1:11" ht="15" thickBot="1" x14ac:dyDescent="0.4">
      <c r="A61" s="7" t="s">
        <v>139</v>
      </c>
      <c r="B61" s="5" t="s">
        <v>50</v>
      </c>
      <c r="C61" s="5">
        <v>2.8721999999999999</v>
      </c>
      <c r="D61" s="5">
        <v>34.5</v>
      </c>
      <c r="E61" s="5">
        <v>22.5</v>
      </c>
      <c r="F61" s="5">
        <v>1.6</v>
      </c>
      <c r="G61" s="5">
        <f t="shared" si="8"/>
        <v>230</v>
      </c>
      <c r="H61" s="5">
        <f t="shared" si="5"/>
        <v>0.83</v>
      </c>
      <c r="I61" s="5">
        <v>0.55000000000000004</v>
      </c>
      <c r="J61" s="5">
        <f t="shared" si="6"/>
        <v>167.99200000000002</v>
      </c>
      <c r="K61" s="14">
        <f t="shared" si="7"/>
        <v>55.146239999999992</v>
      </c>
    </row>
    <row r="62" spans="1:11" ht="15" thickBot="1" x14ac:dyDescent="0.4">
      <c r="A62" s="7" t="s">
        <v>141</v>
      </c>
      <c r="B62" s="5" t="s">
        <v>47</v>
      </c>
      <c r="C62" s="5">
        <v>2.8721999999999999</v>
      </c>
      <c r="D62" s="5">
        <v>34.5</v>
      </c>
      <c r="E62" s="5">
        <v>22.5</v>
      </c>
      <c r="F62" s="5">
        <v>2.1</v>
      </c>
      <c r="G62" s="5">
        <f t="shared" si="8"/>
        <v>685</v>
      </c>
      <c r="H62" s="5">
        <f t="shared" si="5"/>
        <v>0.8</v>
      </c>
      <c r="I62" s="5">
        <v>0.55000000000000004</v>
      </c>
      <c r="J62" s="5">
        <f t="shared" si="6"/>
        <v>632.94000000000005</v>
      </c>
      <c r="K62" s="14">
        <f t="shared" si="7"/>
        <v>72.379440000000002</v>
      </c>
    </row>
    <row r="63" spans="1:11" ht="15" thickBot="1" x14ac:dyDescent="0.4">
      <c r="A63" s="7" t="s">
        <v>142</v>
      </c>
      <c r="B63" s="5" t="s">
        <v>47</v>
      </c>
      <c r="C63" s="5">
        <v>2.8721999999999999</v>
      </c>
      <c r="D63" s="5">
        <v>34.5</v>
      </c>
      <c r="E63" s="5">
        <v>22.5</v>
      </c>
      <c r="F63" s="5">
        <v>3.6</v>
      </c>
      <c r="G63" s="5">
        <f t="shared" si="8"/>
        <v>685</v>
      </c>
      <c r="H63" s="5">
        <f t="shared" si="5"/>
        <v>0.8</v>
      </c>
      <c r="I63" s="5">
        <v>0.55000000000000004</v>
      </c>
      <c r="J63" s="5">
        <f t="shared" si="6"/>
        <v>1085.0400000000002</v>
      </c>
      <c r="K63" s="14">
        <f t="shared" si="7"/>
        <v>124.07903999999999</v>
      </c>
    </row>
    <row r="64" spans="1:11" ht="15" thickBot="1" x14ac:dyDescent="0.4">
      <c r="A64" s="7" t="s">
        <v>143</v>
      </c>
      <c r="B64" s="5" t="s">
        <v>47</v>
      </c>
      <c r="C64" s="5">
        <v>2.8721999999999999</v>
      </c>
      <c r="D64" s="5">
        <v>34.5</v>
      </c>
      <c r="E64" s="5">
        <v>22.5</v>
      </c>
      <c r="F64" s="5">
        <v>2.72</v>
      </c>
      <c r="G64" s="5">
        <f t="shared" si="8"/>
        <v>685</v>
      </c>
      <c r="H64" s="5">
        <f t="shared" si="5"/>
        <v>0.8</v>
      </c>
      <c r="I64" s="5">
        <v>0.55000000000000004</v>
      </c>
      <c r="J64" s="5">
        <f t="shared" si="6"/>
        <v>819.80800000000011</v>
      </c>
      <c r="K64" s="14">
        <f t="shared" si="7"/>
        <v>93.74860799999999</v>
      </c>
    </row>
    <row r="65" spans="1:11" ht="15" thickBot="1" x14ac:dyDescent="0.4">
      <c r="A65" s="7" t="s">
        <v>144</v>
      </c>
      <c r="B65" s="5" t="s">
        <v>50</v>
      </c>
      <c r="C65" s="5">
        <v>2.8721999999999999</v>
      </c>
      <c r="D65" s="5">
        <v>34.5</v>
      </c>
      <c r="E65" s="5">
        <v>22.5</v>
      </c>
      <c r="F65" s="5">
        <v>1.2</v>
      </c>
      <c r="G65" s="5">
        <f t="shared" si="8"/>
        <v>230</v>
      </c>
      <c r="H65" s="5">
        <f t="shared" si="5"/>
        <v>0.83</v>
      </c>
      <c r="I65" s="5">
        <v>0.55000000000000004</v>
      </c>
      <c r="J65" s="5">
        <f t="shared" si="6"/>
        <v>125.994</v>
      </c>
      <c r="K65" s="14">
        <f t="shared" si="7"/>
        <v>41.359679999999997</v>
      </c>
    </row>
    <row r="66" spans="1:11" ht="15" thickBot="1" x14ac:dyDescent="0.4">
      <c r="A66" s="7" t="s">
        <v>67</v>
      </c>
      <c r="B66" s="5" t="s">
        <v>47</v>
      </c>
      <c r="C66" s="5">
        <v>2.8721999999999999</v>
      </c>
      <c r="D66" s="5">
        <v>34.5</v>
      </c>
      <c r="E66" s="5">
        <v>22.5</v>
      </c>
      <c r="F66" s="5">
        <v>1.4</v>
      </c>
      <c r="G66" s="5">
        <f t="shared" si="8"/>
        <v>685</v>
      </c>
      <c r="H66" s="5">
        <f t="shared" si="5"/>
        <v>0.8</v>
      </c>
      <c r="I66" s="5">
        <v>0.55000000000000004</v>
      </c>
      <c r="J66" s="5">
        <f t="shared" si="6"/>
        <v>421.96000000000004</v>
      </c>
      <c r="K66" s="14">
        <f t="shared" si="7"/>
        <v>48.252959999999995</v>
      </c>
    </row>
    <row r="67" spans="1:11" ht="15" thickBot="1" x14ac:dyDescent="0.4">
      <c r="A67" s="22" t="s">
        <v>89</v>
      </c>
      <c r="B67" s="20" t="s">
        <v>47</v>
      </c>
      <c r="C67" s="20">
        <v>2.8721999999999999</v>
      </c>
      <c r="D67" s="20">
        <v>34.5</v>
      </c>
      <c r="E67" s="20">
        <v>24</v>
      </c>
      <c r="F67" s="20">
        <v>0.36</v>
      </c>
      <c r="G67" s="20">
        <f t="shared" si="8"/>
        <v>685</v>
      </c>
      <c r="H67" s="20">
        <f t="shared" si="5"/>
        <v>0.8</v>
      </c>
      <c r="I67" s="20">
        <v>0.55000000000000004</v>
      </c>
      <c r="J67" s="20">
        <f t="shared" si="6"/>
        <v>108.504</v>
      </c>
      <c r="K67" s="21">
        <f t="shared" si="7"/>
        <v>10.856916</v>
      </c>
    </row>
    <row r="68" spans="1:11" ht="15" thickBot="1" x14ac:dyDescent="0.4">
      <c r="H68" s="62" t="s">
        <v>123</v>
      </c>
      <c r="I68" s="62"/>
      <c r="J68" s="43">
        <f>SUM(J39:J67)</f>
        <v>12911.636650000004</v>
      </c>
      <c r="K68" s="43">
        <f>SUM(K39:K67)</f>
        <v>2237.5402020000001</v>
      </c>
    </row>
    <row r="69" spans="1:11" ht="15" thickBot="1" x14ac:dyDescent="0.4">
      <c r="H69" s="62" t="s">
        <v>168</v>
      </c>
      <c r="I69" s="62"/>
      <c r="J69" s="53">
        <f>J68+K68</f>
        <v>15149.176852000004</v>
      </c>
      <c r="K69" s="53"/>
    </row>
    <row r="71" spans="1:11" ht="23.5" x14ac:dyDescent="0.55000000000000004">
      <c r="A71" s="59" t="s">
        <v>60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</row>
    <row r="72" spans="1:11" ht="15" thickBot="1" x14ac:dyDescent="0.4">
      <c r="A72" s="24" t="s">
        <v>0</v>
      </c>
      <c r="B72" s="35" t="s">
        <v>1</v>
      </c>
      <c r="C72" s="35" t="s">
        <v>2</v>
      </c>
      <c r="D72" s="35" t="s">
        <v>13</v>
      </c>
      <c r="E72" s="35" t="s">
        <v>7</v>
      </c>
      <c r="F72" s="35" t="s">
        <v>3</v>
      </c>
      <c r="G72" s="35" t="s">
        <v>14</v>
      </c>
      <c r="H72" s="35" t="s">
        <v>15</v>
      </c>
      <c r="I72" s="35" t="s">
        <v>16</v>
      </c>
      <c r="J72" s="35" t="s">
        <v>18</v>
      </c>
      <c r="K72" s="23" t="s">
        <v>17</v>
      </c>
    </row>
    <row r="73" spans="1:11" ht="15" thickBot="1" x14ac:dyDescent="0.4">
      <c r="A73" s="7" t="s">
        <v>61</v>
      </c>
      <c r="B73" s="5" t="s">
        <v>48</v>
      </c>
      <c r="C73" s="5">
        <v>2.8721999999999999</v>
      </c>
      <c r="D73" s="5">
        <v>34.5</v>
      </c>
      <c r="E73" s="5">
        <v>22.5</v>
      </c>
      <c r="F73" s="5">
        <f>References!E41*References!F41</f>
        <v>2.31</v>
      </c>
      <c r="G73" s="36">
        <f>_xlfn.IFS(B73="E",685,B73="N",120,B73="W",685,B73="S",230)</f>
        <v>120</v>
      </c>
      <c r="H73" s="36">
        <f>_xlfn.IFS(B73="E",0.8,B73="N",0.91,B73="W",0.82,B73="S",0.83)</f>
        <v>0.91</v>
      </c>
      <c r="I73" s="36">
        <v>0.55000000000000004</v>
      </c>
      <c r="J73" s="36">
        <f>G73*H73*F73*I73</f>
        <v>138.73860000000002</v>
      </c>
      <c r="K73" s="37">
        <f>(C73*F73)*(D73-E73)</f>
        <v>79.617383999999987</v>
      </c>
    </row>
    <row r="74" spans="1:11" ht="15" thickBot="1" x14ac:dyDescent="0.4">
      <c r="A74" s="7" t="s">
        <v>61</v>
      </c>
      <c r="B74" s="5" t="s">
        <v>48</v>
      </c>
      <c r="C74" s="5">
        <v>2.8721999999999999</v>
      </c>
      <c r="D74" s="5">
        <v>34.5</v>
      </c>
      <c r="E74" s="5">
        <v>22.5</v>
      </c>
      <c r="F74" s="5">
        <f>References!E42*References!F42</f>
        <v>2.31</v>
      </c>
      <c r="G74" s="36">
        <f t="shared" ref="G74:G98" si="9">_xlfn.IFS(B74="E",685,B74="N",120,B74="W",685,B74="S",230)</f>
        <v>120</v>
      </c>
      <c r="H74" s="36">
        <f t="shared" ref="H74:H98" si="10">_xlfn.IFS(B74="E",0.8,B74="N",0.91,B74="W",0.82,B74="S",0.83)</f>
        <v>0.91</v>
      </c>
      <c r="I74" s="36">
        <v>0.55000000000000004</v>
      </c>
      <c r="J74" s="36">
        <f t="shared" ref="J74:J99" si="11">G74*H74*F74*I74</f>
        <v>138.73860000000002</v>
      </c>
      <c r="K74" s="37">
        <f t="shared" ref="K74:K99" si="12">(C74*F74)*(D74-E74)</f>
        <v>79.617383999999987</v>
      </c>
    </row>
    <row r="75" spans="1:11" ht="15" thickBot="1" x14ac:dyDescent="0.4">
      <c r="A75" s="7" t="s">
        <v>61</v>
      </c>
      <c r="B75" s="5" t="s">
        <v>48</v>
      </c>
      <c r="C75" s="5">
        <v>2.8721999999999999</v>
      </c>
      <c r="D75" s="5">
        <v>34.5</v>
      </c>
      <c r="E75" s="5">
        <v>22.5</v>
      </c>
      <c r="F75" s="5">
        <f>References!E43*References!F43</f>
        <v>2.31</v>
      </c>
      <c r="G75" s="36">
        <f t="shared" si="9"/>
        <v>120</v>
      </c>
      <c r="H75" s="36">
        <f t="shared" si="10"/>
        <v>0.91</v>
      </c>
      <c r="I75" s="36">
        <v>0.55000000000000004</v>
      </c>
      <c r="J75" s="36">
        <f t="shared" si="11"/>
        <v>138.73860000000002</v>
      </c>
      <c r="K75" s="37">
        <f t="shared" si="12"/>
        <v>79.617383999999987</v>
      </c>
    </row>
    <row r="76" spans="1:11" ht="15" thickBot="1" x14ac:dyDescent="0.4">
      <c r="A76" s="7" t="s">
        <v>61</v>
      </c>
      <c r="B76" s="5" t="s">
        <v>48</v>
      </c>
      <c r="C76" s="5">
        <v>2.8721999999999999</v>
      </c>
      <c r="D76" s="5">
        <v>34.5</v>
      </c>
      <c r="E76" s="5">
        <v>22.5</v>
      </c>
      <c r="F76" s="5">
        <f>References!E44*References!F44</f>
        <v>2.31</v>
      </c>
      <c r="G76" s="36">
        <f t="shared" si="9"/>
        <v>120</v>
      </c>
      <c r="H76" s="36">
        <f t="shared" si="10"/>
        <v>0.91</v>
      </c>
      <c r="I76" s="36">
        <v>0.55000000000000004</v>
      </c>
      <c r="J76" s="36">
        <f t="shared" si="11"/>
        <v>138.73860000000002</v>
      </c>
      <c r="K76" s="37">
        <f t="shared" si="12"/>
        <v>79.617383999999987</v>
      </c>
    </row>
    <row r="77" spans="1:11" ht="15" thickBot="1" x14ac:dyDescent="0.4">
      <c r="A77" s="7" t="s">
        <v>65</v>
      </c>
      <c r="B77" s="5" t="s">
        <v>49</v>
      </c>
      <c r="C77" s="5">
        <v>2.8721999999999999</v>
      </c>
      <c r="D77" s="5">
        <v>34.5</v>
      </c>
      <c r="E77" s="5">
        <v>22.5</v>
      </c>
      <c r="F77" s="5">
        <f>References!E45*References!F45</f>
        <v>2.7</v>
      </c>
      <c r="G77" s="36">
        <f t="shared" si="9"/>
        <v>685</v>
      </c>
      <c r="H77" s="36">
        <f t="shared" si="10"/>
        <v>0.82</v>
      </c>
      <c r="I77" s="36">
        <v>0.55000000000000004</v>
      </c>
      <c r="J77" s="36">
        <f t="shared" si="11"/>
        <v>834.12450000000001</v>
      </c>
      <c r="K77" s="37">
        <f t="shared" si="12"/>
        <v>93.059280000000001</v>
      </c>
    </row>
    <row r="78" spans="1:11" ht="15" thickBot="1" x14ac:dyDescent="0.4">
      <c r="A78" s="7" t="s">
        <v>67</v>
      </c>
      <c r="B78" s="5" t="s">
        <v>49</v>
      </c>
      <c r="C78" s="5">
        <v>2.8721999999999999</v>
      </c>
      <c r="D78" s="5">
        <v>34.5</v>
      </c>
      <c r="E78" s="5">
        <v>22.5</v>
      </c>
      <c r="F78" s="5">
        <f>References!E46*References!F46</f>
        <v>1.4</v>
      </c>
      <c r="G78" s="36">
        <f t="shared" si="9"/>
        <v>685</v>
      </c>
      <c r="H78" s="36">
        <f t="shared" si="10"/>
        <v>0.82</v>
      </c>
      <c r="I78" s="36">
        <v>0.55000000000000004</v>
      </c>
      <c r="J78" s="36">
        <f t="shared" si="11"/>
        <v>432.50899999999996</v>
      </c>
      <c r="K78" s="37">
        <f t="shared" si="12"/>
        <v>48.252959999999995</v>
      </c>
    </row>
    <row r="79" spans="1:11" ht="15" thickBot="1" x14ac:dyDescent="0.4">
      <c r="A79" s="7" t="s">
        <v>71</v>
      </c>
      <c r="B79" s="5" t="s">
        <v>49</v>
      </c>
      <c r="C79" s="5">
        <v>2.8721999999999999</v>
      </c>
      <c r="D79" s="5">
        <v>34.5</v>
      </c>
      <c r="E79" s="5">
        <v>22.5</v>
      </c>
      <c r="F79" s="5">
        <f>References!E47*References!F47</f>
        <v>1.4</v>
      </c>
      <c r="G79" s="36">
        <f t="shared" si="9"/>
        <v>685</v>
      </c>
      <c r="H79" s="36">
        <f t="shared" si="10"/>
        <v>0.82</v>
      </c>
      <c r="I79" s="36">
        <v>0.55000000000000004</v>
      </c>
      <c r="J79" s="36">
        <f t="shared" si="11"/>
        <v>432.50899999999996</v>
      </c>
      <c r="K79" s="37">
        <f t="shared" si="12"/>
        <v>48.252959999999995</v>
      </c>
    </row>
    <row r="80" spans="1:11" ht="15" thickBot="1" x14ac:dyDescent="0.4">
      <c r="A80" s="7" t="s">
        <v>71</v>
      </c>
      <c r="B80" s="5" t="s">
        <v>49</v>
      </c>
      <c r="C80" s="5">
        <v>2.8721999999999999</v>
      </c>
      <c r="D80" s="5">
        <v>34.5</v>
      </c>
      <c r="E80" s="5">
        <v>22.5</v>
      </c>
      <c r="F80" s="5">
        <f>References!E48*References!F48</f>
        <v>1.4</v>
      </c>
      <c r="G80" s="36">
        <f t="shared" si="9"/>
        <v>685</v>
      </c>
      <c r="H80" s="36">
        <f t="shared" si="10"/>
        <v>0.82</v>
      </c>
      <c r="I80" s="36">
        <v>0.55000000000000004</v>
      </c>
      <c r="J80" s="36">
        <f t="shared" si="11"/>
        <v>432.50899999999996</v>
      </c>
      <c r="K80" s="37">
        <f t="shared" si="12"/>
        <v>48.252959999999995</v>
      </c>
    </row>
    <row r="81" spans="1:11" ht="15" thickBot="1" x14ac:dyDescent="0.4">
      <c r="A81" s="7" t="s">
        <v>71</v>
      </c>
      <c r="B81" s="5" t="s">
        <v>49</v>
      </c>
      <c r="C81" s="5">
        <v>2.8721999999999999</v>
      </c>
      <c r="D81" s="5">
        <v>34.5</v>
      </c>
      <c r="E81" s="5">
        <v>22.5</v>
      </c>
      <c r="F81" s="5">
        <f>References!E49*References!F49</f>
        <v>1.4</v>
      </c>
      <c r="G81" s="36">
        <f t="shared" si="9"/>
        <v>685</v>
      </c>
      <c r="H81" s="36">
        <f t="shared" si="10"/>
        <v>0.82</v>
      </c>
      <c r="I81" s="36">
        <v>0.55000000000000004</v>
      </c>
      <c r="J81" s="36">
        <f t="shared" si="11"/>
        <v>432.50899999999996</v>
      </c>
      <c r="K81" s="37">
        <f t="shared" si="12"/>
        <v>48.252959999999995</v>
      </c>
    </row>
    <row r="82" spans="1:11" ht="15" thickBot="1" x14ac:dyDescent="0.4">
      <c r="A82" s="7" t="s">
        <v>71</v>
      </c>
      <c r="B82" s="5" t="s">
        <v>49</v>
      </c>
      <c r="C82" s="5">
        <v>2.8721999999999999</v>
      </c>
      <c r="D82" s="5">
        <v>34.5</v>
      </c>
      <c r="E82" s="5">
        <v>22.5</v>
      </c>
      <c r="F82" s="5">
        <f>References!E50*References!F50</f>
        <v>1.4</v>
      </c>
      <c r="G82" s="36">
        <f t="shared" si="9"/>
        <v>685</v>
      </c>
      <c r="H82" s="36">
        <f t="shared" si="10"/>
        <v>0.82</v>
      </c>
      <c r="I82" s="36">
        <v>0.55000000000000004</v>
      </c>
      <c r="J82" s="36">
        <f t="shared" si="11"/>
        <v>432.50899999999996</v>
      </c>
      <c r="K82" s="37">
        <f t="shared" si="12"/>
        <v>48.252959999999995</v>
      </c>
    </row>
    <row r="83" spans="1:11" ht="15" thickBot="1" x14ac:dyDescent="0.4">
      <c r="A83" s="7" t="s">
        <v>72</v>
      </c>
      <c r="B83" s="5" t="s">
        <v>49</v>
      </c>
      <c r="C83" s="5">
        <v>2.8210999999999999</v>
      </c>
      <c r="D83" s="5">
        <v>34.5</v>
      </c>
      <c r="E83" s="5">
        <v>22.5</v>
      </c>
      <c r="F83" s="5">
        <f>References!E51*References!F51</f>
        <v>3.35</v>
      </c>
      <c r="G83" s="36">
        <f t="shared" si="9"/>
        <v>685</v>
      </c>
      <c r="H83" s="36">
        <f t="shared" si="10"/>
        <v>0.82</v>
      </c>
      <c r="I83" s="36">
        <v>0.55000000000000004</v>
      </c>
      <c r="J83" s="36">
        <f t="shared" si="11"/>
        <v>1034.9322499999998</v>
      </c>
      <c r="K83" s="37">
        <f t="shared" si="12"/>
        <v>113.40822</v>
      </c>
    </row>
    <row r="84" spans="1:11" ht="15" thickBot="1" x14ac:dyDescent="0.4">
      <c r="A84" s="7" t="s">
        <v>73</v>
      </c>
      <c r="B84" s="5" t="s">
        <v>49</v>
      </c>
      <c r="C84" s="5">
        <v>2.8721999999999999</v>
      </c>
      <c r="D84" s="5">
        <v>34.5</v>
      </c>
      <c r="E84" s="5">
        <v>22.5</v>
      </c>
      <c r="F84" s="5">
        <f>References!E52*References!F52</f>
        <v>2.4</v>
      </c>
      <c r="G84" s="36">
        <f t="shared" si="9"/>
        <v>685</v>
      </c>
      <c r="H84" s="36">
        <f t="shared" si="10"/>
        <v>0.82</v>
      </c>
      <c r="I84" s="36">
        <v>0.55000000000000004</v>
      </c>
      <c r="J84" s="36">
        <f t="shared" si="11"/>
        <v>741.44399999999985</v>
      </c>
      <c r="K84" s="37">
        <f t="shared" si="12"/>
        <v>82.719359999999995</v>
      </c>
    </row>
    <row r="85" spans="1:11" ht="15" thickBot="1" x14ac:dyDescent="0.4">
      <c r="A85" s="7" t="s">
        <v>76</v>
      </c>
      <c r="B85" s="5" t="s">
        <v>49</v>
      </c>
      <c r="C85" s="5">
        <v>2.8721999999999999</v>
      </c>
      <c r="D85" s="5">
        <v>34.5</v>
      </c>
      <c r="E85" s="5">
        <v>22.5</v>
      </c>
      <c r="F85" s="5">
        <f>References!E53*References!F53</f>
        <v>2.4</v>
      </c>
      <c r="G85" s="36">
        <f t="shared" si="9"/>
        <v>685</v>
      </c>
      <c r="H85" s="36">
        <f t="shared" si="10"/>
        <v>0.82</v>
      </c>
      <c r="I85" s="36">
        <v>0.55000000000000004</v>
      </c>
      <c r="J85" s="36">
        <f t="shared" si="11"/>
        <v>741.44399999999985</v>
      </c>
      <c r="K85" s="37">
        <f t="shared" si="12"/>
        <v>82.719359999999995</v>
      </c>
    </row>
    <row r="86" spans="1:11" ht="15" thickBot="1" x14ac:dyDescent="0.4">
      <c r="A86" s="7" t="s">
        <v>77</v>
      </c>
      <c r="B86" s="5" t="s">
        <v>49</v>
      </c>
      <c r="C86" s="5">
        <v>2.8721999999999999</v>
      </c>
      <c r="D86" s="5">
        <v>34.5</v>
      </c>
      <c r="E86" s="5">
        <v>22.5</v>
      </c>
      <c r="F86" s="5">
        <f>References!E54*References!F54</f>
        <v>2.4</v>
      </c>
      <c r="G86" s="36">
        <f t="shared" si="9"/>
        <v>685</v>
      </c>
      <c r="H86" s="36">
        <f t="shared" si="10"/>
        <v>0.82</v>
      </c>
      <c r="I86" s="36">
        <v>0.55000000000000004</v>
      </c>
      <c r="J86" s="36">
        <f t="shared" si="11"/>
        <v>741.44399999999985</v>
      </c>
      <c r="K86" s="37">
        <f t="shared" si="12"/>
        <v>82.719359999999995</v>
      </c>
    </row>
    <row r="87" spans="1:11" ht="15" thickBot="1" x14ac:dyDescent="0.4">
      <c r="A87" s="7" t="s">
        <v>78</v>
      </c>
      <c r="B87" s="5" t="s">
        <v>49</v>
      </c>
      <c r="C87" s="5">
        <v>2.8721999999999999</v>
      </c>
      <c r="D87" s="5">
        <v>34.5</v>
      </c>
      <c r="E87" s="5">
        <v>22.5</v>
      </c>
      <c r="F87" s="5">
        <f>References!E55*References!F55</f>
        <v>2.23</v>
      </c>
      <c r="G87" s="36">
        <f t="shared" si="9"/>
        <v>685</v>
      </c>
      <c r="H87" s="36">
        <f t="shared" si="10"/>
        <v>0.82</v>
      </c>
      <c r="I87" s="36">
        <v>0.55000000000000004</v>
      </c>
      <c r="J87" s="36">
        <f t="shared" si="11"/>
        <v>688.92504999999994</v>
      </c>
      <c r="K87" s="37">
        <f t="shared" si="12"/>
        <v>76.860071999999988</v>
      </c>
    </row>
    <row r="88" spans="1:11" ht="15" thickBot="1" x14ac:dyDescent="0.4">
      <c r="A88" s="7" t="s">
        <v>90</v>
      </c>
      <c r="B88" s="5" t="s">
        <v>49</v>
      </c>
      <c r="C88" s="5">
        <v>2.8721999999999999</v>
      </c>
      <c r="D88" s="5">
        <v>34.5</v>
      </c>
      <c r="E88" s="5">
        <v>24</v>
      </c>
      <c r="F88" s="5">
        <f>References!E56*References!F56</f>
        <v>0.36</v>
      </c>
      <c r="G88" s="36">
        <f t="shared" si="9"/>
        <v>685</v>
      </c>
      <c r="H88" s="36">
        <f t="shared" si="10"/>
        <v>0.82</v>
      </c>
      <c r="I88" s="36">
        <v>0.55000000000000004</v>
      </c>
      <c r="J88" s="36">
        <f t="shared" si="11"/>
        <v>111.21659999999999</v>
      </c>
      <c r="K88" s="37">
        <f t="shared" si="12"/>
        <v>10.856916</v>
      </c>
    </row>
    <row r="89" spans="1:11" ht="15" thickBot="1" x14ac:dyDescent="0.4">
      <c r="A89" s="7" t="s">
        <v>79</v>
      </c>
      <c r="B89" s="5" t="s">
        <v>50</v>
      </c>
      <c r="C89" s="5">
        <v>2.8721999999999999</v>
      </c>
      <c r="D89" s="5">
        <v>34.5</v>
      </c>
      <c r="E89" s="5">
        <v>22.5</v>
      </c>
      <c r="F89" s="5">
        <f>References!E57*References!F57</f>
        <v>2.4</v>
      </c>
      <c r="G89" s="36">
        <f t="shared" si="9"/>
        <v>230</v>
      </c>
      <c r="H89" s="36">
        <f t="shared" si="10"/>
        <v>0.83</v>
      </c>
      <c r="I89" s="36">
        <v>0.55000000000000004</v>
      </c>
      <c r="J89" s="36">
        <f t="shared" si="11"/>
        <v>251.98799999999997</v>
      </c>
      <c r="K89" s="37">
        <f t="shared" si="12"/>
        <v>82.719359999999995</v>
      </c>
    </row>
    <row r="90" spans="1:11" ht="15" thickBot="1" x14ac:dyDescent="0.4">
      <c r="A90" s="7" t="s">
        <v>58</v>
      </c>
      <c r="B90" s="5" t="s">
        <v>50</v>
      </c>
      <c r="C90" s="5">
        <v>2.8721999999999999</v>
      </c>
      <c r="D90" s="5">
        <v>34.5</v>
      </c>
      <c r="E90" s="5">
        <v>24</v>
      </c>
      <c r="F90" s="5">
        <f>References!E58*References!F58</f>
        <v>0.72</v>
      </c>
      <c r="G90" s="36">
        <f t="shared" si="9"/>
        <v>230</v>
      </c>
      <c r="H90" s="36">
        <f t="shared" si="10"/>
        <v>0.83</v>
      </c>
      <c r="I90" s="36">
        <v>0.55000000000000004</v>
      </c>
      <c r="J90" s="36">
        <f t="shared" si="11"/>
        <v>75.596399999999988</v>
      </c>
      <c r="K90" s="37">
        <f t="shared" si="12"/>
        <v>21.713832</v>
      </c>
    </row>
    <row r="91" spans="1:11" ht="15" thickBot="1" x14ac:dyDescent="0.4">
      <c r="A91" s="7" t="s">
        <v>59</v>
      </c>
      <c r="B91" s="5" t="s">
        <v>50</v>
      </c>
      <c r="C91" s="5">
        <v>2.8721999999999999</v>
      </c>
      <c r="D91" s="5">
        <v>34.5</v>
      </c>
      <c r="E91" s="5">
        <v>24</v>
      </c>
      <c r="F91" s="5">
        <f>References!E59*References!F59</f>
        <v>0.72</v>
      </c>
      <c r="G91" s="36">
        <f t="shared" si="9"/>
        <v>230</v>
      </c>
      <c r="H91" s="36">
        <f t="shared" si="10"/>
        <v>0.83</v>
      </c>
      <c r="I91" s="36">
        <v>0.55000000000000004</v>
      </c>
      <c r="J91" s="36">
        <f t="shared" si="11"/>
        <v>75.596399999999988</v>
      </c>
      <c r="K91" s="37">
        <f t="shared" si="12"/>
        <v>21.713832</v>
      </c>
    </row>
    <row r="92" spans="1:11" ht="15" thickBot="1" x14ac:dyDescent="0.4">
      <c r="A92" s="7" t="s">
        <v>91</v>
      </c>
      <c r="B92" s="5" t="s">
        <v>50</v>
      </c>
      <c r="C92" s="5">
        <v>2.8721999999999999</v>
      </c>
      <c r="D92" s="5">
        <v>34.5</v>
      </c>
      <c r="E92" s="5">
        <v>22.5</v>
      </c>
      <c r="F92" s="5">
        <f>References!E60*References!F60</f>
        <v>0</v>
      </c>
      <c r="G92" s="36">
        <f t="shared" si="9"/>
        <v>230</v>
      </c>
      <c r="H92" s="36">
        <f t="shared" si="10"/>
        <v>0.83</v>
      </c>
      <c r="I92" s="36">
        <v>0.55000000000000004</v>
      </c>
      <c r="J92" s="36">
        <f t="shared" si="11"/>
        <v>0</v>
      </c>
      <c r="K92" s="37">
        <f t="shared" si="12"/>
        <v>0</v>
      </c>
    </row>
    <row r="93" spans="1:11" ht="15" thickBot="1" x14ac:dyDescent="0.4">
      <c r="A93" s="7" t="s">
        <v>72</v>
      </c>
      <c r="B93" s="5" t="s">
        <v>47</v>
      </c>
      <c r="C93" s="5">
        <v>2.8210999999999999</v>
      </c>
      <c r="D93" s="5">
        <v>34.5</v>
      </c>
      <c r="E93" s="5">
        <v>22.5</v>
      </c>
      <c r="F93" s="5">
        <f>References!E61*References!F61</f>
        <v>3.35</v>
      </c>
      <c r="G93" s="36">
        <f t="shared" si="9"/>
        <v>685</v>
      </c>
      <c r="H93" s="36">
        <f t="shared" si="10"/>
        <v>0.8</v>
      </c>
      <c r="I93" s="36">
        <v>0.55000000000000004</v>
      </c>
      <c r="J93" s="36">
        <f t="shared" si="11"/>
        <v>1009.69</v>
      </c>
      <c r="K93" s="37">
        <f t="shared" si="12"/>
        <v>113.40822</v>
      </c>
    </row>
    <row r="94" spans="1:11" ht="15" thickBot="1" x14ac:dyDescent="0.4">
      <c r="A94" s="7" t="s">
        <v>71</v>
      </c>
      <c r="B94" s="5" t="s">
        <v>47</v>
      </c>
      <c r="C94" s="5">
        <v>2.8721999999999999</v>
      </c>
      <c r="D94" s="5">
        <v>34.5</v>
      </c>
      <c r="E94" s="5">
        <v>22.5</v>
      </c>
      <c r="F94" s="5">
        <f>References!E62*References!F62</f>
        <v>1.4</v>
      </c>
      <c r="G94" s="36">
        <f t="shared" si="9"/>
        <v>685</v>
      </c>
      <c r="H94" s="36">
        <f t="shared" si="10"/>
        <v>0.8</v>
      </c>
      <c r="I94" s="36">
        <v>0.55000000000000004</v>
      </c>
      <c r="J94" s="36">
        <f t="shared" si="11"/>
        <v>421.96</v>
      </c>
      <c r="K94" s="37">
        <f t="shared" si="12"/>
        <v>48.252959999999995</v>
      </c>
    </row>
    <row r="95" spans="1:11" ht="15" thickBot="1" x14ac:dyDescent="0.4">
      <c r="A95" s="7" t="s">
        <v>71</v>
      </c>
      <c r="B95" s="5" t="s">
        <v>47</v>
      </c>
      <c r="C95" s="5">
        <v>2.8721999999999999</v>
      </c>
      <c r="D95" s="5">
        <v>34.5</v>
      </c>
      <c r="E95" s="5">
        <v>22.5</v>
      </c>
      <c r="F95" s="5">
        <f>References!E63*References!F63</f>
        <v>1.4</v>
      </c>
      <c r="G95" s="36">
        <f t="shared" si="9"/>
        <v>685</v>
      </c>
      <c r="H95" s="36">
        <f t="shared" si="10"/>
        <v>0.8</v>
      </c>
      <c r="I95" s="36">
        <v>0.55000000000000004</v>
      </c>
      <c r="J95" s="36">
        <f t="shared" si="11"/>
        <v>421.96</v>
      </c>
      <c r="K95" s="37">
        <f t="shared" si="12"/>
        <v>48.252959999999995</v>
      </c>
    </row>
    <row r="96" spans="1:11" ht="15" thickBot="1" x14ac:dyDescent="0.4">
      <c r="A96" s="7" t="s">
        <v>71</v>
      </c>
      <c r="B96" s="5" t="s">
        <v>47</v>
      </c>
      <c r="C96" s="5">
        <v>2.8721999999999999</v>
      </c>
      <c r="D96" s="5">
        <v>34.5</v>
      </c>
      <c r="E96" s="5">
        <v>22.5</v>
      </c>
      <c r="F96" s="5">
        <f>References!E64*References!F64</f>
        <v>1.4</v>
      </c>
      <c r="G96" s="36">
        <f t="shared" si="9"/>
        <v>685</v>
      </c>
      <c r="H96" s="36">
        <f t="shared" si="10"/>
        <v>0.8</v>
      </c>
      <c r="I96" s="36">
        <v>0.55000000000000004</v>
      </c>
      <c r="J96" s="36">
        <f t="shared" si="11"/>
        <v>421.96</v>
      </c>
      <c r="K96" s="37">
        <f t="shared" si="12"/>
        <v>48.252959999999995</v>
      </c>
    </row>
    <row r="97" spans="1:11" ht="15" thickBot="1" x14ac:dyDescent="0.4">
      <c r="A97" s="7" t="s">
        <v>71</v>
      </c>
      <c r="B97" s="5" t="s">
        <v>47</v>
      </c>
      <c r="C97" s="5">
        <v>2.8721999999999999</v>
      </c>
      <c r="D97" s="5">
        <v>34.5</v>
      </c>
      <c r="E97" s="5">
        <v>22.5</v>
      </c>
      <c r="F97" s="5">
        <f>References!E65*References!F65</f>
        <v>1.4</v>
      </c>
      <c r="G97" s="36">
        <f t="shared" si="9"/>
        <v>685</v>
      </c>
      <c r="H97" s="36">
        <f t="shared" si="10"/>
        <v>0.8</v>
      </c>
      <c r="I97" s="36">
        <v>0.55000000000000004</v>
      </c>
      <c r="J97" s="36">
        <f t="shared" si="11"/>
        <v>421.96</v>
      </c>
      <c r="K97" s="37">
        <f t="shared" si="12"/>
        <v>48.252959999999995</v>
      </c>
    </row>
    <row r="98" spans="1:11" ht="15" thickBot="1" x14ac:dyDescent="0.4">
      <c r="A98" s="7" t="s">
        <v>67</v>
      </c>
      <c r="B98" s="5" t="s">
        <v>47</v>
      </c>
      <c r="C98" s="5">
        <v>2.8721999999999999</v>
      </c>
      <c r="D98" s="5">
        <v>34.5</v>
      </c>
      <c r="E98" s="5">
        <v>22.5</v>
      </c>
      <c r="F98" s="5">
        <f>References!E66*References!F66</f>
        <v>1.4</v>
      </c>
      <c r="G98" s="36">
        <f t="shared" si="9"/>
        <v>685</v>
      </c>
      <c r="H98" s="36">
        <f t="shared" si="10"/>
        <v>0.8</v>
      </c>
      <c r="I98" s="36">
        <v>0.55000000000000004</v>
      </c>
      <c r="J98" s="36">
        <f>G98*H98*F98*I98</f>
        <v>421.96</v>
      </c>
      <c r="K98" s="37">
        <f>(C98*F98)*(D98-E98)</f>
        <v>48.252959999999995</v>
      </c>
    </row>
    <row r="99" spans="1:11" ht="15" thickBot="1" x14ac:dyDescent="0.4">
      <c r="A99" s="22" t="s">
        <v>89</v>
      </c>
      <c r="B99" s="20" t="s">
        <v>47</v>
      </c>
      <c r="C99" s="20">
        <v>2.8721999999999999</v>
      </c>
      <c r="D99" s="20">
        <v>34.5</v>
      </c>
      <c r="E99" s="20">
        <v>24</v>
      </c>
      <c r="F99" s="20">
        <f>References!E67*References!F67</f>
        <v>0.36</v>
      </c>
      <c r="G99" s="38">
        <f t="shared" ref="G99" si="13">_xlfn.IFS(B99="E",685,B99="N",120,B99="W",685,B99="S",230)</f>
        <v>685</v>
      </c>
      <c r="H99" s="38">
        <f t="shared" ref="H99" si="14">_xlfn.IFS(B99="E",0.8,B99="N",0.91,B99="W",0.82,B99="S",0.83)</f>
        <v>0.8</v>
      </c>
      <c r="I99" s="38">
        <v>0.55000000000000004</v>
      </c>
      <c r="J99" s="38">
        <f t="shared" si="11"/>
        <v>108.504</v>
      </c>
      <c r="K99" s="39">
        <f t="shared" si="12"/>
        <v>10.856916</v>
      </c>
    </row>
    <row r="100" spans="1:11" ht="15" thickBot="1" x14ac:dyDescent="0.4">
      <c r="H100" s="62" t="s">
        <v>123</v>
      </c>
      <c r="I100" s="62"/>
      <c r="J100" s="43">
        <f>SUM(J73:J99)</f>
        <v>11242.204599999995</v>
      </c>
      <c r="K100" s="43">
        <f>SUM(K73:K99)</f>
        <v>1593.753864</v>
      </c>
    </row>
    <row r="101" spans="1:11" ht="15" thickBot="1" x14ac:dyDescent="0.4">
      <c r="H101" s="62" t="s">
        <v>168</v>
      </c>
      <c r="I101" s="62"/>
      <c r="J101" s="63">
        <f>J100+K100</f>
        <v>12835.958463999996</v>
      </c>
      <c r="K101" s="64"/>
    </row>
  </sheetData>
  <mergeCells count="11">
    <mergeCell ref="A1:K1"/>
    <mergeCell ref="H35:I35"/>
    <mergeCell ref="H69:I69"/>
    <mergeCell ref="A37:K37"/>
    <mergeCell ref="H101:I101"/>
    <mergeCell ref="J101:K101"/>
    <mergeCell ref="A2:K2"/>
    <mergeCell ref="A71:K71"/>
    <mergeCell ref="H34:I34"/>
    <mergeCell ref="H68:I68"/>
    <mergeCell ref="H100:I100"/>
  </mergeCells>
  <conditionalFormatting sqref="A72:K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4646-FE91-481F-81D8-2C8592C5DED1}">
  <sheetPr codeName="Sheet3"/>
  <dimension ref="A1:V235"/>
  <sheetViews>
    <sheetView tabSelected="1" topLeftCell="D21" zoomScale="70" zoomScaleNormal="70" workbookViewId="0">
      <selection activeCell="L1" sqref="L1:V233"/>
    </sheetView>
  </sheetViews>
  <sheetFormatPr defaultRowHeight="14.5" x14ac:dyDescent="0.35"/>
  <cols>
    <col min="1" max="1" width="34.81640625" customWidth="1"/>
    <col min="2" max="2" width="9.7265625" customWidth="1"/>
    <col min="3" max="3" width="10.81640625" customWidth="1"/>
    <col min="4" max="5" width="8.81640625" customWidth="1"/>
    <col min="6" max="6" width="10.453125" customWidth="1"/>
    <col min="7" max="7" width="8.81640625" customWidth="1"/>
    <col min="8" max="8" width="12.81640625" customWidth="1"/>
    <col min="9" max="9" width="12" customWidth="1"/>
    <col min="10" max="10" width="8.81640625" customWidth="1"/>
    <col min="12" max="12" width="37.81640625" customWidth="1"/>
    <col min="15" max="15" width="14" customWidth="1"/>
    <col min="16" max="16" width="12" customWidth="1"/>
    <col min="17" max="17" width="19.26953125" customWidth="1"/>
    <col min="18" max="18" width="14" customWidth="1"/>
    <col min="19" max="19" width="11.26953125" customWidth="1"/>
    <col min="22" max="22" width="13.81640625" customWidth="1"/>
  </cols>
  <sheetData>
    <row r="1" spans="1:22" x14ac:dyDescent="0.35">
      <c r="A1" s="61" t="s">
        <v>19</v>
      </c>
      <c r="B1" s="61"/>
      <c r="C1" s="61"/>
      <c r="D1" s="61"/>
      <c r="E1" s="61"/>
      <c r="F1" s="61"/>
      <c r="G1" s="61"/>
      <c r="H1" s="61"/>
      <c r="I1" s="61"/>
      <c r="L1" s="61" t="s">
        <v>334</v>
      </c>
      <c r="M1" s="61"/>
      <c r="N1" s="61"/>
      <c r="O1" s="61"/>
      <c r="P1" s="61"/>
      <c r="Q1" s="61"/>
      <c r="R1" s="61"/>
      <c r="S1" s="61"/>
      <c r="T1" s="61"/>
    </row>
    <row r="2" spans="1:22" x14ac:dyDescent="0.35">
      <c r="A2" s="51"/>
      <c r="B2" s="51"/>
      <c r="C2" s="51"/>
      <c r="D2" s="51"/>
      <c r="E2" s="51"/>
      <c r="F2" s="51"/>
      <c r="G2" s="51"/>
      <c r="H2" s="51"/>
      <c r="I2" s="51"/>
    </row>
    <row r="3" spans="1:22" ht="15" thickBot="1" x14ac:dyDescent="0.4">
      <c r="A3" s="40" t="s">
        <v>20</v>
      </c>
      <c r="B3" s="41" t="s">
        <v>169</v>
      </c>
      <c r="C3" s="41" t="s">
        <v>21</v>
      </c>
      <c r="D3" s="41" t="s">
        <v>13</v>
      </c>
      <c r="E3" s="41" t="s">
        <v>7</v>
      </c>
      <c r="F3" s="41" t="s">
        <v>22</v>
      </c>
      <c r="G3" s="41" t="s">
        <v>23</v>
      </c>
      <c r="H3" s="41" t="s">
        <v>24</v>
      </c>
      <c r="I3" s="42" t="s">
        <v>25</v>
      </c>
      <c r="L3" s="1" t="s">
        <v>20</v>
      </c>
      <c r="M3" s="1" t="s">
        <v>335</v>
      </c>
      <c r="N3" s="1" t="s">
        <v>21</v>
      </c>
      <c r="O3" s="1" t="s">
        <v>13</v>
      </c>
      <c r="P3" s="1" t="s">
        <v>7</v>
      </c>
      <c r="Q3" s="1" t="s">
        <v>22</v>
      </c>
      <c r="R3" s="1" t="s">
        <v>23</v>
      </c>
      <c r="S3" s="1" t="s">
        <v>24</v>
      </c>
      <c r="T3" s="1" t="s">
        <v>336</v>
      </c>
      <c r="V3" s="1" t="s">
        <v>340</v>
      </c>
    </row>
    <row r="4" spans="1:22" ht="15" thickBot="1" x14ac:dyDescent="0.4">
      <c r="A4" s="9" t="s">
        <v>238</v>
      </c>
      <c r="B4" s="5">
        <f>References!Z4*4</f>
        <v>149.7544</v>
      </c>
      <c r="C4" s="5">
        <f>(References!Y4*B4)/3.6</f>
        <v>10.981989333333333</v>
      </c>
      <c r="D4" s="5">
        <v>34.5</v>
      </c>
      <c r="E4" s="5">
        <v>22.5</v>
      </c>
      <c r="F4" s="5">
        <v>1.8136751999999999E-2</v>
      </c>
      <c r="G4" s="5">
        <v>9.2932350000000004E-3</v>
      </c>
      <c r="H4" s="5">
        <f t="shared" ref="H4:H35" si="0">(1.232*(D4-E4)*C4)</f>
        <v>162.35773030399997</v>
      </c>
      <c r="I4" s="14">
        <f t="shared" ref="I4:I35" si="1">3000*C4*(F4-G4)</f>
        <v>291.35822808945596</v>
      </c>
      <c r="L4" s="54" t="s">
        <v>238</v>
      </c>
      <c r="N4">
        <f>M4*V4</f>
        <v>0</v>
      </c>
      <c r="O4">
        <v>34.5</v>
      </c>
      <c r="P4" s="57">
        <v>22.5</v>
      </c>
      <c r="Q4" s="57">
        <v>1.8136751999999999E-2</v>
      </c>
      <c r="R4" s="57">
        <v>9.2932350000000004E-3</v>
      </c>
      <c r="S4">
        <f>1.232*N4*(O4-P4)</f>
        <v>0</v>
      </c>
      <c r="T4">
        <f>3000*N4*(Q4-R4)</f>
        <v>0</v>
      </c>
    </row>
    <row r="5" spans="1:22" ht="15" thickBot="1" x14ac:dyDescent="0.4">
      <c r="A5" s="9" t="s">
        <v>239</v>
      </c>
      <c r="B5" s="5">
        <f>References!Z5*4</f>
        <v>38.604799999999997</v>
      </c>
      <c r="C5" s="5">
        <f>(References!Y5*B5)/3.6</f>
        <v>2.8310186666666666</v>
      </c>
      <c r="D5" s="5">
        <v>34.5</v>
      </c>
      <c r="E5" s="5">
        <v>22.5</v>
      </c>
      <c r="F5" s="5">
        <v>1.8136751999999999E-2</v>
      </c>
      <c r="G5" s="5">
        <v>8.4806099999999995E-3</v>
      </c>
      <c r="H5" s="5">
        <f t="shared" si="0"/>
        <v>41.853779967999998</v>
      </c>
      <c r="I5" s="14">
        <f t="shared" si="1"/>
        <v>82.010154749951994</v>
      </c>
      <c r="L5" s="55" t="s">
        <v>239</v>
      </c>
      <c r="N5">
        <f t="shared" ref="N5:N68" si="2">M5*V5</f>
        <v>0</v>
      </c>
      <c r="O5">
        <v>34.5</v>
      </c>
      <c r="P5" s="28">
        <v>22.5</v>
      </c>
      <c r="Q5" s="57">
        <v>1.8136751999999999E-2</v>
      </c>
      <c r="R5" s="28">
        <v>8.4806099999999995E-3</v>
      </c>
      <c r="S5">
        <f t="shared" ref="S5:S68" si="3">1.232*N5*(O5-P5)</f>
        <v>0</v>
      </c>
      <c r="T5">
        <f t="shared" ref="T5:T68" si="4">3000*N5*(Q5-R5)</f>
        <v>0</v>
      </c>
    </row>
    <row r="6" spans="1:22" ht="15" thickBot="1" x14ac:dyDescent="0.4">
      <c r="A6" s="9" t="s">
        <v>240</v>
      </c>
      <c r="B6" s="5">
        <f>References!Z6*4</f>
        <v>31.27</v>
      </c>
      <c r="C6" s="5">
        <f>(References!Y6*B6)/3.6</f>
        <v>2.2019291666666665</v>
      </c>
      <c r="D6" s="5">
        <v>34.5</v>
      </c>
      <c r="E6" s="5">
        <v>24</v>
      </c>
      <c r="F6" s="5">
        <v>1.8136751999999999E-2</v>
      </c>
      <c r="G6" s="5">
        <v>9.2932350000000004E-3</v>
      </c>
      <c r="H6" s="5">
        <f t="shared" si="0"/>
        <v>28.484155699999999</v>
      </c>
      <c r="I6" s="14">
        <f t="shared" si="1"/>
        <v>58.418394054637488</v>
      </c>
      <c r="L6" s="54" t="s">
        <v>240</v>
      </c>
      <c r="N6">
        <f t="shared" si="2"/>
        <v>0</v>
      </c>
      <c r="O6">
        <v>34.5</v>
      </c>
      <c r="P6" s="57">
        <v>24</v>
      </c>
      <c r="Q6" s="57">
        <v>1.8136751999999999E-2</v>
      </c>
      <c r="R6" s="57">
        <v>9.2932350000000004E-3</v>
      </c>
      <c r="S6">
        <f t="shared" si="3"/>
        <v>0</v>
      </c>
      <c r="T6">
        <f t="shared" si="4"/>
        <v>0</v>
      </c>
    </row>
    <row r="7" spans="1:22" ht="15" thickBot="1" x14ac:dyDescent="0.4">
      <c r="A7" s="9" t="s">
        <v>241</v>
      </c>
      <c r="B7" s="5">
        <f>References!Z7*4</f>
        <v>65.238</v>
      </c>
      <c r="C7" s="5">
        <f>(References!Y7*B7)/3.6</f>
        <v>4.7841199999999997</v>
      </c>
      <c r="D7" s="5">
        <v>34.5</v>
      </c>
      <c r="E7" s="5">
        <v>22.5</v>
      </c>
      <c r="F7" s="5">
        <v>1.8136751999999999E-2</v>
      </c>
      <c r="G7" s="5">
        <v>8.4806099999999995E-3</v>
      </c>
      <c r="H7" s="5">
        <f t="shared" si="0"/>
        <v>70.728430079999995</v>
      </c>
      <c r="I7" s="14">
        <f t="shared" si="1"/>
        <v>138.58842619511998</v>
      </c>
      <c r="L7" s="55" t="s">
        <v>241</v>
      </c>
      <c r="M7">
        <v>3</v>
      </c>
      <c r="N7">
        <f t="shared" si="2"/>
        <v>24</v>
      </c>
      <c r="O7">
        <v>34.5</v>
      </c>
      <c r="P7" s="28">
        <v>22.5</v>
      </c>
      <c r="Q7" s="57">
        <v>1.8136751999999999E-2</v>
      </c>
      <c r="R7" s="28">
        <v>8.4806099999999995E-3</v>
      </c>
      <c r="S7">
        <f t="shared" si="3"/>
        <v>354.81599999999997</v>
      </c>
      <c r="T7">
        <f t="shared" si="4"/>
        <v>695.24222399999996</v>
      </c>
      <c r="V7" s="50">
        <v>8</v>
      </c>
    </row>
    <row r="8" spans="1:22" ht="15" thickBot="1" x14ac:dyDescent="0.4">
      <c r="A8" s="9" t="s">
        <v>322</v>
      </c>
      <c r="B8" s="5">
        <f>References!Z8*4</f>
        <v>11.35</v>
      </c>
      <c r="C8" s="5">
        <f>(References!Y8*B8)/3.6</f>
        <v>0.79922916666666666</v>
      </c>
      <c r="D8" s="5">
        <v>34.5</v>
      </c>
      <c r="E8" s="5">
        <v>24</v>
      </c>
      <c r="F8" s="5">
        <v>1.8136751999999999E-2</v>
      </c>
      <c r="G8" s="5">
        <v>9.2932350000000004E-3</v>
      </c>
      <c r="H8" s="5">
        <f t="shared" si="0"/>
        <v>10.3388285</v>
      </c>
      <c r="I8" s="14">
        <f t="shared" si="1"/>
        <v>21.203990166937498</v>
      </c>
      <c r="L8" s="54" t="s">
        <v>322</v>
      </c>
      <c r="N8">
        <f t="shared" si="2"/>
        <v>0</v>
      </c>
      <c r="O8">
        <v>34.5</v>
      </c>
      <c r="P8" s="57">
        <v>24</v>
      </c>
      <c r="Q8" s="57">
        <v>1.8136751999999999E-2</v>
      </c>
      <c r="R8" s="57">
        <v>9.2932350000000004E-3</v>
      </c>
      <c r="S8">
        <f t="shared" si="3"/>
        <v>0</v>
      </c>
      <c r="T8">
        <f t="shared" si="4"/>
        <v>0</v>
      </c>
    </row>
    <row r="9" spans="1:22" ht="15" thickBot="1" x14ac:dyDescent="0.4">
      <c r="A9" s="9" t="s">
        <v>242</v>
      </c>
      <c r="B9" s="5">
        <f>References!Z9*4</f>
        <v>73.196399999999997</v>
      </c>
      <c r="C9" s="5">
        <f>(References!Y9*B9)/3.6</f>
        <v>5.1542465000000002</v>
      </c>
      <c r="D9" s="5">
        <v>34.5</v>
      </c>
      <c r="E9" s="5">
        <v>24</v>
      </c>
      <c r="F9" s="5">
        <v>1.8136751999999999E-2</v>
      </c>
      <c r="G9" s="5">
        <v>9.2932350000000004E-3</v>
      </c>
      <c r="H9" s="5">
        <f t="shared" si="0"/>
        <v>66.675332724</v>
      </c>
      <c r="I9" s="14">
        <f t="shared" si="1"/>
        <v>136.74499963482148</v>
      </c>
      <c r="L9" s="55" t="s">
        <v>242</v>
      </c>
      <c r="N9">
        <f t="shared" si="2"/>
        <v>0</v>
      </c>
      <c r="O9">
        <v>34.5</v>
      </c>
      <c r="P9" s="28">
        <v>24</v>
      </c>
      <c r="Q9" s="57">
        <v>1.8136751999999999E-2</v>
      </c>
      <c r="R9" s="28">
        <v>9.2932350000000004E-3</v>
      </c>
      <c r="S9">
        <f t="shared" si="3"/>
        <v>0</v>
      </c>
      <c r="T9">
        <f t="shared" si="4"/>
        <v>0</v>
      </c>
    </row>
    <row r="10" spans="1:22" ht="15" thickBot="1" x14ac:dyDescent="0.4">
      <c r="A10" s="9" t="s">
        <v>243</v>
      </c>
      <c r="B10" s="5">
        <f>References!Z10*4</f>
        <v>73.385599999999997</v>
      </c>
      <c r="C10" s="5">
        <f>(References!Y10*B10)/3.6</f>
        <v>5.1675693333333328</v>
      </c>
      <c r="D10" s="5">
        <v>34.5</v>
      </c>
      <c r="E10" s="5">
        <v>24</v>
      </c>
      <c r="F10" s="5">
        <v>1.8136751999999999E-2</v>
      </c>
      <c r="G10" s="5">
        <v>9.2932350000000004E-3</v>
      </c>
      <c r="H10" s="5">
        <f t="shared" si="0"/>
        <v>66.847676895999996</v>
      </c>
      <c r="I10" s="14">
        <f t="shared" si="1"/>
        <v>137.09846174403597</v>
      </c>
      <c r="L10" s="54" t="s">
        <v>243</v>
      </c>
      <c r="N10">
        <f t="shared" si="2"/>
        <v>0</v>
      </c>
      <c r="O10">
        <v>34.5</v>
      </c>
      <c r="P10" s="57">
        <v>24</v>
      </c>
      <c r="Q10" s="57">
        <v>1.8136751999999999E-2</v>
      </c>
      <c r="R10" s="57">
        <v>9.2932350000000004E-3</v>
      </c>
      <c r="S10">
        <f t="shared" si="3"/>
        <v>0</v>
      </c>
      <c r="T10">
        <f t="shared" si="4"/>
        <v>0</v>
      </c>
    </row>
    <row r="11" spans="1:22" ht="15" thickBot="1" x14ac:dyDescent="0.4">
      <c r="A11" s="9" t="s">
        <v>244</v>
      </c>
      <c r="B11" s="5">
        <f>References!Z11*4</f>
        <v>93.554400000000001</v>
      </c>
      <c r="C11" s="5">
        <f>(References!Y11*B11)/3.6</f>
        <v>6.9516116666666674</v>
      </c>
      <c r="D11" s="5">
        <v>34.5</v>
      </c>
      <c r="E11" s="5">
        <v>22</v>
      </c>
      <c r="F11" s="5">
        <v>1.8136751999999999E-2</v>
      </c>
      <c r="G11" s="5">
        <v>8.2197599999999996E-3</v>
      </c>
      <c r="H11" s="5">
        <f t="shared" si="0"/>
        <v>107.05481966666667</v>
      </c>
      <c r="I11" s="14">
        <f t="shared" si="1"/>
        <v>206.81723185632001</v>
      </c>
      <c r="L11" s="55" t="s">
        <v>244</v>
      </c>
      <c r="M11">
        <v>6</v>
      </c>
      <c r="N11">
        <f t="shared" si="2"/>
        <v>90</v>
      </c>
      <c r="O11">
        <v>34.5</v>
      </c>
      <c r="P11" s="28">
        <v>22</v>
      </c>
      <c r="Q11" s="57">
        <v>1.8136751999999999E-2</v>
      </c>
      <c r="R11" s="28">
        <v>8.2197599999999996E-3</v>
      </c>
      <c r="S11">
        <f t="shared" si="3"/>
        <v>1386</v>
      </c>
      <c r="T11">
        <f t="shared" si="4"/>
        <v>2677.5878399999997</v>
      </c>
      <c r="V11" s="50">
        <v>15</v>
      </c>
    </row>
    <row r="12" spans="1:22" ht="15" thickBot="1" x14ac:dyDescent="0.4">
      <c r="A12" s="9" t="s">
        <v>245</v>
      </c>
      <c r="B12" s="5">
        <f>References!Z12*4</f>
        <v>22.44</v>
      </c>
      <c r="C12" s="5">
        <f>(References!Y12*B12)/3.6</f>
        <v>1.5801500000000002</v>
      </c>
      <c r="D12" s="5">
        <v>34.5</v>
      </c>
      <c r="E12" s="5">
        <v>24</v>
      </c>
      <c r="F12" s="5">
        <v>1.8136751999999999E-2</v>
      </c>
      <c r="G12" s="5">
        <v>9.2932350000000004E-3</v>
      </c>
      <c r="H12" s="5">
        <f t="shared" si="0"/>
        <v>20.440820400000003</v>
      </c>
      <c r="I12" s="14">
        <f t="shared" si="1"/>
        <v>41.922250162650002</v>
      </c>
      <c r="L12" s="54" t="s">
        <v>245</v>
      </c>
      <c r="N12">
        <f t="shared" si="2"/>
        <v>0</v>
      </c>
      <c r="O12">
        <v>34.5</v>
      </c>
      <c r="P12" s="57">
        <v>24</v>
      </c>
      <c r="Q12" s="57">
        <v>1.8136751999999999E-2</v>
      </c>
      <c r="R12" s="57">
        <v>9.2932350000000004E-3</v>
      </c>
      <c r="S12">
        <f t="shared" si="3"/>
        <v>0</v>
      </c>
      <c r="T12">
        <f t="shared" si="4"/>
        <v>0</v>
      </c>
    </row>
    <row r="13" spans="1:22" ht="15" thickBot="1" x14ac:dyDescent="0.4">
      <c r="A13" s="9" t="s">
        <v>246</v>
      </c>
      <c r="B13" s="5">
        <f>References!Z13*4</f>
        <v>168.77</v>
      </c>
      <c r="C13" s="5">
        <f>(References!Y13*B13)/3.6</f>
        <v>12.376466666666667</v>
      </c>
      <c r="D13" s="5">
        <v>34.5</v>
      </c>
      <c r="E13" s="5">
        <v>22.5</v>
      </c>
      <c r="F13" s="5">
        <v>1.8136751999999999E-2</v>
      </c>
      <c r="G13" s="5">
        <v>8.4806099999999995E-3</v>
      </c>
      <c r="H13" s="5">
        <f t="shared" si="0"/>
        <v>182.97368320000001</v>
      </c>
      <c r="I13" s="14">
        <f t="shared" si="1"/>
        <v>358.52675877479999</v>
      </c>
      <c r="L13" s="55" t="s">
        <v>246</v>
      </c>
      <c r="M13">
        <v>6</v>
      </c>
      <c r="N13">
        <f t="shared" si="2"/>
        <v>48</v>
      </c>
      <c r="O13">
        <v>34.5</v>
      </c>
      <c r="P13" s="28">
        <v>22.5</v>
      </c>
      <c r="Q13" s="57">
        <v>1.8136751999999999E-2</v>
      </c>
      <c r="R13" s="28">
        <v>8.4806099999999995E-3</v>
      </c>
      <c r="S13">
        <f t="shared" si="3"/>
        <v>709.63199999999995</v>
      </c>
      <c r="T13">
        <f t="shared" si="4"/>
        <v>1390.4844479999999</v>
      </c>
      <c r="V13" s="50">
        <v>8</v>
      </c>
    </row>
    <row r="14" spans="1:22" ht="15" thickBot="1" x14ac:dyDescent="0.4">
      <c r="A14" s="9" t="s">
        <v>323</v>
      </c>
      <c r="B14" s="5">
        <f>References!Z14*4</f>
        <v>14.8348</v>
      </c>
      <c r="C14" s="5">
        <f>(References!Y14*B14)/3.6</f>
        <v>1.0446171666666666</v>
      </c>
      <c r="D14" s="5">
        <v>34.5</v>
      </c>
      <c r="E14" s="5">
        <v>24</v>
      </c>
      <c r="F14" s="5">
        <v>1.8136751999999999E-2</v>
      </c>
      <c r="G14" s="5">
        <v>9.2932350000000004E-3</v>
      </c>
      <c r="H14" s="5">
        <f t="shared" si="0"/>
        <v>13.513167667999999</v>
      </c>
      <c r="I14" s="14">
        <f t="shared" si="1"/>
        <v>27.714269015725495</v>
      </c>
      <c r="L14" s="54" t="s">
        <v>323</v>
      </c>
      <c r="N14">
        <f t="shared" si="2"/>
        <v>0</v>
      </c>
      <c r="O14">
        <v>34.5</v>
      </c>
      <c r="P14" s="57">
        <v>24</v>
      </c>
      <c r="Q14" s="57">
        <v>1.8136751999999999E-2</v>
      </c>
      <c r="R14" s="57">
        <v>9.2932350000000004E-3</v>
      </c>
      <c r="S14">
        <f t="shared" si="3"/>
        <v>0</v>
      </c>
      <c r="T14">
        <f t="shared" si="4"/>
        <v>0</v>
      </c>
    </row>
    <row r="15" spans="1:22" ht="15" thickBot="1" x14ac:dyDescent="0.4">
      <c r="A15" s="9" t="s">
        <v>247</v>
      </c>
      <c r="B15" s="5">
        <f>References!Z15*4</f>
        <v>78.551199999999994</v>
      </c>
      <c r="C15" s="5">
        <f>(References!Y15*B15)/3.6</f>
        <v>5.7604213333333325</v>
      </c>
      <c r="D15" s="5">
        <v>34.5</v>
      </c>
      <c r="E15" s="5">
        <v>22.5</v>
      </c>
      <c r="F15" s="5">
        <v>1.8136751999999999E-2</v>
      </c>
      <c r="G15" s="5">
        <v>8.4806099999999995E-3</v>
      </c>
      <c r="H15" s="5">
        <f t="shared" si="0"/>
        <v>85.162068991999988</v>
      </c>
      <c r="I15" s="14">
        <f t="shared" si="1"/>
        <v>166.87033912348798</v>
      </c>
      <c r="L15" s="55" t="s">
        <v>247</v>
      </c>
      <c r="N15">
        <f t="shared" si="2"/>
        <v>0</v>
      </c>
      <c r="O15">
        <v>34.5</v>
      </c>
      <c r="P15" s="28">
        <v>22.5</v>
      </c>
      <c r="Q15" s="57">
        <v>1.8136751999999999E-2</v>
      </c>
      <c r="R15" s="28">
        <v>8.4806099999999995E-3</v>
      </c>
      <c r="S15">
        <f t="shared" si="3"/>
        <v>0</v>
      </c>
      <c r="T15">
        <f t="shared" si="4"/>
        <v>0</v>
      </c>
    </row>
    <row r="16" spans="1:22" ht="15" thickBot="1" x14ac:dyDescent="0.4">
      <c r="A16" s="9" t="s">
        <v>248</v>
      </c>
      <c r="B16" s="5">
        <f>References!Z16*4</f>
        <v>125.1572</v>
      </c>
      <c r="C16" s="5">
        <f>(References!Y16*B16)/3.6</f>
        <v>9.1781946666666663</v>
      </c>
      <c r="D16" s="5">
        <v>34.5</v>
      </c>
      <c r="E16" s="5">
        <v>22.5</v>
      </c>
      <c r="F16" s="5">
        <v>1.8136751999999999E-2</v>
      </c>
      <c r="G16" s="5">
        <v>8.4806099999999995E-3</v>
      </c>
      <c r="H16" s="5">
        <f t="shared" si="0"/>
        <v>135.69042995199999</v>
      </c>
      <c r="I16" s="14">
        <f t="shared" si="1"/>
        <v>265.87785301492795</v>
      </c>
      <c r="L16" s="54" t="s">
        <v>248</v>
      </c>
      <c r="M16">
        <v>2</v>
      </c>
      <c r="N16">
        <f t="shared" si="2"/>
        <v>5</v>
      </c>
      <c r="O16">
        <v>34.5</v>
      </c>
      <c r="P16" s="57">
        <v>22.5</v>
      </c>
      <c r="Q16" s="57">
        <v>1.8136751999999999E-2</v>
      </c>
      <c r="R16" s="57">
        <v>8.4806099999999995E-3</v>
      </c>
      <c r="S16">
        <f t="shared" si="3"/>
        <v>73.92</v>
      </c>
      <c r="T16">
        <f t="shared" si="4"/>
        <v>144.84213</v>
      </c>
      <c r="V16" s="50">
        <v>2.5</v>
      </c>
    </row>
    <row r="17" spans="1:22" ht="15" thickBot="1" x14ac:dyDescent="0.4">
      <c r="A17" s="9" t="s">
        <v>249</v>
      </c>
      <c r="B17" s="5">
        <f>References!Z17*4</f>
        <v>15.908799999999999</v>
      </c>
      <c r="C17" s="5">
        <f>(References!Y17*B17)/3.6</f>
        <v>1.1202446666666666</v>
      </c>
      <c r="D17" s="5">
        <v>34.5</v>
      </c>
      <c r="E17" s="5">
        <v>24</v>
      </c>
      <c r="F17" s="5">
        <v>1.8136751999999999E-2</v>
      </c>
      <c r="G17" s="5">
        <v>9.2932350000000004E-3</v>
      </c>
      <c r="H17" s="5">
        <f t="shared" si="0"/>
        <v>14.491485007999998</v>
      </c>
      <c r="I17" s="14">
        <f t="shared" si="1"/>
        <v>29.720708261477991</v>
      </c>
      <c r="L17" s="55" t="s">
        <v>249</v>
      </c>
      <c r="N17">
        <f t="shared" si="2"/>
        <v>0</v>
      </c>
      <c r="O17">
        <v>34.5</v>
      </c>
      <c r="P17" s="28">
        <v>24</v>
      </c>
      <c r="Q17" s="57">
        <v>1.8136751999999999E-2</v>
      </c>
      <c r="R17" s="28">
        <v>9.2932350000000004E-3</v>
      </c>
      <c r="S17">
        <f t="shared" si="3"/>
        <v>0</v>
      </c>
      <c r="T17">
        <f t="shared" si="4"/>
        <v>0</v>
      </c>
    </row>
    <row r="18" spans="1:22" ht="15" thickBot="1" x14ac:dyDescent="0.4">
      <c r="A18" s="9" t="s">
        <v>250</v>
      </c>
      <c r="B18" s="5">
        <f>References!Z18*4</f>
        <v>82.994799999999998</v>
      </c>
      <c r="C18" s="5">
        <f>(References!Y18*B18)/3.6</f>
        <v>6.0862853333333335</v>
      </c>
      <c r="D18" s="5">
        <v>34.5</v>
      </c>
      <c r="E18" s="5">
        <v>22.5</v>
      </c>
      <c r="F18" s="5">
        <v>1.8136751999999999E-2</v>
      </c>
      <c r="G18" s="5">
        <v>8.4806099999999995E-3</v>
      </c>
      <c r="H18" s="5">
        <f t="shared" si="0"/>
        <v>89.979642368</v>
      </c>
      <c r="I18" s="14">
        <f t="shared" si="1"/>
        <v>176.310106293552</v>
      </c>
      <c r="L18" s="54" t="s">
        <v>250</v>
      </c>
      <c r="M18">
        <v>4</v>
      </c>
      <c r="N18">
        <f t="shared" si="2"/>
        <v>32</v>
      </c>
      <c r="O18">
        <v>34.5</v>
      </c>
      <c r="P18" s="57">
        <v>22.5</v>
      </c>
      <c r="Q18" s="57">
        <v>1.8136751999999999E-2</v>
      </c>
      <c r="R18" s="57">
        <v>8.4806099999999995E-3</v>
      </c>
      <c r="S18">
        <f t="shared" si="3"/>
        <v>473.08799999999997</v>
      </c>
      <c r="T18">
        <f t="shared" si="4"/>
        <v>926.98963199999992</v>
      </c>
      <c r="V18" s="50">
        <v>8</v>
      </c>
    </row>
    <row r="19" spans="1:22" ht="15" thickBot="1" x14ac:dyDescent="0.4">
      <c r="A19" s="9" t="s">
        <v>251</v>
      </c>
      <c r="B19" s="5">
        <f>References!Z19*4</f>
        <v>71.8048</v>
      </c>
      <c r="C19" s="5">
        <f>(References!Y19*B19)/3.6</f>
        <v>5.2656853333333338</v>
      </c>
      <c r="D19" s="5">
        <v>34.5</v>
      </c>
      <c r="E19" s="5">
        <v>22.5</v>
      </c>
      <c r="F19" s="5">
        <v>1.8136751999999999E-2</v>
      </c>
      <c r="G19" s="5">
        <v>8.4806099999999995E-3</v>
      </c>
      <c r="H19" s="5">
        <f t="shared" si="0"/>
        <v>77.847891967999999</v>
      </c>
      <c r="I19" s="14">
        <f t="shared" si="1"/>
        <v>152.538615917952</v>
      </c>
      <c r="L19" s="55" t="s">
        <v>251</v>
      </c>
      <c r="M19">
        <v>2</v>
      </c>
      <c r="N19">
        <f t="shared" si="2"/>
        <v>5</v>
      </c>
      <c r="O19">
        <v>34.5</v>
      </c>
      <c r="P19" s="28">
        <v>22.5</v>
      </c>
      <c r="Q19" s="57">
        <v>1.8136751999999999E-2</v>
      </c>
      <c r="R19" s="28">
        <v>8.4806099999999995E-3</v>
      </c>
      <c r="S19">
        <f t="shared" si="3"/>
        <v>73.92</v>
      </c>
      <c r="T19">
        <f t="shared" si="4"/>
        <v>144.84213</v>
      </c>
      <c r="V19" s="50">
        <v>2.5</v>
      </c>
    </row>
    <row r="20" spans="1:22" ht="15" thickBot="1" x14ac:dyDescent="0.4">
      <c r="A20" s="9" t="s">
        <v>252</v>
      </c>
      <c r="B20" s="5">
        <f>References!Z20*4</f>
        <v>74.523200000000003</v>
      </c>
      <c r="C20" s="5">
        <f>(References!Y20*B20)/3.6</f>
        <v>5.4650346666666669</v>
      </c>
      <c r="D20" s="5">
        <v>34.5</v>
      </c>
      <c r="E20" s="5">
        <v>22.5</v>
      </c>
      <c r="F20" s="5">
        <v>1.8136751999999999E-2</v>
      </c>
      <c r="G20" s="5">
        <v>8.4806099999999995E-3</v>
      </c>
      <c r="H20" s="5">
        <f t="shared" si="0"/>
        <v>80.795072512000004</v>
      </c>
      <c r="I20" s="14">
        <f t="shared" si="1"/>
        <v>158.31345232876799</v>
      </c>
      <c r="L20" s="54" t="s">
        <v>252</v>
      </c>
      <c r="N20">
        <f t="shared" si="2"/>
        <v>0</v>
      </c>
      <c r="O20">
        <v>34.5</v>
      </c>
      <c r="P20" s="57">
        <v>22.5</v>
      </c>
      <c r="Q20" s="57">
        <v>1.8136751999999999E-2</v>
      </c>
      <c r="R20" s="57">
        <v>8.4806099999999995E-3</v>
      </c>
      <c r="S20">
        <f t="shared" si="3"/>
        <v>0</v>
      </c>
      <c r="T20">
        <f t="shared" si="4"/>
        <v>0</v>
      </c>
    </row>
    <row r="21" spans="1:22" ht="15" thickBot="1" x14ac:dyDescent="0.4">
      <c r="A21" s="9" t="s">
        <v>253</v>
      </c>
      <c r="B21" s="5">
        <f>References!Z21*4</f>
        <v>68.551199999999994</v>
      </c>
      <c r="C21" s="5">
        <f>(References!Y21*B21)/3.6</f>
        <v>5.027088</v>
      </c>
      <c r="D21" s="5">
        <v>34.5</v>
      </c>
      <c r="E21" s="5">
        <v>22.5</v>
      </c>
      <c r="F21" s="5">
        <v>1.8136751999999999E-2</v>
      </c>
      <c r="G21" s="5">
        <v>8.4806099999999995E-3</v>
      </c>
      <c r="H21" s="5">
        <f t="shared" si="0"/>
        <v>74.320468991999988</v>
      </c>
      <c r="I21" s="14">
        <f t="shared" si="1"/>
        <v>145.62682672348799</v>
      </c>
      <c r="L21" s="55" t="s">
        <v>253</v>
      </c>
      <c r="M21">
        <v>5</v>
      </c>
      <c r="N21">
        <f>M21*V21</f>
        <v>40</v>
      </c>
      <c r="O21">
        <v>34.5</v>
      </c>
      <c r="P21" s="28">
        <v>22.5</v>
      </c>
      <c r="Q21" s="57">
        <v>1.8136751999999999E-2</v>
      </c>
      <c r="R21" s="28">
        <v>8.4806099999999995E-3</v>
      </c>
      <c r="S21">
        <f t="shared" si="3"/>
        <v>591.36</v>
      </c>
      <c r="T21">
        <f t="shared" si="4"/>
        <v>1158.73704</v>
      </c>
      <c r="V21" s="50">
        <v>8</v>
      </c>
    </row>
    <row r="22" spans="1:22" ht="15" thickBot="1" x14ac:dyDescent="0.4">
      <c r="A22" s="9" t="s">
        <v>254</v>
      </c>
      <c r="B22" s="5">
        <f>References!Z22*4</f>
        <v>46.424799999999998</v>
      </c>
      <c r="C22" s="5">
        <f>(References!Y22*B22)/3.6</f>
        <v>3.4044853333333331</v>
      </c>
      <c r="D22" s="5">
        <v>34.5</v>
      </c>
      <c r="E22" s="5">
        <v>22.5</v>
      </c>
      <c r="F22" s="5">
        <v>1.8136751999999999E-2</v>
      </c>
      <c r="G22" s="5">
        <v>8.4806099999999995E-3</v>
      </c>
      <c r="H22" s="5">
        <f t="shared" si="0"/>
        <v>50.331911167999991</v>
      </c>
      <c r="I22" s="14">
        <f t="shared" si="1"/>
        <v>98.622581446751994</v>
      </c>
      <c r="L22" s="54" t="s">
        <v>254</v>
      </c>
      <c r="M22">
        <v>4</v>
      </c>
      <c r="N22">
        <f t="shared" si="2"/>
        <v>10</v>
      </c>
      <c r="O22">
        <v>34.5</v>
      </c>
      <c r="P22" s="57">
        <v>22.5</v>
      </c>
      <c r="Q22" s="57">
        <v>1.8136751999999999E-2</v>
      </c>
      <c r="R22" s="57">
        <v>8.4806099999999995E-3</v>
      </c>
      <c r="S22">
        <f t="shared" si="3"/>
        <v>147.84</v>
      </c>
      <c r="T22">
        <f t="shared" si="4"/>
        <v>289.68425999999999</v>
      </c>
      <c r="V22" s="50">
        <v>2.5</v>
      </c>
    </row>
    <row r="23" spans="1:22" ht="15" thickBot="1" x14ac:dyDescent="0.4">
      <c r="A23" s="9" t="s">
        <v>255</v>
      </c>
      <c r="B23" s="5">
        <f>References!Z23*4</f>
        <v>523.87279999999998</v>
      </c>
      <c r="C23" s="5">
        <f>(References!Y23*B23)/3.6</f>
        <v>38.417338666666666</v>
      </c>
      <c r="D23" s="5">
        <v>34.5</v>
      </c>
      <c r="E23" s="5">
        <v>22.5</v>
      </c>
      <c r="F23" s="5">
        <v>1.8136751999999999E-2</v>
      </c>
      <c r="G23" s="5">
        <v>8.4806099999999995E-3</v>
      </c>
      <c r="H23" s="5">
        <f t="shared" si="0"/>
        <v>567.96193484799994</v>
      </c>
      <c r="I23" s="14">
        <f t="shared" si="1"/>
        <v>1112.889832282272</v>
      </c>
      <c r="L23" s="55" t="s">
        <v>255</v>
      </c>
      <c r="M23">
        <v>6</v>
      </c>
      <c r="N23">
        <f t="shared" si="2"/>
        <v>48</v>
      </c>
      <c r="O23">
        <v>34.5</v>
      </c>
      <c r="P23" s="28">
        <v>22.5</v>
      </c>
      <c r="Q23" s="57">
        <v>1.8136751999999999E-2</v>
      </c>
      <c r="R23" s="28">
        <v>8.4806099999999995E-3</v>
      </c>
      <c r="S23">
        <f t="shared" si="3"/>
        <v>709.63199999999995</v>
      </c>
      <c r="T23">
        <f>3000*N23*(Q23-R23)</f>
        <v>1390.4844479999999</v>
      </c>
      <c r="V23" s="50">
        <v>8</v>
      </c>
    </row>
    <row r="24" spans="1:22" ht="15" thickBot="1" x14ac:dyDescent="0.4">
      <c r="A24" s="9" t="s">
        <v>324</v>
      </c>
      <c r="B24" s="5">
        <f>References!Z24*4</f>
        <v>11.9092</v>
      </c>
      <c r="C24" s="5">
        <f>(References!Y24*B24)/3.6</f>
        <v>0.83860616666666665</v>
      </c>
      <c r="D24" s="5">
        <v>34.5</v>
      </c>
      <c r="E24" s="5">
        <v>24</v>
      </c>
      <c r="F24" s="5">
        <v>1.8136751999999999E-2</v>
      </c>
      <c r="G24" s="5">
        <v>9.2932350000000004E-3</v>
      </c>
      <c r="H24" s="5">
        <f t="shared" si="0"/>
        <v>10.848209371999999</v>
      </c>
      <c r="I24" s="14">
        <f t="shared" si="1"/>
        <v>22.248683673664495</v>
      </c>
      <c r="L24" s="54" t="s">
        <v>324</v>
      </c>
      <c r="N24">
        <f t="shared" si="2"/>
        <v>0</v>
      </c>
      <c r="O24">
        <v>34.5</v>
      </c>
      <c r="P24" s="57">
        <v>24</v>
      </c>
      <c r="Q24" s="57">
        <v>1.8136751999999999E-2</v>
      </c>
      <c r="R24" s="57">
        <v>9.2932350000000004E-3</v>
      </c>
      <c r="S24">
        <f t="shared" si="3"/>
        <v>0</v>
      </c>
      <c r="T24">
        <f t="shared" si="4"/>
        <v>0</v>
      </c>
    </row>
    <row r="25" spans="1:22" ht="15" thickBot="1" x14ac:dyDescent="0.4">
      <c r="A25" s="52" t="s">
        <v>29</v>
      </c>
      <c r="B25" s="5">
        <f>References!Z25*4</f>
        <v>2624.7159999999999</v>
      </c>
      <c r="C25" s="5">
        <f>(References!Y25*B25)/3.6</f>
        <v>192.47917333333334</v>
      </c>
      <c r="D25" s="5">
        <v>34.5</v>
      </c>
      <c r="E25" s="5">
        <v>22.5</v>
      </c>
      <c r="F25" s="5">
        <v>1.8136751999999999E-2</v>
      </c>
      <c r="G25" s="5">
        <v>8.4806099999999995E-3</v>
      </c>
      <c r="H25" s="5">
        <f t="shared" si="0"/>
        <v>2845.61209856</v>
      </c>
      <c r="I25" s="14">
        <f t="shared" si="1"/>
        <v>5575.8186892478398</v>
      </c>
      <c r="L25" s="56" t="s">
        <v>29</v>
      </c>
      <c r="N25">
        <f t="shared" si="2"/>
        <v>0</v>
      </c>
      <c r="O25">
        <v>34.5</v>
      </c>
      <c r="P25" s="28">
        <v>22.5</v>
      </c>
      <c r="Q25" s="57">
        <v>1.8136751999999999E-2</v>
      </c>
      <c r="R25" s="28">
        <v>8.4806099999999995E-3</v>
      </c>
      <c r="S25">
        <f t="shared" si="3"/>
        <v>0</v>
      </c>
      <c r="T25">
        <f t="shared" si="4"/>
        <v>0</v>
      </c>
    </row>
    <row r="26" spans="1:22" ht="15" thickBot="1" x14ac:dyDescent="0.4">
      <c r="A26" s="9" t="s">
        <v>256</v>
      </c>
      <c r="B26" s="5">
        <f>References!Z26*4</f>
        <v>131.44</v>
      </c>
      <c r="C26" s="5">
        <f>(References!Y26*B26)/3.6</f>
        <v>9.7667222222222225</v>
      </c>
      <c r="D26" s="5">
        <v>34.5</v>
      </c>
      <c r="E26" s="5">
        <v>22</v>
      </c>
      <c r="F26" s="5">
        <v>1.8136751999999999E-2</v>
      </c>
      <c r="G26" s="5">
        <v>8.2197599999999996E-3</v>
      </c>
      <c r="H26" s="5">
        <f t="shared" si="0"/>
        <v>150.40752222222224</v>
      </c>
      <c r="I26" s="14">
        <f t="shared" si="1"/>
        <v>290.569518432</v>
      </c>
      <c r="L26" s="54" t="s">
        <v>256</v>
      </c>
      <c r="M26">
        <v>4</v>
      </c>
      <c r="N26">
        <f t="shared" si="2"/>
        <v>40</v>
      </c>
      <c r="O26">
        <v>34.5</v>
      </c>
      <c r="P26" s="57">
        <v>22</v>
      </c>
      <c r="Q26" s="57">
        <v>1.8136751999999999E-2</v>
      </c>
      <c r="R26" s="57">
        <v>8.2197599999999996E-3</v>
      </c>
      <c r="S26">
        <f t="shared" si="3"/>
        <v>616</v>
      </c>
      <c r="T26">
        <f t="shared" si="4"/>
        <v>1190.0390399999999</v>
      </c>
      <c r="V26" s="50">
        <v>10</v>
      </c>
    </row>
    <row r="27" spans="1:22" ht="15" thickBot="1" x14ac:dyDescent="0.4">
      <c r="A27" s="9" t="s">
        <v>257</v>
      </c>
      <c r="B27" s="5">
        <f>References!Z27*4</f>
        <v>50.71</v>
      </c>
      <c r="C27" s="5">
        <f>(References!Y27*B27)/3.6</f>
        <v>3.7187333333333337</v>
      </c>
      <c r="D27" s="5">
        <v>34.5</v>
      </c>
      <c r="E27" s="5">
        <v>22.5</v>
      </c>
      <c r="F27" s="5">
        <v>1.8136751999999999E-2</v>
      </c>
      <c r="G27" s="5">
        <v>8.4806099999999995E-3</v>
      </c>
      <c r="H27" s="5">
        <f t="shared" si="0"/>
        <v>54.9777536</v>
      </c>
      <c r="I27" s="14">
        <f t="shared" si="1"/>
        <v>107.7258513804</v>
      </c>
      <c r="L27" s="55" t="s">
        <v>257</v>
      </c>
      <c r="N27">
        <f t="shared" si="2"/>
        <v>0</v>
      </c>
      <c r="O27">
        <v>34.5</v>
      </c>
      <c r="P27" s="28">
        <v>22.5</v>
      </c>
      <c r="Q27" s="57">
        <v>1.8136751999999999E-2</v>
      </c>
      <c r="R27" s="28">
        <v>8.4806099999999995E-3</v>
      </c>
      <c r="S27">
        <f>1.232*N27*(O27-P27)</f>
        <v>0</v>
      </c>
      <c r="T27">
        <f t="shared" si="4"/>
        <v>0</v>
      </c>
    </row>
    <row r="28" spans="1:22" ht="15" thickBot="1" x14ac:dyDescent="0.4">
      <c r="A28" s="9" t="s">
        <v>325</v>
      </c>
      <c r="B28" s="5">
        <f>References!Z28*4</f>
        <v>12.9452</v>
      </c>
      <c r="C28" s="5">
        <f>(References!Y28*B28)/3.6</f>
        <v>0.91155783333333329</v>
      </c>
      <c r="D28" s="5">
        <v>34.5</v>
      </c>
      <c r="E28" s="5">
        <v>24</v>
      </c>
      <c r="F28" s="5">
        <v>1.8136751999999999E-2</v>
      </c>
      <c r="G28" s="5">
        <v>9.2932350000000004E-3</v>
      </c>
      <c r="H28" s="5">
        <f t="shared" si="0"/>
        <v>11.791912132</v>
      </c>
      <c r="I28" s="14">
        <f t="shared" si="1"/>
        <v>24.184131586699497</v>
      </c>
      <c r="L28" s="54" t="s">
        <v>325</v>
      </c>
      <c r="N28">
        <f t="shared" si="2"/>
        <v>0</v>
      </c>
      <c r="O28">
        <v>34.5</v>
      </c>
      <c r="P28" s="57">
        <v>24</v>
      </c>
      <c r="Q28" s="57">
        <v>1.8136751999999999E-2</v>
      </c>
      <c r="R28" s="57">
        <v>9.2932350000000004E-3</v>
      </c>
      <c r="S28">
        <f t="shared" si="3"/>
        <v>0</v>
      </c>
      <c r="T28">
        <f t="shared" si="4"/>
        <v>0</v>
      </c>
    </row>
    <row r="29" spans="1:22" ht="15" thickBot="1" x14ac:dyDescent="0.4">
      <c r="A29" s="9" t="s">
        <v>258</v>
      </c>
      <c r="B29" s="5">
        <f>References!Z29*4</f>
        <v>57.5244</v>
      </c>
      <c r="C29" s="5">
        <f>(References!Y29*B29)/3.6</f>
        <v>4.2184559999999998</v>
      </c>
      <c r="D29" s="5">
        <v>34.5</v>
      </c>
      <c r="E29" s="5">
        <v>22.5</v>
      </c>
      <c r="F29" s="5">
        <v>1.8136751999999999E-2</v>
      </c>
      <c r="G29" s="5">
        <v>8.4806099999999995E-3</v>
      </c>
      <c r="H29" s="5">
        <f t="shared" si="0"/>
        <v>62.365653503999994</v>
      </c>
      <c r="I29" s="14">
        <f t="shared" si="1"/>
        <v>122.20203047025598</v>
      </c>
      <c r="L29" s="55" t="s">
        <v>258</v>
      </c>
      <c r="M29">
        <v>2</v>
      </c>
      <c r="N29">
        <f t="shared" si="2"/>
        <v>5</v>
      </c>
      <c r="O29">
        <v>34.5</v>
      </c>
      <c r="P29" s="28">
        <v>22.5</v>
      </c>
      <c r="Q29" s="57">
        <v>1.8136751999999999E-2</v>
      </c>
      <c r="R29" s="28">
        <v>8.4806099999999995E-3</v>
      </c>
      <c r="S29">
        <f t="shared" si="3"/>
        <v>73.92</v>
      </c>
      <c r="T29">
        <f t="shared" si="4"/>
        <v>144.84213</v>
      </c>
      <c r="V29" s="50">
        <v>2.5</v>
      </c>
    </row>
    <row r="30" spans="1:22" ht="15" thickBot="1" x14ac:dyDescent="0.4">
      <c r="A30" s="7" t="s">
        <v>259</v>
      </c>
      <c r="B30" s="5">
        <f>References!Z30*4</f>
        <v>57.5244</v>
      </c>
      <c r="C30" s="5">
        <f>(References!Y30*B30)/3.6</f>
        <v>4.2184559999999998</v>
      </c>
      <c r="D30" s="5">
        <v>34.5</v>
      </c>
      <c r="E30" s="5">
        <v>22.5</v>
      </c>
      <c r="F30" s="5">
        <v>1.8136751999999999E-2</v>
      </c>
      <c r="G30" s="5">
        <v>8.4806099999999995E-3</v>
      </c>
      <c r="H30" s="5">
        <f t="shared" si="0"/>
        <v>62.365653503999994</v>
      </c>
      <c r="I30" s="14">
        <f t="shared" si="1"/>
        <v>122.20203047025598</v>
      </c>
      <c r="L30" s="57" t="s">
        <v>259</v>
      </c>
      <c r="M30">
        <v>2</v>
      </c>
      <c r="N30">
        <f t="shared" si="2"/>
        <v>5</v>
      </c>
      <c r="O30">
        <v>34.5</v>
      </c>
      <c r="P30" s="57">
        <v>22.5</v>
      </c>
      <c r="Q30" s="57">
        <v>1.8136751999999999E-2</v>
      </c>
      <c r="R30" s="57">
        <v>8.4806099999999995E-3</v>
      </c>
      <c r="S30">
        <f t="shared" si="3"/>
        <v>73.92</v>
      </c>
      <c r="T30">
        <f t="shared" si="4"/>
        <v>144.84213</v>
      </c>
      <c r="V30" s="50">
        <v>2.5</v>
      </c>
    </row>
    <row r="31" spans="1:22" ht="15" thickBot="1" x14ac:dyDescent="0.4">
      <c r="A31" s="9" t="s">
        <v>260</v>
      </c>
      <c r="B31" s="5">
        <f>References!Z31*4</f>
        <v>35.860399999999998</v>
      </c>
      <c r="C31" s="5">
        <f>(References!Y31*B31)/3.6</f>
        <v>2.6297626666666667</v>
      </c>
      <c r="D31" s="5">
        <v>34.5</v>
      </c>
      <c r="E31" s="5">
        <v>22.5</v>
      </c>
      <c r="F31" s="5">
        <v>1.8136751999999999E-2</v>
      </c>
      <c r="G31" s="5">
        <v>8.4806099999999995E-3</v>
      </c>
      <c r="H31" s="5">
        <f t="shared" si="0"/>
        <v>38.878411264</v>
      </c>
      <c r="I31" s="14">
        <f t="shared" si="1"/>
        <v>76.180085206895995</v>
      </c>
      <c r="L31" s="55" t="s">
        <v>260</v>
      </c>
      <c r="N31">
        <f t="shared" si="2"/>
        <v>0</v>
      </c>
      <c r="O31">
        <v>34.5</v>
      </c>
      <c r="P31" s="28">
        <v>22.5</v>
      </c>
      <c r="Q31" s="57">
        <v>1.8136751999999999E-2</v>
      </c>
      <c r="R31" s="28">
        <v>8.4806099999999995E-3</v>
      </c>
      <c r="S31">
        <f t="shared" si="3"/>
        <v>0</v>
      </c>
      <c r="T31">
        <f t="shared" si="4"/>
        <v>0</v>
      </c>
    </row>
    <row r="32" spans="1:22" ht="15" thickBot="1" x14ac:dyDescent="0.4">
      <c r="A32" s="9" t="s">
        <v>261</v>
      </c>
      <c r="B32" s="5">
        <f>References!Z32*4</f>
        <v>57.742400000000004</v>
      </c>
      <c r="C32" s="5">
        <f>(References!Y32*B32)/3.6</f>
        <v>4.2344426666666672</v>
      </c>
      <c r="D32" s="5">
        <v>34.5</v>
      </c>
      <c r="E32" s="5">
        <v>22.5</v>
      </c>
      <c r="F32" s="5">
        <v>1.8136751999999999E-2</v>
      </c>
      <c r="G32" s="5">
        <v>8.4806099999999995E-3</v>
      </c>
      <c r="H32" s="5">
        <f t="shared" si="0"/>
        <v>62.602000384000007</v>
      </c>
      <c r="I32" s="14">
        <f t="shared" si="1"/>
        <v>122.66513904057601</v>
      </c>
      <c r="L32" s="54" t="s">
        <v>261</v>
      </c>
      <c r="M32">
        <v>3</v>
      </c>
      <c r="N32">
        <f t="shared" si="2"/>
        <v>0</v>
      </c>
      <c r="O32">
        <v>34.5</v>
      </c>
      <c r="P32" s="57">
        <v>22.5</v>
      </c>
      <c r="Q32" s="57">
        <v>1.8136751999999999E-2</v>
      </c>
      <c r="R32" s="57">
        <v>8.4806099999999995E-3</v>
      </c>
      <c r="S32">
        <f t="shared" si="3"/>
        <v>0</v>
      </c>
      <c r="T32">
        <f>3000*N32*(Q32-R32)</f>
        <v>0</v>
      </c>
    </row>
    <row r="33" spans="1:22" ht="15" thickBot="1" x14ac:dyDescent="0.4">
      <c r="A33" s="9" t="s">
        <v>262</v>
      </c>
      <c r="B33" s="5">
        <f>References!Z33*4</f>
        <v>57.742400000000004</v>
      </c>
      <c r="C33" s="5">
        <f>(References!Y33*B33)/3.6</f>
        <v>4.2344426666666672</v>
      </c>
      <c r="D33" s="5">
        <v>34.5</v>
      </c>
      <c r="E33" s="5">
        <v>22.5</v>
      </c>
      <c r="F33" s="5">
        <v>1.8136751999999999E-2</v>
      </c>
      <c r="G33" s="5">
        <v>8.4806099999999995E-3</v>
      </c>
      <c r="H33" s="5">
        <f t="shared" si="0"/>
        <v>62.602000384000007</v>
      </c>
      <c r="I33" s="14">
        <f t="shared" si="1"/>
        <v>122.66513904057601</v>
      </c>
      <c r="L33" s="55" t="s">
        <v>262</v>
      </c>
      <c r="M33">
        <v>3</v>
      </c>
      <c r="N33">
        <f t="shared" si="2"/>
        <v>0</v>
      </c>
      <c r="O33">
        <v>34.5</v>
      </c>
      <c r="P33" s="28">
        <v>22.5</v>
      </c>
      <c r="Q33" s="57">
        <v>1.8136751999999999E-2</v>
      </c>
      <c r="R33" s="28">
        <v>8.4806099999999995E-3</v>
      </c>
      <c r="S33">
        <f t="shared" si="3"/>
        <v>0</v>
      </c>
      <c r="T33">
        <f t="shared" si="4"/>
        <v>0</v>
      </c>
    </row>
    <row r="34" spans="1:22" ht="15" thickBot="1" x14ac:dyDescent="0.4">
      <c r="A34" s="9" t="s">
        <v>263</v>
      </c>
      <c r="B34" s="5">
        <f>References!Z34*4</f>
        <v>21.95</v>
      </c>
      <c r="C34" s="5">
        <f>(References!Y34*B34)/3.6</f>
        <v>1.6096666666666668</v>
      </c>
      <c r="D34" s="5">
        <v>34.5</v>
      </c>
      <c r="E34" s="5">
        <v>22.5</v>
      </c>
      <c r="F34" s="5">
        <v>1.8136751999999999E-2</v>
      </c>
      <c r="G34" s="5">
        <v>8.4806099999999995E-3</v>
      </c>
      <c r="H34" s="5">
        <f t="shared" si="0"/>
        <v>23.797312000000002</v>
      </c>
      <c r="I34" s="14">
        <f t="shared" si="1"/>
        <v>46.629509717999994</v>
      </c>
      <c r="L34" s="54" t="s">
        <v>263</v>
      </c>
      <c r="M34">
        <v>1</v>
      </c>
      <c r="N34">
        <f t="shared" si="2"/>
        <v>2.5</v>
      </c>
      <c r="O34">
        <v>34.5</v>
      </c>
      <c r="P34" s="57">
        <v>22.5</v>
      </c>
      <c r="Q34" s="57">
        <v>1.8136751999999999E-2</v>
      </c>
      <c r="R34" s="57">
        <v>8.4806099999999995E-3</v>
      </c>
      <c r="S34">
        <f t="shared" si="3"/>
        <v>36.96</v>
      </c>
      <c r="T34">
        <f t="shared" si="4"/>
        <v>72.421064999999999</v>
      </c>
      <c r="V34" s="50">
        <v>2.5</v>
      </c>
    </row>
    <row r="35" spans="1:22" ht="15" thickBot="1" x14ac:dyDescent="0.4">
      <c r="A35" s="9" t="s">
        <v>264</v>
      </c>
      <c r="B35" s="5">
        <f>References!Z35*4</f>
        <v>22.04</v>
      </c>
      <c r="C35" s="5">
        <f>(References!Y35*B35)/3.6</f>
        <v>1.6162666666666665</v>
      </c>
      <c r="D35" s="5">
        <v>34.5</v>
      </c>
      <c r="E35" s="5">
        <v>22.5</v>
      </c>
      <c r="F35" s="5">
        <v>1.8136751999999999E-2</v>
      </c>
      <c r="G35" s="5">
        <v>8.4806099999999995E-3</v>
      </c>
      <c r="H35" s="5">
        <f t="shared" si="0"/>
        <v>23.894886399999997</v>
      </c>
      <c r="I35" s="14">
        <f t="shared" si="1"/>
        <v>46.820701329599991</v>
      </c>
      <c r="L35" s="55" t="s">
        <v>264</v>
      </c>
      <c r="M35">
        <v>1</v>
      </c>
      <c r="N35">
        <f>M35*V35</f>
        <v>2.5</v>
      </c>
      <c r="O35">
        <v>34.5</v>
      </c>
      <c r="P35" s="28">
        <v>22.5</v>
      </c>
      <c r="Q35" s="57">
        <v>1.8136751999999999E-2</v>
      </c>
      <c r="R35" s="28">
        <v>8.4806099999999995E-3</v>
      </c>
      <c r="S35">
        <f t="shared" si="3"/>
        <v>36.96</v>
      </c>
      <c r="T35">
        <f t="shared" si="4"/>
        <v>72.421064999999999</v>
      </c>
      <c r="V35" s="50">
        <v>2.5</v>
      </c>
    </row>
    <row r="36" spans="1:22" ht="15" thickBot="1" x14ac:dyDescent="0.4">
      <c r="A36" s="9" t="s">
        <v>265</v>
      </c>
      <c r="B36" s="5">
        <f>References!Z36*4</f>
        <v>22.545200000000001</v>
      </c>
      <c r="C36" s="5">
        <f>(References!Y36*B36)/3.6</f>
        <v>1.6533146666666667</v>
      </c>
      <c r="D36" s="5">
        <v>34.5</v>
      </c>
      <c r="E36" s="5">
        <v>22.5</v>
      </c>
      <c r="F36" s="5">
        <v>1.8136751999999999E-2</v>
      </c>
      <c r="G36" s="5">
        <v>8.4806099999999995E-3</v>
      </c>
      <c r="H36" s="5">
        <f t="shared" ref="H36:H67" si="5">(1.232*(D36-E36)*C36)</f>
        <v>24.442604031999998</v>
      </c>
      <c r="I36" s="14">
        <f t="shared" ref="I36:I67" si="6">3000*C36*(F36-G36)</f>
        <v>47.893923576048003</v>
      </c>
      <c r="L36" s="54" t="s">
        <v>265</v>
      </c>
      <c r="M36">
        <v>1</v>
      </c>
      <c r="N36">
        <f t="shared" si="2"/>
        <v>2.5</v>
      </c>
      <c r="O36">
        <v>34.5</v>
      </c>
      <c r="P36" s="57">
        <v>22.5</v>
      </c>
      <c r="Q36" s="57">
        <v>1.8136751999999999E-2</v>
      </c>
      <c r="R36" s="57">
        <v>8.4806099999999995E-3</v>
      </c>
      <c r="S36">
        <f t="shared" si="3"/>
        <v>36.96</v>
      </c>
      <c r="T36">
        <f t="shared" si="4"/>
        <v>72.421064999999999</v>
      </c>
      <c r="V36" s="50">
        <v>2.5</v>
      </c>
    </row>
    <row r="37" spans="1:22" ht="15" thickBot="1" x14ac:dyDescent="0.4">
      <c r="A37" s="9" t="s">
        <v>266</v>
      </c>
      <c r="B37" s="5">
        <f>References!Z37*4</f>
        <v>22.081199999999999</v>
      </c>
      <c r="C37" s="5">
        <f>(References!Y37*B37)/3.6</f>
        <v>1.5548845</v>
      </c>
      <c r="D37" s="5">
        <v>34.5</v>
      </c>
      <c r="E37" s="5">
        <v>24</v>
      </c>
      <c r="F37" s="5">
        <v>1.8136751999999999E-2</v>
      </c>
      <c r="G37" s="5">
        <v>9.2932350000000004E-3</v>
      </c>
      <c r="H37" s="5">
        <f t="shared" si="5"/>
        <v>20.113985891999999</v>
      </c>
      <c r="I37" s="14">
        <f t="shared" si="6"/>
        <v>41.2519425263595</v>
      </c>
      <c r="L37" s="55" t="s">
        <v>266</v>
      </c>
      <c r="N37">
        <f t="shared" si="2"/>
        <v>0</v>
      </c>
      <c r="O37">
        <v>34.5</v>
      </c>
      <c r="P37" s="28">
        <v>24</v>
      </c>
      <c r="Q37" s="57">
        <v>1.8136751999999999E-2</v>
      </c>
      <c r="R37" s="28">
        <v>9.2932350000000004E-3</v>
      </c>
      <c r="S37">
        <f t="shared" si="3"/>
        <v>0</v>
      </c>
      <c r="T37">
        <f t="shared" si="4"/>
        <v>0</v>
      </c>
    </row>
    <row r="38" spans="1:22" ht="15" thickBot="1" x14ac:dyDescent="0.4">
      <c r="A38" s="9" t="s">
        <v>267</v>
      </c>
      <c r="B38" s="5">
        <f>References!Z38*4</f>
        <v>36.596800000000002</v>
      </c>
      <c r="C38" s="5">
        <f>(References!Y38*B38)/3.6</f>
        <v>2.6837653333333336</v>
      </c>
      <c r="D38" s="5">
        <v>34.5</v>
      </c>
      <c r="E38" s="5">
        <v>22.5</v>
      </c>
      <c r="F38" s="5">
        <v>1.8136751999999999E-2</v>
      </c>
      <c r="G38" s="5">
        <v>8.4806099999999995E-3</v>
      </c>
      <c r="H38" s="5">
        <f t="shared" si="5"/>
        <v>39.676786688</v>
      </c>
      <c r="I38" s="14">
        <f t="shared" si="6"/>
        <v>77.744457460031995</v>
      </c>
      <c r="L38" s="54" t="s">
        <v>267</v>
      </c>
      <c r="M38">
        <v>5</v>
      </c>
      <c r="N38">
        <f t="shared" si="2"/>
        <v>12.5</v>
      </c>
      <c r="O38">
        <v>34.5</v>
      </c>
      <c r="P38" s="57">
        <v>22.5</v>
      </c>
      <c r="Q38" s="57">
        <v>1.8136751999999999E-2</v>
      </c>
      <c r="R38" s="57">
        <v>8.4806099999999995E-3</v>
      </c>
      <c r="S38">
        <f t="shared" si="3"/>
        <v>184.8</v>
      </c>
      <c r="T38">
        <f t="shared" si="4"/>
        <v>362.10532499999999</v>
      </c>
      <c r="V38" s="50">
        <v>2.5</v>
      </c>
    </row>
    <row r="39" spans="1:22" ht="15" thickBot="1" x14ac:dyDescent="0.4">
      <c r="A39" s="9" t="s">
        <v>268</v>
      </c>
      <c r="B39" s="5">
        <f>References!Z39*4</f>
        <v>19.808800000000002</v>
      </c>
      <c r="C39" s="5">
        <f>(References!Y39*B39)/3.6</f>
        <v>1.4526453333333336</v>
      </c>
      <c r="D39" s="5">
        <v>34.5</v>
      </c>
      <c r="E39" s="5">
        <v>22.5</v>
      </c>
      <c r="F39" s="5">
        <v>1.8136751999999999E-2</v>
      </c>
      <c r="G39" s="5">
        <v>8.4806099999999995E-3</v>
      </c>
      <c r="H39" s="5">
        <f t="shared" si="5"/>
        <v>21.475908608000001</v>
      </c>
      <c r="I39" s="14">
        <f t="shared" si="6"/>
        <v>42.080848842912005</v>
      </c>
      <c r="L39" s="55" t="s">
        <v>268</v>
      </c>
      <c r="M39">
        <v>3</v>
      </c>
      <c r="N39">
        <f t="shared" si="2"/>
        <v>24</v>
      </c>
      <c r="O39">
        <v>34.5</v>
      </c>
      <c r="P39" s="28">
        <v>22.5</v>
      </c>
      <c r="Q39" s="57">
        <v>1.8136751999999999E-2</v>
      </c>
      <c r="R39" s="28">
        <v>8.4806099999999995E-3</v>
      </c>
      <c r="S39">
        <f t="shared" si="3"/>
        <v>354.81599999999997</v>
      </c>
      <c r="T39">
        <f t="shared" si="4"/>
        <v>695.24222399999996</v>
      </c>
      <c r="V39" s="50">
        <v>8</v>
      </c>
    </row>
    <row r="40" spans="1:22" ht="15" thickBot="1" x14ac:dyDescent="0.4">
      <c r="A40" s="9" t="s">
        <v>269</v>
      </c>
      <c r="B40" s="5">
        <f>References!Z40*4</f>
        <v>101.01519999999999</v>
      </c>
      <c r="C40" s="5">
        <f>(References!Y40*B40)/3.6</f>
        <v>7.4077813333333333</v>
      </c>
      <c r="D40" s="5">
        <v>34.5</v>
      </c>
      <c r="E40" s="5">
        <v>22.5</v>
      </c>
      <c r="F40" s="5">
        <v>1.8136751999999999E-2</v>
      </c>
      <c r="G40" s="5">
        <v>8.4806099999999995E-3</v>
      </c>
      <c r="H40" s="5">
        <f t="shared" si="5"/>
        <v>109.51663923199999</v>
      </c>
      <c r="I40" s="14">
        <f t="shared" si="6"/>
        <v>214.59176537884801</v>
      </c>
      <c r="L40" s="54" t="s">
        <v>269</v>
      </c>
      <c r="M40">
        <v>4</v>
      </c>
      <c r="N40">
        <f t="shared" si="2"/>
        <v>32</v>
      </c>
      <c r="O40">
        <v>34.5</v>
      </c>
      <c r="P40" s="57">
        <v>22.5</v>
      </c>
      <c r="Q40" s="57">
        <v>1.8136751999999999E-2</v>
      </c>
      <c r="R40" s="57">
        <v>8.4806099999999995E-3</v>
      </c>
      <c r="S40">
        <f t="shared" si="3"/>
        <v>473.08799999999997</v>
      </c>
      <c r="T40">
        <f t="shared" si="4"/>
        <v>926.98963199999992</v>
      </c>
      <c r="V40" s="50">
        <v>8</v>
      </c>
    </row>
    <row r="41" spans="1:22" ht="15" thickBot="1" x14ac:dyDescent="0.4">
      <c r="A41" s="9" t="s">
        <v>270</v>
      </c>
      <c r="B41" s="5">
        <f>References!Z41*4</f>
        <v>57.5244</v>
      </c>
      <c r="C41" s="5">
        <f>(References!Y41*B41)/3.6</f>
        <v>4.2184559999999998</v>
      </c>
      <c r="D41" s="5">
        <v>34.5</v>
      </c>
      <c r="E41" s="5">
        <v>22.5</v>
      </c>
      <c r="F41" s="5">
        <v>1.8136751999999999E-2</v>
      </c>
      <c r="G41" s="5">
        <v>8.4806099999999995E-3</v>
      </c>
      <c r="H41" s="5">
        <f t="shared" si="5"/>
        <v>62.365653503999994</v>
      </c>
      <c r="I41" s="14">
        <f t="shared" si="6"/>
        <v>122.20203047025598</v>
      </c>
      <c r="L41" s="55" t="s">
        <v>270</v>
      </c>
      <c r="M41">
        <v>2</v>
      </c>
      <c r="N41">
        <f t="shared" si="2"/>
        <v>5</v>
      </c>
      <c r="O41">
        <v>34.5</v>
      </c>
      <c r="P41" s="28">
        <v>22.5</v>
      </c>
      <c r="Q41" s="57">
        <v>1.8136751999999999E-2</v>
      </c>
      <c r="R41" s="28">
        <v>8.4806099999999995E-3</v>
      </c>
      <c r="S41">
        <f t="shared" si="3"/>
        <v>73.92</v>
      </c>
      <c r="T41">
        <f t="shared" si="4"/>
        <v>144.84213</v>
      </c>
      <c r="V41" s="50">
        <v>2.5</v>
      </c>
    </row>
    <row r="42" spans="1:22" ht="15" thickBot="1" x14ac:dyDescent="0.4">
      <c r="A42" s="9" t="s">
        <v>271</v>
      </c>
      <c r="B42" s="5">
        <f>References!Z42*4</f>
        <v>57.5244</v>
      </c>
      <c r="C42" s="5">
        <f>(References!Y42*B42)/3.6</f>
        <v>4.2184559999999998</v>
      </c>
      <c r="D42" s="5">
        <v>34.5</v>
      </c>
      <c r="E42" s="5">
        <v>22.5</v>
      </c>
      <c r="F42" s="5">
        <v>1.8136751999999999E-2</v>
      </c>
      <c r="G42" s="5">
        <v>8.4806099999999995E-3</v>
      </c>
      <c r="H42" s="5">
        <f t="shared" si="5"/>
        <v>62.365653503999994</v>
      </c>
      <c r="I42" s="14">
        <f t="shared" si="6"/>
        <v>122.20203047025598</v>
      </c>
      <c r="L42" s="54" t="s">
        <v>271</v>
      </c>
      <c r="M42">
        <v>2</v>
      </c>
      <c r="N42">
        <f t="shared" si="2"/>
        <v>5</v>
      </c>
      <c r="O42">
        <v>34.5</v>
      </c>
      <c r="P42" s="57">
        <v>22.5</v>
      </c>
      <c r="Q42" s="57">
        <v>1.8136751999999999E-2</v>
      </c>
      <c r="R42" s="57">
        <v>8.4806099999999995E-3</v>
      </c>
      <c r="S42">
        <f t="shared" si="3"/>
        <v>73.92</v>
      </c>
      <c r="T42">
        <f t="shared" si="4"/>
        <v>144.84213</v>
      </c>
      <c r="V42" s="50">
        <v>2.5</v>
      </c>
    </row>
    <row r="43" spans="1:22" ht="15" thickBot="1" x14ac:dyDescent="0.4">
      <c r="A43" s="9" t="s">
        <v>272</v>
      </c>
      <c r="B43" s="5">
        <f>References!Z43*4</f>
        <v>41.671999999999997</v>
      </c>
      <c r="C43" s="5">
        <f>(References!Y43*B43)/3.6</f>
        <v>3.0559466666666664</v>
      </c>
      <c r="D43" s="5">
        <v>34.5</v>
      </c>
      <c r="E43" s="5">
        <v>22.5</v>
      </c>
      <c r="F43" s="5">
        <v>1.8136751999999999E-2</v>
      </c>
      <c r="G43" s="5">
        <v>8.4806099999999995E-3</v>
      </c>
      <c r="H43" s="5">
        <f t="shared" si="5"/>
        <v>45.179115519999989</v>
      </c>
      <c r="I43" s="14">
        <f t="shared" si="6"/>
        <v>88.525964873279975</v>
      </c>
      <c r="L43" s="55" t="s">
        <v>272</v>
      </c>
      <c r="N43">
        <f t="shared" si="2"/>
        <v>0</v>
      </c>
      <c r="O43">
        <v>34.5</v>
      </c>
      <c r="P43" s="28">
        <v>22.5</v>
      </c>
      <c r="Q43" s="57">
        <v>1.8136751999999999E-2</v>
      </c>
      <c r="R43" s="28">
        <v>8.4806099999999995E-3</v>
      </c>
      <c r="S43">
        <f t="shared" si="3"/>
        <v>0</v>
      </c>
      <c r="T43">
        <f t="shared" si="4"/>
        <v>0</v>
      </c>
    </row>
    <row r="44" spans="1:22" ht="15" thickBot="1" x14ac:dyDescent="0.4">
      <c r="A44" s="9" t="s">
        <v>273</v>
      </c>
      <c r="B44" s="5">
        <f>References!Z44*4</f>
        <v>39.921999999999997</v>
      </c>
      <c r="C44" s="5">
        <f>(References!Y44*B44)/3.6</f>
        <v>2.9276133333333334</v>
      </c>
      <c r="D44" s="5">
        <v>34.5</v>
      </c>
      <c r="E44" s="5">
        <v>22.5</v>
      </c>
      <c r="F44" s="5">
        <v>1.8136751999999999E-2</v>
      </c>
      <c r="G44" s="5">
        <v>8.4806099999999995E-3</v>
      </c>
      <c r="H44" s="5">
        <f t="shared" si="5"/>
        <v>43.281835520000001</v>
      </c>
      <c r="I44" s="14">
        <f t="shared" si="6"/>
        <v>84.80835020328</v>
      </c>
      <c r="L44" s="54" t="s">
        <v>273</v>
      </c>
      <c r="M44">
        <v>3</v>
      </c>
      <c r="N44">
        <f t="shared" si="2"/>
        <v>0</v>
      </c>
      <c r="O44">
        <v>34.5</v>
      </c>
      <c r="P44" s="57">
        <v>22.5</v>
      </c>
      <c r="Q44" s="57">
        <v>1.8136751999999999E-2</v>
      </c>
      <c r="R44" s="57">
        <v>8.4806099999999995E-3</v>
      </c>
      <c r="S44">
        <f t="shared" si="3"/>
        <v>0</v>
      </c>
      <c r="T44">
        <f>3000*N44*(Q44-R44)</f>
        <v>0</v>
      </c>
      <c r="V44" s="50"/>
    </row>
    <row r="45" spans="1:22" ht="15" thickBot="1" x14ac:dyDescent="0.4">
      <c r="A45" s="9" t="s">
        <v>274</v>
      </c>
      <c r="B45" s="5">
        <f>References!Z45*4</f>
        <v>57.742400000000004</v>
      </c>
      <c r="C45" s="5">
        <f>(References!Y45*B45)/3.6</f>
        <v>4.2344426666666672</v>
      </c>
      <c r="D45" s="5">
        <v>34.5</v>
      </c>
      <c r="E45" s="5">
        <v>22.5</v>
      </c>
      <c r="F45" s="5">
        <v>1.8136751999999999E-2</v>
      </c>
      <c r="G45" s="5">
        <v>8.4806099999999995E-3</v>
      </c>
      <c r="H45" s="5">
        <f t="shared" si="5"/>
        <v>62.602000384000007</v>
      </c>
      <c r="I45" s="14">
        <f t="shared" si="6"/>
        <v>122.66513904057601</v>
      </c>
      <c r="L45" s="55" t="s">
        <v>274</v>
      </c>
      <c r="M45">
        <v>2</v>
      </c>
      <c r="N45">
        <f t="shared" si="2"/>
        <v>5</v>
      </c>
      <c r="O45">
        <v>34.5</v>
      </c>
      <c r="P45" s="28">
        <v>22.5</v>
      </c>
      <c r="Q45" s="57">
        <v>1.8136751999999999E-2</v>
      </c>
      <c r="R45" s="28">
        <v>8.4806099999999995E-3</v>
      </c>
      <c r="S45">
        <f t="shared" si="3"/>
        <v>73.92</v>
      </c>
      <c r="T45">
        <f t="shared" si="4"/>
        <v>144.84213</v>
      </c>
      <c r="V45" s="50">
        <v>2.5</v>
      </c>
    </row>
    <row r="46" spans="1:22" ht="15" thickBot="1" x14ac:dyDescent="0.4">
      <c r="A46" s="9" t="s">
        <v>275</v>
      </c>
      <c r="B46" s="5">
        <f>References!Z46*4</f>
        <v>57.742400000000004</v>
      </c>
      <c r="C46" s="5">
        <f>(References!Y46*B46)/3.6</f>
        <v>4.2344426666666672</v>
      </c>
      <c r="D46" s="5">
        <v>34.5</v>
      </c>
      <c r="E46" s="5">
        <v>22.5</v>
      </c>
      <c r="F46" s="5">
        <v>1.8136751999999999E-2</v>
      </c>
      <c r="G46" s="5">
        <v>8.4806099999999995E-3</v>
      </c>
      <c r="H46" s="5">
        <f t="shared" si="5"/>
        <v>62.602000384000007</v>
      </c>
      <c r="I46" s="14">
        <f t="shared" si="6"/>
        <v>122.66513904057601</v>
      </c>
      <c r="L46" s="54" t="s">
        <v>275</v>
      </c>
      <c r="M46">
        <v>2</v>
      </c>
      <c r="N46">
        <f>M46*V46</f>
        <v>5</v>
      </c>
      <c r="O46">
        <v>34.5</v>
      </c>
      <c r="P46" s="57">
        <v>22.5</v>
      </c>
      <c r="Q46" s="57">
        <v>1.8136751999999999E-2</v>
      </c>
      <c r="R46" s="57">
        <v>8.4806099999999995E-3</v>
      </c>
      <c r="S46">
        <f t="shared" si="3"/>
        <v>73.92</v>
      </c>
      <c r="T46">
        <f t="shared" si="4"/>
        <v>144.84213</v>
      </c>
      <c r="V46" s="50">
        <v>2.5</v>
      </c>
    </row>
    <row r="47" spans="1:22" ht="15" thickBot="1" x14ac:dyDescent="0.4">
      <c r="A47" s="9" t="s">
        <v>276</v>
      </c>
      <c r="B47" s="5">
        <f>References!Z47*4</f>
        <v>57.455599999999997</v>
      </c>
      <c r="C47" s="5">
        <f>(References!Y47*B47)/3.6</f>
        <v>4.2134106666666664</v>
      </c>
      <c r="D47" s="5">
        <v>34.5</v>
      </c>
      <c r="E47" s="5">
        <v>22.5</v>
      </c>
      <c r="F47" s="5">
        <v>1.8136751999999999E-2</v>
      </c>
      <c r="G47" s="5">
        <v>8.4806099999999995E-3</v>
      </c>
      <c r="H47" s="5">
        <f t="shared" si="5"/>
        <v>62.29106329599999</v>
      </c>
      <c r="I47" s="14">
        <f t="shared" si="6"/>
        <v>122.05587510494399</v>
      </c>
      <c r="L47" s="55" t="s">
        <v>276</v>
      </c>
      <c r="N47">
        <f t="shared" si="2"/>
        <v>0</v>
      </c>
      <c r="O47">
        <v>34.5</v>
      </c>
      <c r="P47" s="28">
        <v>22.5</v>
      </c>
      <c r="Q47" s="57">
        <v>1.8136751999999999E-2</v>
      </c>
      <c r="R47" s="28">
        <v>8.4806099999999995E-3</v>
      </c>
      <c r="S47">
        <f>1.232*N47*(O47-P47)</f>
        <v>0</v>
      </c>
      <c r="T47">
        <f t="shared" si="4"/>
        <v>0</v>
      </c>
    </row>
    <row r="48" spans="1:22" ht="15" thickBot="1" x14ac:dyDescent="0.4">
      <c r="A48" s="9" t="s">
        <v>277</v>
      </c>
      <c r="B48" s="5">
        <f>References!Z48*4</f>
        <v>33.723999999999997</v>
      </c>
      <c r="C48" s="5">
        <f>(References!Y48*B48)/3.6</f>
        <v>2.4730933333333334</v>
      </c>
      <c r="D48" s="5">
        <v>34.5</v>
      </c>
      <c r="E48" s="5">
        <v>22.5</v>
      </c>
      <c r="F48" s="5">
        <v>1.8136751999999999E-2</v>
      </c>
      <c r="G48" s="5">
        <v>8.4806099999999995E-3</v>
      </c>
      <c r="H48" s="5">
        <f t="shared" si="5"/>
        <v>36.562211839999996</v>
      </c>
      <c r="I48" s="14">
        <f t="shared" si="6"/>
        <v>71.64162121775999</v>
      </c>
      <c r="L48" s="54" t="s">
        <v>277</v>
      </c>
      <c r="N48">
        <f t="shared" si="2"/>
        <v>0</v>
      </c>
      <c r="O48">
        <v>34.5</v>
      </c>
      <c r="P48" s="57">
        <v>22.5</v>
      </c>
      <c r="Q48" s="57">
        <v>1.8136751999999999E-2</v>
      </c>
      <c r="R48" s="57">
        <v>8.4806099999999995E-3</v>
      </c>
      <c r="S48">
        <f t="shared" si="3"/>
        <v>0</v>
      </c>
      <c r="T48">
        <f t="shared" si="4"/>
        <v>0</v>
      </c>
    </row>
    <row r="49" spans="1:22" ht="15" thickBot="1" x14ac:dyDescent="0.4">
      <c r="A49" s="9" t="s">
        <v>278</v>
      </c>
      <c r="B49" s="5">
        <f>References!Z49*4</f>
        <v>33.254800000000003</v>
      </c>
      <c r="C49" s="5">
        <f>(References!Y49*B49)/3.6</f>
        <v>2.3416921666666668</v>
      </c>
      <c r="D49" s="5">
        <v>34.5</v>
      </c>
      <c r="E49" s="5">
        <v>24</v>
      </c>
      <c r="F49" s="5">
        <v>1.8136751999999999E-2</v>
      </c>
      <c r="G49" s="5">
        <v>9.2932350000000004E-3</v>
      </c>
      <c r="H49" s="5">
        <f t="shared" si="5"/>
        <v>30.292129868</v>
      </c>
      <c r="I49" s="14">
        <f t="shared" si="6"/>
        <v>62.12638345405049</v>
      </c>
      <c r="L49" s="55" t="s">
        <v>278</v>
      </c>
      <c r="N49">
        <f t="shared" si="2"/>
        <v>0</v>
      </c>
      <c r="O49">
        <v>34.5</v>
      </c>
      <c r="P49" s="28">
        <v>24</v>
      </c>
      <c r="Q49" s="57">
        <v>1.8136751999999999E-2</v>
      </c>
      <c r="R49" s="28">
        <v>9.2932350000000004E-3</v>
      </c>
      <c r="S49">
        <f t="shared" si="3"/>
        <v>0</v>
      </c>
      <c r="T49">
        <f t="shared" si="4"/>
        <v>0</v>
      </c>
    </row>
    <row r="50" spans="1:22" ht="15" thickBot="1" x14ac:dyDescent="0.4">
      <c r="A50" s="9" t="s">
        <v>279</v>
      </c>
      <c r="B50" s="5">
        <f>References!Z50*4</f>
        <v>33.75</v>
      </c>
      <c r="C50" s="5">
        <f>(References!Y50*B50)/3.6</f>
        <v>2.4750000000000001</v>
      </c>
      <c r="D50" s="5">
        <v>34.5</v>
      </c>
      <c r="E50" s="5">
        <v>22.5</v>
      </c>
      <c r="F50" s="5">
        <v>1.8136751999999999E-2</v>
      </c>
      <c r="G50" s="5">
        <v>8.4806099999999995E-3</v>
      </c>
      <c r="H50" s="5">
        <f t="shared" si="5"/>
        <v>36.590399999999995</v>
      </c>
      <c r="I50" s="14">
        <f t="shared" si="6"/>
        <v>71.696854349999995</v>
      </c>
      <c r="L50" s="54" t="s">
        <v>279</v>
      </c>
      <c r="N50">
        <f t="shared" si="2"/>
        <v>0</v>
      </c>
      <c r="O50">
        <v>34.5</v>
      </c>
      <c r="P50" s="57">
        <v>22.5</v>
      </c>
      <c r="Q50" s="57">
        <v>1.8136751999999999E-2</v>
      </c>
      <c r="R50" s="57">
        <v>8.4806099999999995E-3</v>
      </c>
      <c r="S50">
        <f t="shared" si="3"/>
        <v>0</v>
      </c>
      <c r="T50">
        <f t="shared" si="4"/>
        <v>0</v>
      </c>
    </row>
    <row r="51" spans="1:22" ht="15" thickBot="1" x14ac:dyDescent="0.4">
      <c r="A51" s="9" t="s">
        <v>280</v>
      </c>
      <c r="B51" s="5">
        <f>References!Z51*4</f>
        <v>54.427999999999997</v>
      </c>
      <c r="C51" s="5">
        <f>(References!Y51*B51)/3.6</f>
        <v>3.9913866666666666</v>
      </c>
      <c r="D51" s="5">
        <v>34.5</v>
      </c>
      <c r="E51" s="5">
        <v>22.5</v>
      </c>
      <c r="F51" s="5">
        <v>1.8136751999999999E-2</v>
      </c>
      <c r="G51" s="5">
        <v>8.4806099999999995E-3</v>
      </c>
      <c r="H51" s="5">
        <f t="shared" si="5"/>
        <v>59.008660479999996</v>
      </c>
      <c r="I51" s="14">
        <f t="shared" si="6"/>
        <v>115.62418929072</v>
      </c>
      <c r="L51" s="55" t="s">
        <v>280</v>
      </c>
      <c r="M51">
        <v>2</v>
      </c>
      <c r="N51">
        <f t="shared" si="2"/>
        <v>5</v>
      </c>
      <c r="O51">
        <v>34.5</v>
      </c>
      <c r="P51" s="28">
        <v>22.5</v>
      </c>
      <c r="Q51" s="57">
        <v>1.8136751999999999E-2</v>
      </c>
      <c r="R51" s="28">
        <v>8.4806099999999995E-3</v>
      </c>
      <c r="S51">
        <f t="shared" si="3"/>
        <v>73.92</v>
      </c>
      <c r="T51">
        <f t="shared" si="4"/>
        <v>144.84213</v>
      </c>
      <c r="V51" s="50">
        <v>2.5</v>
      </c>
    </row>
    <row r="52" spans="1:22" ht="15" thickBot="1" x14ac:dyDescent="0.4">
      <c r="A52" s="9" t="s">
        <v>281</v>
      </c>
      <c r="B52" s="5">
        <f>References!Z52*4</f>
        <v>69.039599999999993</v>
      </c>
      <c r="C52" s="5">
        <f>(References!Y52*B52)/3.6</f>
        <v>4.8615385</v>
      </c>
      <c r="D52" s="5">
        <v>34.5</v>
      </c>
      <c r="E52" s="5">
        <v>24</v>
      </c>
      <c r="F52" s="5">
        <v>1.8136751999999999E-2</v>
      </c>
      <c r="G52" s="5">
        <v>9.2932350000000004E-3</v>
      </c>
      <c r="H52" s="5">
        <f t="shared" si="5"/>
        <v>62.888862035999999</v>
      </c>
      <c r="I52" s="14">
        <f t="shared" si="6"/>
        <v>128.97929511271349</v>
      </c>
      <c r="L52" s="54" t="s">
        <v>281</v>
      </c>
      <c r="N52">
        <f t="shared" si="2"/>
        <v>0</v>
      </c>
      <c r="O52">
        <v>34.5</v>
      </c>
      <c r="P52" s="57">
        <v>24</v>
      </c>
      <c r="Q52" s="57">
        <v>1.8136751999999999E-2</v>
      </c>
      <c r="R52" s="57">
        <v>9.2932350000000004E-3</v>
      </c>
      <c r="S52">
        <f t="shared" si="3"/>
        <v>0</v>
      </c>
      <c r="T52">
        <f t="shared" si="4"/>
        <v>0</v>
      </c>
    </row>
    <row r="53" spans="1:22" ht="15" thickBot="1" x14ac:dyDescent="0.4">
      <c r="A53" s="9" t="s">
        <v>282</v>
      </c>
      <c r="B53" s="5">
        <f>References!Z53*4</f>
        <v>68.506799999999998</v>
      </c>
      <c r="C53" s="5">
        <f>(References!Y53*B53)/3.6</f>
        <v>5.0238319999999996</v>
      </c>
      <c r="D53" s="5">
        <v>34.5</v>
      </c>
      <c r="E53" s="5">
        <v>22.5</v>
      </c>
      <c r="F53" s="5">
        <v>1.8136751999999999E-2</v>
      </c>
      <c r="G53" s="5">
        <v>8.4806099999999995E-3</v>
      </c>
      <c r="H53" s="5">
        <f t="shared" si="5"/>
        <v>74.272332287999987</v>
      </c>
      <c r="I53" s="14">
        <f t="shared" si="6"/>
        <v>145.53250552843198</v>
      </c>
      <c r="L53" s="55" t="s">
        <v>282</v>
      </c>
      <c r="N53">
        <f t="shared" si="2"/>
        <v>0</v>
      </c>
      <c r="O53">
        <v>34.5</v>
      </c>
      <c r="P53" s="28">
        <v>22.5</v>
      </c>
      <c r="Q53" s="57">
        <v>1.8136751999999999E-2</v>
      </c>
      <c r="R53" s="28">
        <v>8.4806099999999995E-3</v>
      </c>
      <c r="S53">
        <f t="shared" si="3"/>
        <v>0</v>
      </c>
      <c r="T53">
        <f t="shared" si="4"/>
        <v>0</v>
      </c>
    </row>
    <row r="54" spans="1:22" ht="15" thickBot="1" x14ac:dyDescent="0.4">
      <c r="A54" s="9" t="s">
        <v>283</v>
      </c>
      <c r="B54" s="5">
        <f>References!Z54*4</f>
        <v>34.284399999999998</v>
      </c>
      <c r="C54" s="5">
        <f>(References!Y54*B54)/3.6</f>
        <v>2.5141893333333334</v>
      </c>
      <c r="D54" s="5">
        <v>34.5</v>
      </c>
      <c r="E54" s="5">
        <v>22.5</v>
      </c>
      <c r="F54" s="5">
        <v>1.8136751999999999E-2</v>
      </c>
      <c r="G54" s="5">
        <v>8.4806099999999995E-3</v>
      </c>
      <c r="H54" s="5">
        <f t="shared" si="5"/>
        <v>37.169775103999996</v>
      </c>
      <c r="I54" s="14">
        <f t="shared" si="6"/>
        <v>72.832107652655992</v>
      </c>
      <c r="L54" s="54" t="s">
        <v>283</v>
      </c>
      <c r="N54">
        <f t="shared" si="2"/>
        <v>0</v>
      </c>
      <c r="O54">
        <v>34.5</v>
      </c>
      <c r="P54" s="57">
        <v>22.5</v>
      </c>
      <c r="Q54" s="57">
        <v>1.8136751999999999E-2</v>
      </c>
      <c r="R54" s="57">
        <v>8.4806099999999995E-3</v>
      </c>
      <c r="S54">
        <f t="shared" si="3"/>
        <v>0</v>
      </c>
      <c r="T54">
        <f>3000*N54*(Q54-R54)</f>
        <v>0</v>
      </c>
    </row>
    <row r="55" spans="1:22" ht="15" thickBot="1" x14ac:dyDescent="0.4">
      <c r="A55" s="9" t="s">
        <v>284</v>
      </c>
      <c r="B55" s="5">
        <f>References!Z55*4</f>
        <v>141.27080000000001</v>
      </c>
      <c r="C55" s="5">
        <f>(References!Y55*B55)/3.6</f>
        <v>10.359858666666666</v>
      </c>
      <c r="D55" s="5">
        <v>34.5</v>
      </c>
      <c r="E55" s="5">
        <v>22.5</v>
      </c>
      <c r="F55" s="5">
        <v>1.8136751999999999E-2</v>
      </c>
      <c r="G55" s="5">
        <v>8.4806099999999995E-3</v>
      </c>
      <c r="H55" s="5">
        <f t="shared" si="5"/>
        <v>153.16015052799997</v>
      </c>
      <c r="I55" s="14">
        <f t="shared" si="6"/>
        <v>300.10879915579198</v>
      </c>
      <c r="L55" s="55" t="s">
        <v>284</v>
      </c>
      <c r="M55">
        <v>2</v>
      </c>
      <c r="N55">
        <f t="shared" si="2"/>
        <v>5</v>
      </c>
      <c r="O55">
        <v>34.5</v>
      </c>
      <c r="P55" s="28">
        <v>22.5</v>
      </c>
      <c r="Q55" s="57">
        <v>1.8136751999999999E-2</v>
      </c>
      <c r="R55" s="28">
        <v>8.4806099999999995E-3</v>
      </c>
      <c r="S55">
        <f t="shared" si="3"/>
        <v>73.92</v>
      </c>
      <c r="T55">
        <f t="shared" si="4"/>
        <v>144.84213</v>
      </c>
      <c r="V55" s="50">
        <v>2.5</v>
      </c>
    </row>
    <row r="56" spans="1:22" ht="15" thickBot="1" x14ac:dyDescent="0.4">
      <c r="A56" s="9" t="s">
        <v>285</v>
      </c>
      <c r="B56" s="5">
        <f>References!Z56*4</f>
        <v>54.393599999999999</v>
      </c>
      <c r="C56" s="5">
        <f>(References!Y56*B56)/3.6</f>
        <v>3.988864</v>
      </c>
      <c r="D56" s="5">
        <v>34.5</v>
      </c>
      <c r="E56" s="5">
        <v>22.5</v>
      </c>
      <c r="F56" s="5">
        <v>1.8136751999999999E-2</v>
      </c>
      <c r="G56" s="5">
        <v>8.4806099999999995E-3</v>
      </c>
      <c r="H56" s="5">
        <f t="shared" si="5"/>
        <v>58.971365375999994</v>
      </c>
      <c r="I56" s="14">
        <f t="shared" si="6"/>
        <v>115.55111160806401</v>
      </c>
      <c r="L56" s="54" t="s">
        <v>285</v>
      </c>
      <c r="M56">
        <v>3</v>
      </c>
      <c r="N56">
        <f t="shared" si="2"/>
        <v>7.5</v>
      </c>
      <c r="O56">
        <v>34.5</v>
      </c>
      <c r="P56" s="57">
        <v>22.5</v>
      </c>
      <c r="Q56" s="57">
        <v>1.8136751999999999E-2</v>
      </c>
      <c r="R56" s="57">
        <v>8.4806099999999995E-3</v>
      </c>
      <c r="S56">
        <f t="shared" si="3"/>
        <v>110.88</v>
      </c>
      <c r="T56">
        <f t="shared" si="4"/>
        <v>217.263195</v>
      </c>
      <c r="V56" s="50">
        <v>2.5</v>
      </c>
    </row>
    <row r="57" spans="1:22" ht="15" thickBot="1" x14ac:dyDescent="0.4">
      <c r="A57" s="9" t="s">
        <v>286</v>
      </c>
      <c r="B57" s="5">
        <f>References!Z57*4</f>
        <v>68.171199999999999</v>
      </c>
      <c r="C57" s="5">
        <f>(References!Y57*B57)/3.6</f>
        <v>4.8003886666666666</v>
      </c>
      <c r="D57" s="5">
        <v>34.5</v>
      </c>
      <c r="E57" s="5">
        <v>24</v>
      </c>
      <c r="F57" s="5">
        <v>1.8136751999999999E-2</v>
      </c>
      <c r="G57" s="5">
        <v>9.2932350000000004E-3</v>
      </c>
      <c r="H57" s="5">
        <f t="shared" si="5"/>
        <v>62.097827791999997</v>
      </c>
      <c r="I57" s="14">
        <f t="shared" si="6"/>
        <v>127.35695634082198</v>
      </c>
      <c r="L57" s="55" t="s">
        <v>286</v>
      </c>
      <c r="N57">
        <f t="shared" si="2"/>
        <v>0</v>
      </c>
      <c r="O57">
        <v>34.5</v>
      </c>
      <c r="P57" s="28">
        <v>24</v>
      </c>
      <c r="Q57" s="57">
        <v>1.8136751999999999E-2</v>
      </c>
      <c r="R57" s="28">
        <v>9.2932350000000004E-3</v>
      </c>
      <c r="S57">
        <f t="shared" si="3"/>
        <v>0</v>
      </c>
      <c r="T57">
        <f t="shared" si="4"/>
        <v>0</v>
      </c>
    </row>
    <row r="58" spans="1:22" ht="15" thickBot="1" x14ac:dyDescent="0.4">
      <c r="A58" s="9" t="s">
        <v>287</v>
      </c>
      <c r="B58" s="5">
        <f>References!Z58*4</f>
        <v>41.766800000000003</v>
      </c>
      <c r="C58" s="5">
        <f>(References!Y58*B58)/3.6</f>
        <v>3.0628986666666669</v>
      </c>
      <c r="D58" s="5">
        <v>34.5</v>
      </c>
      <c r="E58" s="5">
        <v>22.5</v>
      </c>
      <c r="F58" s="5">
        <v>1.8136751999999999E-2</v>
      </c>
      <c r="G58" s="5">
        <v>8.4806099999999995E-3</v>
      </c>
      <c r="H58" s="5">
        <f t="shared" si="5"/>
        <v>45.281893887999999</v>
      </c>
      <c r="I58" s="14">
        <f t="shared" si="6"/>
        <v>88.727353370831992</v>
      </c>
      <c r="L58" s="54" t="s">
        <v>287</v>
      </c>
      <c r="M58">
        <v>3</v>
      </c>
      <c r="N58">
        <f t="shared" si="2"/>
        <v>7.5</v>
      </c>
      <c r="O58">
        <v>34.5</v>
      </c>
      <c r="P58" s="57">
        <v>22.5</v>
      </c>
      <c r="Q58" s="57">
        <v>1.8136751999999999E-2</v>
      </c>
      <c r="R58" s="57">
        <v>8.4806099999999995E-3</v>
      </c>
      <c r="S58">
        <f t="shared" si="3"/>
        <v>110.88</v>
      </c>
      <c r="T58">
        <f t="shared" si="4"/>
        <v>217.263195</v>
      </c>
      <c r="V58" s="50">
        <v>2.5</v>
      </c>
    </row>
    <row r="59" spans="1:22" ht="15" thickBot="1" x14ac:dyDescent="0.4">
      <c r="A59" s="9" t="s">
        <v>288</v>
      </c>
      <c r="B59" s="5">
        <f>References!Z59*4</f>
        <v>46.367600000000003</v>
      </c>
      <c r="C59" s="5">
        <f>(References!Y59*B59)/3.6</f>
        <v>3.4002906666666672</v>
      </c>
      <c r="D59" s="5">
        <v>34.5</v>
      </c>
      <c r="E59" s="5">
        <v>22.5</v>
      </c>
      <c r="F59" s="5">
        <v>1.8136751999999999E-2</v>
      </c>
      <c r="G59" s="5">
        <v>8.4806099999999995E-3</v>
      </c>
      <c r="H59" s="5">
        <f t="shared" si="5"/>
        <v>50.269897216000004</v>
      </c>
      <c r="I59" s="14">
        <f t="shared" si="6"/>
        <v>98.501068555824006</v>
      </c>
      <c r="L59" s="55" t="s">
        <v>288</v>
      </c>
      <c r="N59">
        <f>M59*V59</f>
        <v>0</v>
      </c>
      <c r="O59">
        <v>34.5</v>
      </c>
      <c r="P59" s="28">
        <v>22.5</v>
      </c>
      <c r="Q59" s="57">
        <v>1.8136751999999999E-2</v>
      </c>
      <c r="R59" s="28">
        <v>8.4806099999999995E-3</v>
      </c>
      <c r="S59">
        <f t="shared" si="3"/>
        <v>0</v>
      </c>
      <c r="T59">
        <f t="shared" si="4"/>
        <v>0</v>
      </c>
    </row>
    <row r="60" spans="1:22" ht="15" thickBot="1" x14ac:dyDescent="0.4">
      <c r="A60" s="9" t="s">
        <v>289</v>
      </c>
      <c r="B60" s="5">
        <f>References!Z60*4</f>
        <v>76.307599999999994</v>
      </c>
      <c r="C60" s="5">
        <f>(References!Y60*B60)/3.6</f>
        <v>5.5958906666666666</v>
      </c>
      <c r="D60" s="5">
        <v>34.5</v>
      </c>
      <c r="E60" s="5">
        <v>22.5</v>
      </c>
      <c r="F60" s="5">
        <v>1.8136751999999999E-2</v>
      </c>
      <c r="G60" s="5">
        <v>8.4806099999999995E-3</v>
      </c>
      <c r="H60" s="5">
        <f t="shared" si="5"/>
        <v>82.729647615999994</v>
      </c>
      <c r="I60" s="14">
        <f t="shared" si="6"/>
        <v>162.10414468142397</v>
      </c>
      <c r="L60" s="54" t="s">
        <v>289</v>
      </c>
      <c r="M60">
        <v>4</v>
      </c>
      <c r="N60">
        <f t="shared" si="2"/>
        <v>32</v>
      </c>
      <c r="O60">
        <v>34.5</v>
      </c>
      <c r="P60" s="57">
        <v>22.5</v>
      </c>
      <c r="Q60" s="57">
        <v>1.8136751999999999E-2</v>
      </c>
      <c r="R60" s="57">
        <v>8.4806099999999995E-3</v>
      </c>
      <c r="S60">
        <f t="shared" si="3"/>
        <v>473.08799999999997</v>
      </c>
      <c r="T60">
        <f t="shared" si="4"/>
        <v>926.98963199999992</v>
      </c>
      <c r="V60" s="50">
        <v>8</v>
      </c>
    </row>
    <row r="61" spans="1:22" ht="15" thickBot="1" x14ac:dyDescent="0.4">
      <c r="A61" s="9" t="s">
        <v>326</v>
      </c>
      <c r="B61" s="5">
        <f>References!Z61*4</f>
        <v>10.137600000000001</v>
      </c>
      <c r="C61" s="5">
        <f>(References!Y61*B61)/3.6</f>
        <v>0.71385600000000016</v>
      </c>
      <c r="D61" s="5">
        <v>34.5</v>
      </c>
      <c r="E61" s="5">
        <v>24</v>
      </c>
      <c r="F61" s="5">
        <v>1.8136751999999999E-2</v>
      </c>
      <c r="G61" s="5">
        <v>9.2932350000000004E-3</v>
      </c>
      <c r="H61" s="5">
        <f t="shared" si="5"/>
        <v>9.2344412160000022</v>
      </c>
      <c r="I61" s="14">
        <f t="shared" si="6"/>
        <v>18.938993014656003</v>
      </c>
      <c r="L61" s="55" t="s">
        <v>326</v>
      </c>
      <c r="N61">
        <f t="shared" si="2"/>
        <v>0</v>
      </c>
      <c r="O61">
        <v>34.5</v>
      </c>
      <c r="P61" s="28">
        <v>24</v>
      </c>
      <c r="Q61" s="57">
        <v>1.8136751999999999E-2</v>
      </c>
      <c r="R61" s="28">
        <v>9.2932350000000004E-3</v>
      </c>
      <c r="S61">
        <f t="shared" si="3"/>
        <v>0</v>
      </c>
      <c r="T61">
        <f t="shared" si="4"/>
        <v>0</v>
      </c>
    </row>
    <row r="62" spans="1:22" ht="15" thickBot="1" x14ac:dyDescent="0.4">
      <c r="A62" s="9" t="s">
        <v>290</v>
      </c>
      <c r="B62" s="5">
        <f>References!Z62*4</f>
        <v>136.86080000000001</v>
      </c>
      <c r="C62" s="5">
        <f>(References!Y62*B62)/3.6</f>
        <v>9.637281333333334</v>
      </c>
      <c r="D62" s="5">
        <v>34.5</v>
      </c>
      <c r="E62" s="5">
        <v>24</v>
      </c>
      <c r="F62" s="5">
        <v>1.8136751999999999E-2</v>
      </c>
      <c r="G62" s="5">
        <v>9.2932350000000004E-3</v>
      </c>
      <c r="H62" s="5">
        <f t="shared" si="5"/>
        <v>124.667871328</v>
      </c>
      <c r="I62" s="14">
        <f t="shared" si="6"/>
        <v>255.68238391534797</v>
      </c>
      <c r="L62" s="54" t="s">
        <v>290</v>
      </c>
      <c r="N62">
        <f t="shared" si="2"/>
        <v>0</v>
      </c>
      <c r="O62">
        <v>34.5</v>
      </c>
      <c r="P62" s="57">
        <v>24</v>
      </c>
      <c r="Q62" s="57">
        <v>1.8136751999999999E-2</v>
      </c>
      <c r="R62" s="57">
        <v>9.2932350000000004E-3</v>
      </c>
      <c r="S62">
        <f t="shared" si="3"/>
        <v>0</v>
      </c>
      <c r="T62">
        <f t="shared" si="4"/>
        <v>0</v>
      </c>
    </row>
    <row r="63" spans="1:22" ht="15" thickBot="1" x14ac:dyDescent="0.4">
      <c r="A63" s="9" t="s">
        <v>291</v>
      </c>
      <c r="B63" s="5">
        <f>References!Z63*4</f>
        <v>10.3764</v>
      </c>
      <c r="C63" s="5">
        <f>(References!Y63*B63)/3.6</f>
        <v>0.73067150000000003</v>
      </c>
      <c r="D63" s="5">
        <v>34.5</v>
      </c>
      <c r="E63" s="5">
        <v>24</v>
      </c>
      <c r="F63" s="5">
        <v>1.8136751999999999E-2</v>
      </c>
      <c r="G63" s="5">
        <v>9.2932350000000004E-3</v>
      </c>
      <c r="H63" s="5">
        <f t="shared" si="5"/>
        <v>9.4519665239999995</v>
      </c>
      <c r="I63" s="14">
        <f t="shared" si="6"/>
        <v>19.3851174949965</v>
      </c>
      <c r="L63" s="55" t="s">
        <v>291</v>
      </c>
      <c r="M63">
        <v>5</v>
      </c>
      <c r="N63">
        <f t="shared" si="2"/>
        <v>12.5</v>
      </c>
      <c r="O63">
        <v>34.5</v>
      </c>
      <c r="P63" s="28">
        <v>24</v>
      </c>
      <c r="Q63" s="57">
        <v>1.8136751999999999E-2</v>
      </c>
      <c r="R63" s="28">
        <v>9.2932350000000004E-3</v>
      </c>
      <c r="S63">
        <f t="shared" si="3"/>
        <v>161.70000000000002</v>
      </c>
      <c r="T63">
        <f t="shared" si="4"/>
        <v>331.63188749999995</v>
      </c>
      <c r="V63" s="50">
        <v>2.5</v>
      </c>
    </row>
    <row r="64" spans="1:22" ht="15" thickBot="1" x14ac:dyDescent="0.4">
      <c r="A64" s="9" t="s">
        <v>292</v>
      </c>
      <c r="B64" s="5">
        <f>References!Z64*4</f>
        <v>7.85</v>
      </c>
      <c r="C64" s="5">
        <f>(References!Y64*B64)/3.6</f>
        <v>0.55277083333333332</v>
      </c>
      <c r="D64" s="5">
        <v>34.5</v>
      </c>
      <c r="E64" s="5">
        <v>24</v>
      </c>
      <c r="F64" s="5">
        <v>1.8136751999999999E-2</v>
      </c>
      <c r="G64" s="5">
        <v>9.2932350000000004E-3</v>
      </c>
      <c r="H64" s="5">
        <f t="shared" si="5"/>
        <v>7.1506435000000002</v>
      </c>
      <c r="I64" s="14">
        <f t="shared" si="6"/>
        <v>14.665314785062497</v>
      </c>
      <c r="L64" s="54" t="s">
        <v>292</v>
      </c>
      <c r="M64">
        <v>5</v>
      </c>
      <c r="N64">
        <f t="shared" si="2"/>
        <v>12.5</v>
      </c>
      <c r="O64">
        <v>34.5</v>
      </c>
      <c r="P64" s="57">
        <v>24</v>
      </c>
      <c r="Q64" s="57">
        <v>1.8136751999999999E-2</v>
      </c>
      <c r="R64" s="57">
        <v>9.2932350000000004E-3</v>
      </c>
      <c r="S64">
        <f t="shared" si="3"/>
        <v>161.70000000000002</v>
      </c>
      <c r="T64">
        <f t="shared" si="4"/>
        <v>331.63188749999995</v>
      </c>
      <c r="V64" s="50">
        <v>2.5</v>
      </c>
    </row>
    <row r="65" spans="1:22" ht="15" thickBot="1" x14ac:dyDescent="0.4">
      <c r="A65" s="9" t="s">
        <v>293</v>
      </c>
      <c r="B65" s="5">
        <f>References!Z65*4</f>
        <v>22.8736</v>
      </c>
      <c r="C65" s="5">
        <f>(References!Y65*B65)/3.6</f>
        <v>1.6773973333333334</v>
      </c>
      <c r="D65" s="5">
        <v>34.5</v>
      </c>
      <c r="E65" s="5">
        <v>22.5</v>
      </c>
      <c r="F65" s="5">
        <v>1.8136751999999999E-2</v>
      </c>
      <c r="G65" s="5">
        <v>8.4806099999999995E-3</v>
      </c>
      <c r="H65" s="5">
        <f t="shared" si="5"/>
        <v>24.798642175999998</v>
      </c>
      <c r="I65" s="14">
        <f t="shared" si="6"/>
        <v>48.591560523264</v>
      </c>
      <c r="L65" s="55" t="s">
        <v>293</v>
      </c>
      <c r="M65">
        <v>2</v>
      </c>
      <c r="N65">
        <f t="shared" si="2"/>
        <v>5</v>
      </c>
      <c r="O65">
        <v>34.5</v>
      </c>
      <c r="P65" s="28">
        <v>22.5</v>
      </c>
      <c r="Q65" s="57">
        <v>1.8136751999999999E-2</v>
      </c>
      <c r="R65" s="28">
        <v>8.4806099999999995E-3</v>
      </c>
      <c r="S65">
        <f t="shared" si="3"/>
        <v>73.92</v>
      </c>
      <c r="T65">
        <f t="shared" si="4"/>
        <v>144.84213</v>
      </c>
      <c r="V65" s="50">
        <v>2.5</v>
      </c>
    </row>
    <row r="66" spans="1:22" ht="15" thickBot="1" x14ac:dyDescent="0.4">
      <c r="A66" s="9" t="s">
        <v>294</v>
      </c>
      <c r="B66" s="5">
        <f>References!Z66*4</f>
        <v>36.9</v>
      </c>
      <c r="C66" s="5">
        <f>(References!Y66*B66)/3.6</f>
        <v>2.706</v>
      </c>
      <c r="D66" s="5">
        <v>34.5</v>
      </c>
      <c r="E66" s="5">
        <v>22.5</v>
      </c>
      <c r="F66" s="5">
        <v>1.8136751999999999E-2</v>
      </c>
      <c r="G66" s="5">
        <v>8.4806099999999995E-3</v>
      </c>
      <c r="H66" s="5">
        <f t="shared" si="5"/>
        <v>40.005503999999995</v>
      </c>
      <c r="I66" s="14">
        <f t="shared" si="6"/>
        <v>78.38856075599999</v>
      </c>
      <c r="L66" s="54" t="s">
        <v>294</v>
      </c>
      <c r="M66">
        <v>3</v>
      </c>
      <c r="N66">
        <f t="shared" si="2"/>
        <v>7.5</v>
      </c>
      <c r="O66">
        <v>34.5</v>
      </c>
      <c r="P66" s="57">
        <v>22.5</v>
      </c>
      <c r="Q66" s="57">
        <v>1.8136751999999999E-2</v>
      </c>
      <c r="R66" s="57">
        <v>8.4806099999999995E-3</v>
      </c>
      <c r="S66">
        <f>1.232*N66*(O66-P66)</f>
        <v>110.88</v>
      </c>
      <c r="T66">
        <f>3000*N66*(Q66-R66)</f>
        <v>217.263195</v>
      </c>
      <c r="V66" s="50">
        <v>2.5</v>
      </c>
    </row>
    <row r="67" spans="1:22" ht="15" thickBot="1" x14ac:dyDescent="0.4">
      <c r="A67" s="9" t="s">
        <v>327</v>
      </c>
      <c r="B67" s="5">
        <f>References!Z67*4</f>
        <v>7.78</v>
      </c>
      <c r="C67" s="5">
        <f>(References!Y67*B67)/3.6</f>
        <v>0.54784166666666667</v>
      </c>
      <c r="D67" s="5">
        <v>34.5</v>
      </c>
      <c r="E67" s="5">
        <v>24</v>
      </c>
      <c r="F67" s="5">
        <v>1.8136751999999999E-2</v>
      </c>
      <c r="G67" s="5">
        <v>9.2932350000000004E-3</v>
      </c>
      <c r="H67" s="5">
        <f t="shared" si="5"/>
        <v>7.0868798000000002</v>
      </c>
      <c r="I67" s="14">
        <f t="shared" si="6"/>
        <v>14.534541277424999</v>
      </c>
      <c r="L67" s="55" t="s">
        <v>327</v>
      </c>
      <c r="N67">
        <f t="shared" si="2"/>
        <v>0</v>
      </c>
      <c r="O67">
        <v>34.5</v>
      </c>
      <c r="P67" s="28">
        <v>24</v>
      </c>
      <c r="Q67" s="57">
        <v>1.8136751999999999E-2</v>
      </c>
      <c r="R67" s="28">
        <v>9.2932350000000004E-3</v>
      </c>
      <c r="S67">
        <f t="shared" si="3"/>
        <v>0</v>
      </c>
      <c r="T67">
        <f t="shared" si="4"/>
        <v>0</v>
      </c>
    </row>
    <row r="68" spans="1:22" ht="15" thickBot="1" x14ac:dyDescent="0.4">
      <c r="A68" s="9" t="s">
        <v>295</v>
      </c>
      <c r="B68" s="5">
        <f>References!Z68*4</f>
        <v>152.13</v>
      </c>
      <c r="C68" s="5">
        <f>(References!Y68*B68)/3.6</f>
        <v>11.1562</v>
      </c>
      <c r="D68" s="5">
        <v>34.5</v>
      </c>
      <c r="E68" s="5">
        <v>22.5</v>
      </c>
      <c r="F68" s="5">
        <v>1.8136751999999999E-2</v>
      </c>
      <c r="G68" s="5">
        <v>8.4806099999999995E-3</v>
      </c>
      <c r="H68" s="5">
        <f t="shared" ref="H68:H73" si="7">(1.232*(D68-E68)*C68)</f>
        <v>164.9332608</v>
      </c>
      <c r="I68" s="14">
        <f t="shared" ref="I68:I73" si="8">3000*C68*(F68-G68)</f>
        <v>323.17755414119995</v>
      </c>
      <c r="L68" s="54" t="s">
        <v>295</v>
      </c>
      <c r="M68">
        <v>3</v>
      </c>
      <c r="N68">
        <f t="shared" si="2"/>
        <v>0</v>
      </c>
      <c r="O68">
        <v>34.5</v>
      </c>
      <c r="P68" s="57">
        <v>22.5</v>
      </c>
      <c r="Q68" s="57">
        <v>1.8136751999999999E-2</v>
      </c>
      <c r="R68" s="57">
        <v>8.4806099999999995E-3</v>
      </c>
      <c r="S68">
        <f t="shared" si="3"/>
        <v>0</v>
      </c>
      <c r="T68">
        <f t="shared" si="4"/>
        <v>0</v>
      </c>
    </row>
    <row r="69" spans="1:22" ht="15" thickBot="1" x14ac:dyDescent="0.4">
      <c r="A69" s="9" t="s">
        <v>296</v>
      </c>
      <c r="B69" s="5">
        <f>References!Z69*4</f>
        <v>203.55240000000001</v>
      </c>
      <c r="C69" s="5">
        <f>(References!Y69*B69)/3.6</f>
        <v>14.927175999999999</v>
      </c>
      <c r="D69" s="5">
        <v>34.5</v>
      </c>
      <c r="E69" s="5">
        <v>22.5</v>
      </c>
      <c r="F69" s="5">
        <v>1.8136751999999999E-2</v>
      </c>
      <c r="G69" s="5">
        <v>8.4806099999999995E-3</v>
      </c>
      <c r="H69" s="5">
        <f t="shared" si="7"/>
        <v>220.68336998399997</v>
      </c>
      <c r="I69" s="14">
        <f t="shared" si="8"/>
        <v>432.41679334497599</v>
      </c>
      <c r="L69" s="55" t="s">
        <v>296</v>
      </c>
      <c r="M69">
        <v>8</v>
      </c>
      <c r="N69">
        <f t="shared" ref="N69:N72" si="9">M69*V69</f>
        <v>64</v>
      </c>
      <c r="O69">
        <v>34.5</v>
      </c>
      <c r="P69" s="28">
        <v>22.5</v>
      </c>
      <c r="Q69" s="57">
        <v>1.8136751999999999E-2</v>
      </c>
      <c r="R69" s="28">
        <v>8.4806099999999995E-3</v>
      </c>
      <c r="S69">
        <f t="shared" ref="S69:S73" si="10">1.232*N69*(O69-P69)</f>
        <v>946.17599999999993</v>
      </c>
      <c r="T69">
        <f t="shared" ref="T69:T73" si="11">3000*N69*(Q69-R69)</f>
        <v>1853.9792639999998</v>
      </c>
      <c r="V69" s="50">
        <v>8</v>
      </c>
    </row>
    <row r="70" spans="1:22" ht="15" thickBot="1" x14ac:dyDescent="0.4">
      <c r="A70" s="9" t="s">
        <v>297</v>
      </c>
      <c r="B70" s="5">
        <f>References!Z70*4</f>
        <v>108.0224</v>
      </c>
      <c r="C70" s="5">
        <f>(References!Y70*B70)/3.6</f>
        <v>7.9216426666666671</v>
      </c>
      <c r="D70" s="5">
        <v>34.5</v>
      </c>
      <c r="E70" s="5">
        <v>22.5</v>
      </c>
      <c r="F70" s="5">
        <v>1.8136751999999999E-2</v>
      </c>
      <c r="G70" s="5">
        <v>8.4806099999999995E-3</v>
      </c>
      <c r="H70" s="5">
        <f t="shared" si="7"/>
        <v>117.113565184</v>
      </c>
      <c r="I70" s="14">
        <f t="shared" si="8"/>
        <v>229.477519387776</v>
      </c>
      <c r="L70" s="54" t="s">
        <v>297</v>
      </c>
      <c r="M70">
        <v>4</v>
      </c>
      <c r="N70">
        <f t="shared" si="9"/>
        <v>10</v>
      </c>
      <c r="O70">
        <v>34.5</v>
      </c>
      <c r="P70" s="57">
        <v>22.5</v>
      </c>
      <c r="Q70" s="57">
        <v>1.8136751999999999E-2</v>
      </c>
      <c r="R70" s="57">
        <v>8.4806099999999995E-3</v>
      </c>
      <c r="S70">
        <f t="shared" si="10"/>
        <v>147.84</v>
      </c>
      <c r="T70">
        <f t="shared" si="11"/>
        <v>289.68425999999999</v>
      </c>
      <c r="V70" s="50">
        <v>2.5</v>
      </c>
    </row>
    <row r="71" spans="1:22" ht="15" thickBot="1" x14ac:dyDescent="0.4">
      <c r="A71" s="9" t="s">
        <v>328</v>
      </c>
      <c r="B71" s="5">
        <f>References!Z71*4</f>
        <v>10.137600000000001</v>
      </c>
      <c r="C71" s="5">
        <f>(References!Y71*B71)/3.6</f>
        <v>0.71385600000000016</v>
      </c>
      <c r="D71" s="5">
        <v>34.5</v>
      </c>
      <c r="E71" s="5">
        <v>24</v>
      </c>
      <c r="F71" s="5">
        <v>1.8136751999999999E-2</v>
      </c>
      <c r="G71" s="5">
        <v>9.2932350000000004E-3</v>
      </c>
      <c r="H71" s="5">
        <f t="shared" si="7"/>
        <v>9.2344412160000022</v>
      </c>
      <c r="I71" s="14">
        <f t="shared" si="8"/>
        <v>18.938993014656003</v>
      </c>
      <c r="L71" s="55" t="s">
        <v>328</v>
      </c>
      <c r="N71">
        <f t="shared" si="9"/>
        <v>0</v>
      </c>
      <c r="O71">
        <v>34.5</v>
      </c>
      <c r="P71" s="28">
        <v>24</v>
      </c>
      <c r="Q71" s="57">
        <v>1.8136751999999999E-2</v>
      </c>
      <c r="R71" s="28">
        <v>9.2932350000000004E-3</v>
      </c>
      <c r="S71">
        <f t="shared" si="10"/>
        <v>0</v>
      </c>
      <c r="T71">
        <f t="shared" si="11"/>
        <v>0</v>
      </c>
    </row>
    <row r="72" spans="1:22" ht="15" thickBot="1" x14ac:dyDescent="0.4">
      <c r="A72" s="9" t="s">
        <v>298</v>
      </c>
      <c r="B72" s="5">
        <f>References!Z72*4</f>
        <v>9.1199999999999992</v>
      </c>
      <c r="C72" s="5">
        <f>(References!Y72*B72)/3.6</f>
        <v>0.66879999999999995</v>
      </c>
      <c r="D72" s="5">
        <v>34.5</v>
      </c>
      <c r="E72" s="5">
        <v>22.5</v>
      </c>
      <c r="F72" s="5">
        <v>1.8136751999999999E-2</v>
      </c>
      <c r="G72" s="5">
        <v>8.4806099999999995E-3</v>
      </c>
      <c r="H72" s="5">
        <f t="shared" si="7"/>
        <v>9.8875391999999991</v>
      </c>
      <c r="I72" s="14">
        <f t="shared" si="8"/>
        <v>19.374083308799996</v>
      </c>
      <c r="L72" s="54" t="s">
        <v>298</v>
      </c>
      <c r="N72">
        <f t="shared" si="9"/>
        <v>0</v>
      </c>
      <c r="O72">
        <v>34.5</v>
      </c>
      <c r="P72" s="57">
        <v>22.5</v>
      </c>
      <c r="Q72" s="57">
        <v>1.8136751999999999E-2</v>
      </c>
      <c r="R72" s="57">
        <v>8.4806099999999995E-3</v>
      </c>
      <c r="S72">
        <f t="shared" si="10"/>
        <v>0</v>
      </c>
      <c r="T72">
        <f t="shared" si="11"/>
        <v>0</v>
      </c>
    </row>
    <row r="73" spans="1:22" ht="15" thickBot="1" x14ac:dyDescent="0.4">
      <c r="A73" s="18" t="s">
        <v>299</v>
      </c>
      <c r="B73" s="20">
        <f>References!Z73*4</f>
        <v>726.79679999999996</v>
      </c>
      <c r="C73" s="20">
        <f>(References!Y73*B73)/3.6</f>
        <v>51.178607999999997</v>
      </c>
      <c r="D73" s="20">
        <v>34.5</v>
      </c>
      <c r="E73" s="20">
        <v>24</v>
      </c>
      <c r="F73" s="20">
        <v>1.8136751999999999E-2</v>
      </c>
      <c r="G73" s="20">
        <v>9.2932350000000004E-3</v>
      </c>
      <c r="H73" s="20">
        <f t="shared" si="7"/>
        <v>662.04647308799997</v>
      </c>
      <c r="I73" s="21">
        <f t="shared" si="8"/>
        <v>1357.7966696530077</v>
      </c>
      <c r="L73" s="55" t="s">
        <v>299</v>
      </c>
      <c r="M73">
        <v>20</v>
      </c>
      <c r="N73">
        <f>M73*V73</f>
        <v>160</v>
      </c>
      <c r="O73">
        <v>34.5</v>
      </c>
      <c r="P73" s="28">
        <v>24</v>
      </c>
      <c r="Q73" s="57">
        <v>1.8136751999999999E-2</v>
      </c>
      <c r="R73" s="28">
        <v>9.2932350000000004E-3</v>
      </c>
      <c r="S73">
        <f t="shared" si="10"/>
        <v>2069.7600000000002</v>
      </c>
      <c r="T73">
        <f t="shared" si="11"/>
        <v>4244.8881599999995</v>
      </c>
      <c r="V73" s="50">
        <v>8</v>
      </c>
    </row>
    <row r="74" spans="1:22" ht="15" thickBot="1" x14ac:dyDescent="0.4">
      <c r="F74" s="62" t="s">
        <v>329</v>
      </c>
      <c r="G74" s="62"/>
      <c r="H74" s="43">
        <f>SUM(H4:H73)</f>
        <v>8169.4957428528915</v>
      </c>
      <c r="I74" s="43">
        <f>SUM(I4:I73)</f>
        <v>16087.922931357525</v>
      </c>
    </row>
    <row r="75" spans="1:22" ht="15" thickBot="1" x14ac:dyDescent="0.4">
      <c r="F75" s="62" t="s">
        <v>162</v>
      </c>
      <c r="G75" s="62"/>
      <c r="H75" s="53">
        <f>H74+I74</f>
        <v>24257.418674210418</v>
      </c>
      <c r="I75" s="53"/>
      <c r="S75" s="68">
        <f>SUM(S4:S73)</f>
        <v>11217.976000000001</v>
      </c>
      <c r="T75" s="68">
        <f>SUM(T4:T73)</f>
        <v>22144.707414000008</v>
      </c>
    </row>
    <row r="77" spans="1:22" ht="23.5" x14ac:dyDescent="0.55000000000000004">
      <c r="A77" s="65" t="s">
        <v>42</v>
      </c>
      <c r="B77" s="65"/>
      <c r="C77" s="65"/>
      <c r="D77" s="65"/>
      <c r="E77" s="65"/>
      <c r="F77" s="65"/>
      <c r="G77" s="65"/>
      <c r="H77" s="65"/>
      <c r="I77" s="65"/>
    </row>
    <row r="78" spans="1:22" ht="15" thickBot="1" x14ac:dyDescent="0.4">
      <c r="A78" s="40" t="s">
        <v>20</v>
      </c>
      <c r="B78" s="41" t="s">
        <v>169</v>
      </c>
      <c r="C78" s="41" t="s">
        <v>21</v>
      </c>
      <c r="D78" s="41" t="s">
        <v>13</v>
      </c>
      <c r="E78" s="41" t="s">
        <v>7</v>
      </c>
      <c r="F78" s="41" t="s">
        <v>22</v>
      </c>
      <c r="G78" s="41" t="s">
        <v>23</v>
      </c>
      <c r="H78" s="41" t="s">
        <v>24</v>
      </c>
      <c r="I78" s="42" t="s">
        <v>25</v>
      </c>
      <c r="L78" s="1" t="s">
        <v>20</v>
      </c>
      <c r="M78" s="1" t="s">
        <v>337</v>
      </c>
      <c r="N78" s="1" t="s">
        <v>21</v>
      </c>
      <c r="O78" s="1" t="s">
        <v>13</v>
      </c>
      <c r="P78" s="1" t="s">
        <v>7</v>
      </c>
      <c r="Q78" s="1" t="s">
        <v>22</v>
      </c>
      <c r="R78" s="1" t="s">
        <v>23</v>
      </c>
      <c r="S78" s="1" t="s">
        <v>338</v>
      </c>
      <c r="T78" s="1" t="s">
        <v>339</v>
      </c>
      <c r="V78" s="1" t="s">
        <v>340</v>
      </c>
    </row>
    <row r="79" spans="1:22" ht="15" thickBot="1" x14ac:dyDescent="0.4">
      <c r="A79" s="7" t="s">
        <v>124</v>
      </c>
      <c r="B79" s="5">
        <f>References!AB4*4</f>
        <v>137.10759999999999</v>
      </c>
      <c r="C79" s="5">
        <f>((0.15+0.01*3+0.007*(D79-E79))*B79)/3.6</f>
        <v>10.054557333333333</v>
      </c>
      <c r="D79" s="5">
        <v>34.5</v>
      </c>
      <c r="E79" s="5">
        <v>22.5</v>
      </c>
      <c r="F79" s="5">
        <v>1.813675E-2</v>
      </c>
      <c r="G79" s="5">
        <f>_xlfn.IFS(E79=22.5,0.00848061,E79=22,0.00821976,E79=24,0.00929323)</f>
        <v>8.4806099999999995E-3</v>
      </c>
      <c r="H79" s="5">
        <f>1.23*C79*(D79-E79)</f>
        <v>148.40526624</v>
      </c>
      <c r="I79" s="14">
        <f>3000*C79*(F79-G79)</f>
        <v>291.26463974607998</v>
      </c>
      <c r="L79" s="57" t="s">
        <v>124</v>
      </c>
      <c r="M79">
        <v>5</v>
      </c>
      <c r="N79">
        <f>M79*V79</f>
        <v>65</v>
      </c>
      <c r="O79">
        <v>34.5</v>
      </c>
      <c r="P79" s="57">
        <v>22.5</v>
      </c>
      <c r="Q79" s="57">
        <v>1.813675E-2</v>
      </c>
      <c r="R79" s="57">
        <f>_xlfn.IFS(P79=22.5,0.00848061,P79=22,0.00821976,P79=24,0.00929323)</f>
        <v>8.4806099999999995E-3</v>
      </c>
      <c r="S79">
        <f>1.232*N79*(O79-P79)</f>
        <v>960.96</v>
      </c>
      <c r="T79">
        <f>3000*N79*(Q79-R79)</f>
        <v>1882.9473</v>
      </c>
      <c r="V79" s="50">
        <v>13</v>
      </c>
    </row>
    <row r="80" spans="1:22" ht="15" thickBot="1" x14ac:dyDescent="0.4">
      <c r="A80" s="7" t="s">
        <v>207</v>
      </c>
      <c r="B80" s="5">
        <f>References!AB5*4</f>
        <v>10.47</v>
      </c>
      <c r="C80" s="5">
        <f t="shared" ref="C80:C113" si="12">((0.15+0.01*3+0.007*(D80-E80))*B80)/3.6</f>
        <v>0.73726250000000004</v>
      </c>
      <c r="D80" s="5">
        <v>34.5</v>
      </c>
      <c r="E80" s="5">
        <v>24</v>
      </c>
      <c r="F80" s="5">
        <v>1.813675E-2</v>
      </c>
      <c r="G80" s="5">
        <f t="shared" ref="G80:G143" si="13">_xlfn.IFS(E80=22.5,0.00848061,E80=22,0.00821976,E80=24,0.00929323)</f>
        <v>9.2932299999999995E-3</v>
      </c>
      <c r="H80" s="5">
        <f t="shared" ref="H80:H143" si="14">1.23*C80*(D80-E80)</f>
        <v>9.5217451875000005</v>
      </c>
      <c r="I80" s="14">
        <f t="shared" ref="I80:I143" si="15">3000*C80*(F80-G80)</f>
        <v>19.559986991999999</v>
      </c>
      <c r="L80" s="28" t="s">
        <v>207</v>
      </c>
      <c r="N80">
        <f t="shared" ref="N80:N143" si="16">M80*V80</f>
        <v>0</v>
      </c>
      <c r="O80">
        <v>34.5</v>
      </c>
      <c r="P80" s="28">
        <v>24</v>
      </c>
      <c r="Q80" s="57">
        <v>1.813675E-2</v>
      </c>
      <c r="R80" s="28">
        <f t="shared" ref="R80:R143" si="17">_xlfn.IFS(P80=22.5,0.00848061,P80=22,0.00821976,P80=24,0.00929323)</f>
        <v>9.2932299999999995E-3</v>
      </c>
      <c r="S80">
        <f t="shared" ref="S80:S143" si="18">1.232*N80*(O80-P80)</f>
        <v>0</v>
      </c>
      <c r="T80">
        <f t="shared" ref="T80:T143" si="19">3000*N80*(Q80-R80)</f>
        <v>0</v>
      </c>
    </row>
    <row r="81" spans="1:22" ht="15" thickBot="1" x14ac:dyDescent="0.4">
      <c r="A81" s="7" t="s">
        <v>170</v>
      </c>
      <c r="B81" s="5">
        <f>References!AB6*4</f>
        <v>137.04</v>
      </c>
      <c r="C81" s="5">
        <f t="shared" si="12"/>
        <v>10.0496</v>
      </c>
      <c r="D81" s="5">
        <v>34.5</v>
      </c>
      <c r="E81" s="5">
        <v>22.5</v>
      </c>
      <c r="F81" s="5">
        <v>1.813675E-2</v>
      </c>
      <c r="G81" s="5">
        <f t="shared" si="13"/>
        <v>8.4806099999999995E-3</v>
      </c>
      <c r="H81" s="5">
        <f t="shared" si="14"/>
        <v>148.33209600000001</v>
      </c>
      <c r="I81" s="14">
        <f t="shared" si="15"/>
        <v>291.12103363200004</v>
      </c>
      <c r="L81" s="57" t="s">
        <v>170</v>
      </c>
      <c r="M81">
        <v>5</v>
      </c>
      <c r="N81">
        <f t="shared" si="16"/>
        <v>65</v>
      </c>
      <c r="O81">
        <v>34.5</v>
      </c>
      <c r="P81" s="57">
        <v>22.5</v>
      </c>
      <c r="Q81" s="57">
        <v>1.813675E-2</v>
      </c>
      <c r="R81" s="57">
        <f t="shared" si="17"/>
        <v>8.4806099999999995E-3</v>
      </c>
      <c r="S81">
        <f t="shared" si="18"/>
        <v>960.96</v>
      </c>
      <c r="T81">
        <f t="shared" si="19"/>
        <v>1882.9473</v>
      </c>
      <c r="V81" s="50">
        <v>13</v>
      </c>
    </row>
    <row r="82" spans="1:22" ht="15" thickBot="1" x14ac:dyDescent="0.4">
      <c r="A82" s="7" t="s">
        <v>206</v>
      </c>
      <c r="B82" s="5">
        <f>References!AB7*4</f>
        <v>10.47</v>
      </c>
      <c r="C82" s="5">
        <f t="shared" si="12"/>
        <v>0.73726250000000004</v>
      </c>
      <c r="D82" s="5">
        <v>34.5</v>
      </c>
      <c r="E82" s="5">
        <v>24</v>
      </c>
      <c r="F82" s="5">
        <v>1.813675E-2</v>
      </c>
      <c r="G82" s="5">
        <f t="shared" si="13"/>
        <v>9.2932299999999995E-3</v>
      </c>
      <c r="H82" s="5">
        <f t="shared" si="14"/>
        <v>9.5217451875000005</v>
      </c>
      <c r="I82" s="14">
        <f t="shared" si="15"/>
        <v>19.559986991999999</v>
      </c>
      <c r="L82" s="28" t="s">
        <v>206</v>
      </c>
      <c r="M82">
        <v>5</v>
      </c>
      <c r="N82">
        <f t="shared" si="16"/>
        <v>65</v>
      </c>
      <c r="O82">
        <v>34.5</v>
      </c>
      <c r="P82" s="28">
        <v>24</v>
      </c>
      <c r="Q82" s="57">
        <v>1.813675E-2</v>
      </c>
      <c r="R82" s="28">
        <f t="shared" si="17"/>
        <v>9.2932299999999995E-3</v>
      </c>
      <c r="S82">
        <f t="shared" si="18"/>
        <v>840.84</v>
      </c>
      <c r="T82">
        <f t="shared" si="19"/>
        <v>1724.4864</v>
      </c>
      <c r="V82" s="50">
        <v>13</v>
      </c>
    </row>
    <row r="83" spans="1:22" ht="15" thickBot="1" x14ac:dyDescent="0.4">
      <c r="A83" s="7" t="s">
        <v>231</v>
      </c>
      <c r="B83" s="5">
        <f>References!AB8*4</f>
        <v>881.32960000000003</v>
      </c>
      <c r="C83" s="5">
        <f t="shared" si="12"/>
        <v>64.630837333333332</v>
      </c>
      <c r="D83" s="5">
        <v>34.5</v>
      </c>
      <c r="E83" s="5">
        <v>22.5</v>
      </c>
      <c r="F83" s="5">
        <v>1.813675E-2</v>
      </c>
      <c r="G83" s="5">
        <f t="shared" si="13"/>
        <v>8.4806099999999995E-3</v>
      </c>
      <c r="H83" s="5">
        <f t="shared" si="14"/>
        <v>953.95115903999999</v>
      </c>
      <c r="I83" s="14">
        <f t="shared" si="15"/>
        <v>1872.25324082368</v>
      </c>
      <c r="L83" s="57" t="s">
        <v>231</v>
      </c>
      <c r="N83">
        <f t="shared" si="16"/>
        <v>0</v>
      </c>
      <c r="O83">
        <v>34.5</v>
      </c>
      <c r="P83" s="57">
        <v>22.5</v>
      </c>
      <c r="Q83" s="57">
        <v>1.813675E-2</v>
      </c>
      <c r="R83" s="57">
        <f t="shared" si="17"/>
        <v>8.4806099999999995E-3</v>
      </c>
      <c r="S83">
        <f t="shared" si="18"/>
        <v>0</v>
      </c>
      <c r="T83">
        <f t="shared" si="19"/>
        <v>0</v>
      </c>
    </row>
    <row r="84" spans="1:22" ht="15" thickBot="1" x14ac:dyDescent="0.4">
      <c r="A84" s="7" t="s">
        <v>232</v>
      </c>
      <c r="B84" s="5">
        <f>References!AB9*4</f>
        <v>573.16452000000004</v>
      </c>
      <c r="C84" s="5">
        <f t="shared" si="12"/>
        <v>42.032064800000001</v>
      </c>
      <c r="D84" s="5">
        <v>34.5</v>
      </c>
      <c r="E84" s="5">
        <v>22.5</v>
      </c>
      <c r="F84" s="5">
        <v>1.813675E-2</v>
      </c>
      <c r="G84" s="5">
        <f t="shared" si="13"/>
        <v>8.4806099999999995E-3</v>
      </c>
      <c r="H84" s="5">
        <f t="shared" si="14"/>
        <v>620.39327644800005</v>
      </c>
      <c r="I84" s="14">
        <f t="shared" si="15"/>
        <v>1217.6025065936162</v>
      </c>
      <c r="L84" s="28" t="s">
        <v>232</v>
      </c>
      <c r="N84">
        <f t="shared" si="16"/>
        <v>0</v>
      </c>
      <c r="O84">
        <v>34.5</v>
      </c>
      <c r="P84" s="28">
        <v>22.5</v>
      </c>
      <c r="Q84" s="57">
        <v>1.813675E-2</v>
      </c>
      <c r="R84" s="28">
        <f t="shared" si="17"/>
        <v>8.4806099999999995E-3</v>
      </c>
      <c r="S84">
        <f t="shared" si="18"/>
        <v>0</v>
      </c>
      <c r="T84">
        <f t="shared" si="19"/>
        <v>0</v>
      </c>
    </row>
    <row r="85" spans="1:22" ht="15" thickBot="1" x14ac:dyDescent="0.4">
      <c r="A85" s="7" t="s">
        <v>233</v>
      </c>
      <c r="B85" s="5">
        <f>References!AB10*4</f>
        <v>315.02960000000002</v>
      </c>
      <c r="C85" s="5">
        <f t="shared" si="12"/>
        <v>23.10217066666667</v>
      </c>
      <c r="D85" s="5">
        <v>34.5</v>
      </c>
      <c r="E85" s="5">
        <v>22.5</v>
      </c>
      <c r="F85" s="5">
        <v>1.813675E-2</v>
      </c>
      <c r="G85" s="5">
        <f t="shared" si="13"/>
        <v>8.4806099999999995E-3</v>
      </c>
      <c r="H85" s="5">
        <f t="shared" si="14"/>
        <v>340.98803904000005</v>
      </c>
      <c r="I85" s="14">
        <f t="shared" si="15"/>
        <v>669.2333827836801</v>
      </c>
      <c r="L85" s="57" t="s">
        <v>233</v>
      </c>
      <c r="N85">
        <f t="shared" si="16"/>
        <v>0</v>
      </c>
      <c r="O85">
        <v>34.5</v>
      </c>
      <c r="P85" s="57">
        <v>22.5</v>
      </c>
      <c r="Q85" s="57">
        <v>1.813675E-2</v>
      </c>
      <c r="R85" s="57">
        <f t="shared" si="17"/>
        <v>8.4806099999999995E-3</v>
      </c>
      <c r="S85">
        <f t="shared" si="18"/>
        <v>0</v>
      </c>
      <c r="T85">
        <f t="shared" si="19"/>
        <v>0</v>
      </c>
    </row>
    <row r="86" spans="1:22" ht="15" thickBot="1" x14ac:dyDescent="0.4">
      <c r="A86" s="47" t="s">
        <v>234</v>
      </c>
      <c r="B86" s="5">
        <f>References!AB11*4</f>
        <v>398.61880000000002</v>
      </c>
      <c r="C86" s="5">
        <f t="shared" si="12"/>
        <v>29.232045333333335</v>
      </c>
      <c r="D86" s="5">
        <v>34.5</v>
      </c>
      <c r="E86" s="5">
        <v>22.5</v>
      </c>
      <c r="F86" s="5">
        <v>1.813675E-2</v>
      </c>
      <c r="G86" s="5">
        <f t="shared" si="13"/>
        <v>8.4806099999999995E-3</v>
      </c>
      <c r="H86" s="5">
        <f t="shared" si="14"/>
        <v>431.46498912000004</v>
      </c>
      <c r="I86" s="14">
        <f t="shared" si="15"/>
        <v>846.80616667504023</v>
      </c>
      <c r="L86" s="28" t="s">
        <v>234</v>
      </c>
      <c r="N86">
        <f t="shared" si="16"/>
        <v>0</v>
      </c>
      <c r="O86">
        <v>34.5</v>
      </c>
      <c r="P86" s="28">
        <v>22.5</v>
      </c>
      <c r="Q86" s="57">
        <v>1.813675E-2</v>
      </c>
      <c r="R86" s="28">
        <f t="shared" si="17"/>
        <v>8.4806099999999995E-3</v>
      </c>
      <c r="S86">
        <f t="shared" si="18"/>
        <v>0</v>
      </c>
      <c r="T86">
        <f t="shared" si="19"/>
        <v>0</v>
      </c>
    </row>
    <row r="87" spans="1:22" ht="15" thickBot="1" x14ac:dyDescent="0.4">
      <c r="A87" s="47" t="s">
        <v>235</v>
      </c>
      <c r="B87" s="5">
        <f>References!AB12*4</f>
        <v>571.5204</v>
      </c>
      <c r="C87" s="5">
        <f t="shared" si="12"/>
        <v>41.911496000000007</v>
      </c>
      <c r="D87" s="5">
        <v>34.5</v>
      </c>
      <c r="E87" s="5">
        <v>22.5</v>
      </c>
      <c r="F87" s="5">
        <v>1.813675E-2</v>
      </c>
      <c r="G87" s="5">
        <f t="shared" si="13"/>
        <v>8.4806099999999995E-3</v>
      </c>
      <c r="H87" s="5">
        <f t="shared" si="14"/>
        <v>618.61368096000012</v>
      </c>
      <c r="I87" s="14">
        <f t="shared" si="15"/>
        <v>1214.1098189563204</v>
      </c>
      <c r="L87" s="57" t="s">
        <v>235</v>
      </c>
      <c r="N87">
        <f t="shared" si="16"/>
        <v>0</v>
      </c>
      <c r="O87">
        <v>34.5</v>
      </c>
      <c r="P87" s="57">
        <v>22.5</v>
      </c>
      <c r="Q87" s="57">
        <v>1.813675E-2</v>
      </c>
      <c r="R87" s="57">
        <f t="shared" si="17"/>
        <v>8.4806099999999995E-3</v>
      </c>
      <c r="S87">
        <f t="shared" si="18"/>
        <v>0</v>
      </c>
      <c r="T87">
        <f t="shared" si="19"/>
        <v>0</v>
      </c>
    </row>
    <row r="88" spans="1:22" ht="15" thickBot="1" x14ac:dyDescent="0.4">
      <c r="A88" s="7" t="s">
        <v>125</v>
      </c>
      <c r="B88" s="5">
        <f>References!AB13*4</f>
        <v>137.16</v>
      </c>
      <c r="C88" s="5">
        <f t="shared" si="12"/>
        <v>10.058399999999999</v>
      </c>
      <c r="D88" s="5">
        <v>34.5</v>
      </c>
      <c r="E88" s="5">
        <v>22.5</v>
      </c>
      <c r="F88" s="5">
        <v>1.813675E-2</v>
      </c>
      <c r="G88" s="5">
        <f t="shared" si="13"/>
        <v>8.4806099999999995E-3</v>
      </c>
      <c r="H88" s="5">
        <f t="shared" si="14"/>
        <v>148.46198399999997</v>
      </c>
      <c r="I88" s="14">
        <f t="shared" si="15"/>
        <v>291.37595572800001</v>
      </c>
      <c r="L88" s="28" t="s">
        <v>125</v>
      </c>
      <c r="M88">
        <v>5</v>
      </c>
      <c r="N88">
        <f t="shared" si="16"/>
        <v>65</v>
      </c>
      <c r="O88">
        <v>34.5</v>
      </c>
      <c r="P88" s="28">
        <v>22.5</v>
      </c>
      <c r="Q88" s="57">
        <v>1.813675E-2</v>
      </c>
      <c r="R88" s="28">
        <f t="shared" si="17"/>
        <v>8.4806099999999995E-3</v>
      </c>
      <c r="S88">
        <f t="shared" si="18"/>
        <v>960.96</v>
      </c>
      <c r="T88">
        <f t="shared" si="19"/>
        <v>1882.9473</v>
      </c>
      <c r="V88" s="50">
        <v>13</v>
      </c>
    </row>
    <row r="89" spans="1:22" ht="15" thickBot="1" x14ac:dyDescent="0.4">
      <c r="A89" s="7" t="s">
        <v>208</v>
      </c>
      <c r="B89" s="5">
        <f>References!AB14*4</f>
        <v>10.47</v>
      </c>
      <c r="C89" s="5">
        <f t="shared" si="12"/>
        <v>0.73726250000000004</v>
      </c>
      <c r="D89" s="5">
        <v>34.5</v>
      </c>
      <c r="E89" s="5">
        <v>24</v>
      </c>
      <c r="F89" s="5">
        <v>1.813675E-2</v>
      </c>
      <c r="G89" s="5">
        <f t="shared" si="13"/>
        <v>9.2932299999999995E-3</v>
      </c>
      <c r="H89" s="5">
        <f t="shared" si="14"/>
        <v>9.5217451875000005</v>
      </c>
      <c r="I89" s="14">
        <f t="shared" si="15"/>
        <v>19.559986991999999</v>
      </c>
      <c r="L89" s="57" t="s">
        <v>208</v>
      </c>
      <c r="N89">
        <f t="shared" si="16"/>
        <v>0</v>
      </c>
      <c r="O89">
        <v>34.5</v>
      </c>
      <c r="P89" s="57">
        <v>24</v>
      </c>
      <c r="Q89" s="57">
        <v>1.813675E-2</v>
      </c>
      <c r="R89" s="57">
        <f t="shared" si="17"/>
        <v>9.2932299999999995E-3</v>
      </c>
      <c r="S89">
        <f t="shared" si="18"/>
        <v>0</v>
      </c>
      <c r="T89">
        <f t="shared" si="19"/>
        <v>0</v>
      </c>
    </row>
    <row r="90" spans="1:22" ht="15" thickBot="1" x14ac:dyDescent="0.4">
      <c r="A90" s="7" t="s">
        <v>126</v>
      </c>
      <c r="B90" s="5">
        <f>References!AB15*4</f>
        <v>136.47</v>
      </c>
      <c r="C90" s="5">
        <f t="shared" si="12"/>
        <v>10.007800000000001</v>
      </c>
      <c r="D90" s="5">
        <v>34.5</v>
      </c>
      <c r="E90" s="5">
        <v>22.5</v>
      </c>
      <c r="F90" s="5">
        <v>1.813675E-2</v>
      </c>
      <c r="G90" s="5">
        <f t="shared" si="13"/>
        <v>8.4806099999999995E-3</v>
      </c>
      <c r="H90" s="5">
        <f t="shared" si="14"/>
        <v>147.71512800000002</v>
      </c>
      <c r="I90" s="14">
        <f t="shared" si="15"/>
        <v>289.91015367600005</v>
      </c>
      <c r="L90" s="28" t="s">
        <v>126</v>
      </c>
      <c r="M90">
        <v>5</v>
      </c>
      <c r="N90">
        <f t="shared" si="16"/>
        <v>65</v>
      </c>
      <c r="O90">
        <v>34.5</v>
      </c>
      <c r="P90" s="28">
        <v>22.5</v>
      </c>
      <c r="Q90" s="57">
        <v>1.813675E-2</v>
      </c>
      <c r="R90" s="28">
        <f t="shared" si="17"/>
        <v>8.4806099999999995E-3</v>
      </c>
      <c r="S90">
        <f t="shared" si="18"/>
        <v>960.96</v>
      </c>
      <c r="T90">
        <f t="shared" si="19"/>
        <v>1882.9473</v>
      </c>
      <c r="V90" s="50">
        <v>13</v>
      </c>
    </row>
    <row r="91" spans="1:22" ht="15" thickBot="1" x14ac:dyDescent="0.4">
      <c r="A91" s="7" t="s">
        <v>209</v>
      </c>
      <c r="B91" s="5">
        <f>References!AB16*4</f>
        <v>10.47</v>
      </c>
      <c r="C91" s="5">
        <f t="shared" si="12"/>
        <v>0.73726250000000004</v>
      </c>
      <c r="D91" s="5">
        <v>34.5</v>
      </c>
      <c r="E91" s="5">
        <v>24</v>
      </c>
      <c r="F91" s="5">
        <v>1.813675E-2</v>
      </c>
      <c r="G91" s="5">
        <f t="shared" si="13"/>
        <v>9.2932299999999995E-3</v>
      </c>
      <c r="H91" s="5">
        <f t="shared" si="14"/>
        <v>9.5217451875000005</v>
      </c>
      <c r="I91" s="14">
        <f t="shared" si="15"/>
        <v>19.559986991999999</v>
      </c>
      <c r="L91" s="57" t="s">
        <v>209</v>
      </c>
      <c r="N91">
        <f t="shared" si="16"/>
        <v>0</v>
      </c>
      <c r="O91">
        <v>34.5</v>
      </c>
      <c r="P91" s="57">
        <v>24</v>
      </c>
      <c r="Q91" s="57">
        <v>1.813675E-2</v>
      </c>
      <c r="R91" s="57">
        <f t="shared" si="17"/>
        <v>9.2932299999999995E-3</v>
      </c>
      <c r="S91">
        <f t="shared" si="18"/>
        <v>0</v>
      </c>
      <c r="T91">
        <f t="shared" si="19"/>
        <v>0</v>
      </c>
    </row>
    <row r="92" spans="1:22" ht="15" thickBot="1" x14ac:dyDescent="0.4">
      <c r="A92" s="7" t="s">
        <v>171</v>
      </c>
      <c r="B92" s="5">
        <f>References!AB17*4</f>
        <v>54.6952</v>
      </c>
      <c r="C92" s="5">
        <f t="shared" si="12"/>
        <v>4.0109813333333335</v>
      </c>
      <c r="D92" s="5">
        <v>34.5</v>
      </c>
      <c r="E92" s="5">
        <v>22.5</v>
      </c>
      <c r="F92" s="5">
        <v>1.813675E-2</v>
      </c>
      <c r="G92" s="5">
        <f t="shared" si="13"/>
        <v>8.4806099999999995E-3</v>
      </c>
      <c r="H92" s="5">
        <f t="shared" si="14"/>
        <v>59.202084480000003</v>
      </c>
      <c r="I92" s="14">
        <f t="shared" si="15"/>
        <v>116.19179187616002</v>
      </c>
      <c r="L92" s="28" t="s">
        <v>171</v>
      </c>
      <c r="M92">
        <v>3</v>
      </c>
      <c r="N92">
        <f t="shared" si="16"/>
        <v>39</v>
      </c>
      <c r="O92">
        <v>34.5</v>
      </c>
      <c r="P92" s="28">
        <v>22.5</v>
      </c>
      <c r="Q92" s="57">
        <v>1.813675E-2</v>
      </c>
      <c r="R92" s="28">
        <f t="shared" si="17"/>
        <v>8.4806099999999995E-3</v>
      </c>
      <c r="S92">
        <f t="shared" si="18"/>
        <v>576.57600000000002</v>
      </c>
      <c r="T92">
        <f t="shared" si="19"/>
        <v>1129.76838</v>
      </c>
      <c r="V92" s="50">
        <v>13</v>
      </c>
    </row>
    <row r="93" spans="1:22" ht="15" thickBot="1" x14ac:dyDescent="0.4">
      <c r="A93" s="7" t="s">
        <v>210</v>
      </c>
      <c r="B93" s="5">
        <f>References!AB18*4</f>
        <v>10.4924</v>
      </c>
      <c r="C93" s="5">
        <f t="shared" si="12"/>
        <v>0.73883983333333336</v>
      </c>
      <c r="D93" s="5">
        <v>34.5</v>
      </c>
      <c r="E93" s="5">
        <v>24</v>
      </c>
      <c r="F93" s="5">
        <v>1.813675E-2</v>
      </c>
      <c r="G93" s="5">
        <f t="shared" si="13"/>
        <v>9.2932299999999995E-3</v>
      </c>
      <c r="H93" s="5">
        <f t="shared" si="14"/>
        <v>9.5421164474999998</v>
      </c>
      <c r="I93" s="14">
        <f t="shared" si="15"/>
        <v>19.601834528640001</v>
      </c>
      <c r="L93" s="57" t="s">
        <v>210</v>
      </c>
      <c r="N93">
        <f t="shared" si="16"/>
        <v>0</v>
      </c>
      <c r="O93">
        <v>34.5</v>
      </c>
      <c r="P93" s="57">
        <v>24</v>
      </c>
      <c r="Q93" s="57">
        <v>1.813675E-2</v>
      </c>
      <c r="R93" s="57">
        <f t="shared" si="17"/>
        <v>9.2932299999999995E-3</v>
      </c>
      <c r="S93">
        <f t="shared" si="18"/>
        <v>0</v>
      </c>
      <c r="T93">
        <f t="shared" si="19"/>
        <v>0</v>
      </c>
    </row>
    <row r="94" spans="1:22" ht="15" thickBot="1" x14ac:dyDescent="0.4">
      <c r="A94" s="7" t="s">
        <v>172</v>
      </c>
      <c r="B94" s="5">
        <f>References!AB19*4</f>
        <v>55.682400000000001</v>
      </c>
      <c r="C94" s="5">
        <f t="shared" si="12"/>
        <v>4.0833760000000003</v>
      </c>
      <c r="D94" s="5">
        <v>34.5</v>
      </c>
      <c r="E94" s="5">
        <v>22.5</v>
      </c>
      <c r="F94" s="5">
        <v>1.813675E-2</v>
      </c>
      <c r="G94" s="5">
        <f t="shared" si="13"/>
        <v>8.4806099999999995E-3</v>
      </c>
      <c r="H94" s="5">
        <f t="shared" si="14"/>
        <v>60.270629760000006</v>
      </c>
      <c r="I94" s="14">
        <f t="shared" si="15"/>
        <v>118.28895098592001</v>
      </c>
      <c r="L94" s="28" t="s">
        <v>172</v>
      </c>
      <c r="M94">
        <v>2</v>
      </c>
      <c r="N94">
        <f t="shared" si="16"/>
        <v>26</v>
      </c>
      <c r="O94">
        <v>34.5</v>
      </c>
      <c r="P94" s="28">
        <v>22.5</v>
      </c>
      <c r="Q94" s="57">
        <v>1.813675E-2</v>
      </c>
      <c r="R94" s="28">
        <f t="shared" si="17"/>
        <v>8.4806099999999995E-3</v>
      </c>
      <c r="S94">
        <f t="shared" si="18"/>
        <v>384.38399999999996</v>
      </c>
      <c r="T94">
        <f t="shared" si="19"/>
        <v>753.17892000000006</v>
      </c>
      <c r="V94" s="50">
        <v>13</v>
      </c>
    </row>
    <row r="95" spans="1:22" ht="15" thickBot="1" x14ac:dyDescent="0.4">
      <c r="A95" s="7" t="s">
        <v>211</v>
      </c>
      <c r="B95" s="5">
        <f>References!AB20*4</f>
        <v>10.462</v>
      </c>
      <c r="C95" s="5">
        <f t="shared" si="12"/>
        <v>0.73669916666666668</v>
      </c>
      <c r="D95" s="5">
        <v>34.5</v>
      </c>
      <c r="E95" s="5">
        <v>24</v>
      </c>
      <c r="F95" s="5">
        <v>1.813675E-2</v>
      </c>
      <c r="G95" s="5">
        <f t="shared" si="13"/>
        <v>9.2932299999999995E-3</v>
      </c>
      <c r="H95" s="5">
        <f t="shared" si="14"/>
        <v>9.5144697375000007</v>
      </c>
      <c r="I95" s="14">
        <f t="shared" si="15"/>
        <v>19.545041443199999</v>
      </c>
      <c r="L95" s="57" t="s">
        <v>211</v>
      </c>
      <c r="N95">
        <f t="shared" si="16"/>
        <v>0</v>
      </c>
      <c r="O95">
        <v>34.5</v>
      </c>
      <c r="P95" s="57">
        <v>24</v>
      </c>
      <c r="Q95" s="57">
        <v>1.813675E-2</v>
      </c>
      <c r="R95" s="57">
        <f t="shared" si="17"/>
        <v>9.2932299999999995E-3</v>
      </c>
      <c r="S95">
        <f t="shared" si="18"/>
        <v>0</v>
      </c>
      <c r="T95">
        <f t="shared" si="19"/>
        <v>0</v>
      </c>
    </row>
    <row r="96" spans="1:22" ht="15" thickBot="1" x14ac:dyDescent="0.4">
      <c r="A96" s="7" t="s">
        <v>173</v>
      </c>
      <c r="B96" s="5">
        <f>References!AB21*4</f>
        <v>55.501600000000003</v>
      </c>
      <c r="C96" s="5">
        <f t="shared" si="12"/>
        <v>4.0701173333333331</v>
      </c>
      <c r="D96" s="5">
        <v>34.5</v>
      </c>
      <c r="E96" s="5">
        <v>22.5</v>
      </c>
      <c r="F96" s="5">
        <v>1.813675E-2</v>
      </c>
      <c r="G96" s="5">
        <f t="shared" si="13"/>
        <v>8.4806099999999995E-3</v>
      </c>
      <c r="H96" s="5">
        <f t="shared" si="14"/>
        <v>60.074931839999991</v>
      </c>
      <c r="I96" s="14">
        <f t="shared" si="15"/>
        <v>117.90486836127999</v>
      </c>
      <c r="L96" s="28" t="s">
        <v>173</v>
      </c>
      <c r="M96">
        <v>2</v>
      </c>
      <c r="N96">
        <f t="shared" si="16"/>
        <v>26</v>
      </c>
      <c r="O96">
        <v>34.5</v>
      </c>
      <c r="P96" s="28">
        <v>22.5</v>
      </c>
      <c r="Q96" s="57">
        <v>1.813675E-2</v>
      </c>
      <c r="R96" s="28">
        <f t="shared" si="17"/>
        <v>8.4806099999999995E-3</v>
      </c>
      <c r="S96">
        <f t="shared" si="18"/>
        <v>384.38399999999996</v>
      </c>
      <c r="T96">
        <f t="shared" si="19"/>
        <v>753.17892000000006</v>
      </c>
      <c r="V96" s="50">
        <v>13</v>
      </c>
    </row>
    <row r="97" spans="1:22" ht="15" thickBot="1" x14ac:dyDescent="0.4">
      <c r="A97" s="7" t="s">
        <v>212</v>
      </c>
      <c r="B97" s="5">
        <f>References!AB22*4</f>
        <v>10.4788</v>
      </c>
      <c r="C97" s="5">
        <f t="shared" si="12"/>
        <v>0.73788216666666662</v>
      </c>
      <c r="D97" s="5">
        <v>34.5</v>
      </c>
      <c r="E97" s="5">
        <v>24</v>
      </c>
      <c r="F97" s="5">
        <v>1.813675E-2</v>
      </c>
      <c r="G97" s="5">
        <f t="shared" si="13"/>
        <v>9.2932299999999995E-3</v>
      </c>
      <c r="H97" s="5">
        <f t="shared" si="14"/>
        <v>9.5297481825000006</v>
      </c>
      <c r="I97" s="14">
        <f t="shared" si="15"/>
        <v>19.57642709568</v>
      </c>
      <c r="L97" s="57" t="s">
        <v>212</v>
      </c>
      <c r="N97">
        <f t="shared" si="16"/>
        <v>0</v>
      </c>
      <c r="O97">
        <v>34.5</v>
      </c>
      <c r="P97" s="57">
        <v>24</v>
      </c>
      <c r="Q97" s="57">
        <v>1.813675E-2</v>
      </c>
      <c r="R97" s="57">
        <f t="shared" si="17"/>
        <v>9.2932299999999995E-3</v>
      </c>
      <c r="S97">
        <f t="shared" si="18"/>
        <v>0</v>
      </c>
      <c r="T97">
        <f t="shared" si="19"/>
        <v>0</v>
      </c>
    </row>
    <row r="98" spans="1:22" ht="15" thickBot="1" x14ac:dyDescent="0.4">
      <c r="A98" s="7" t="s">
        <v>174</v>
      </c>
      <c r="B98" s="5">
        <f>References!AB23*4</f>
        <v>122.848</v>
      </c>
      <c r="C98" s="5">
        <f>((0.15+0.01*3+0.007*(D98-E98))*B98)/3.6</f>
        <v>9.0088533333333327</v>
      </c>
      <c r="D98" s="5">
        <v>34.5</v>
      </c>
      <c r="E98" s="5">
        <v>22.5</v>
      </c>
      <c r="F98" s="5">
        <v>1.813675E-2</v>
      </c>
      <c r="G98" s="5">
        <f t="shared" si="13"/>
        <v>8.4806099999999995E-3</v>
      </c>
      <c r="H98" s="5">
        <f t="shared" si="14"/>
        <v>132.97067519999999</v>
      </c>
      <c r="I98" s="14">
        <f t="shared" si="15"/>
        <v>260.97224707840002</v>
      </c>
      <c r="L98" s="28" t="s">
        <v>174</v>
      </c>
      <c r="M98">
        <v>4</v>
      </c>
      <c r="N98">
        <f t="shared" si="16"/>
        <v>10</v>
      </c>
      <c r="O98">
        <v>34.5</v>
      </c>
      <c r="P98" s="28">
        <v>22.5</v>
      </c>
      <c r="Q98" s="57">
        <v>1.813675E-2</v>
      </c>
      <c r="R98" s="28">
        <f t="shared" si="17"/>
        <v>8.4806099999999995E-3</v>
      </c>
      <c r="S98">
        <f t="shared" si="18"/>
        <v>147.84</v>
      </c>
      <c r="T98">
        <f t="shared" si="19"/>
        <v>289.68420000000003</v>
      </c>
      <c r="V98" s="50">
        <v>2.5</v>
      </c>
    </row>
    <row r="99" spans="1:22" ht="15" thickBot="1" x14ac:dyDescent="0.4">
      <c r="A99" s="7" t="s">
        <v>213</v>
      </c>
      <c r="B99" s="5">
        <f>References!AB24*4</f>
        <v>10.5496</v>
      </c>
      <c r="C99" s="5">
        <f t="shared" si="12"/>
        <v>0.7428676666666667</v>
      </c>
      <c r="D99" s="5">
        <v>34.5</v>
      </c>
      <c r="E99" s="5">
        <v>24</v>
      </c>
      <c r="F99" s="5">
        <v>1.813675E-2</v>
      </c>
      <c r="G99" s="5">
        <f t="shared" si="13"/>
        <v>9.2932299999999995E-3</v>
      </c>
      <c r="H99" s="5">
        <f t="shared" si="14"/>
        <v>9.5941359150000007</v>
      </c>
      <c r="I99" s="14">
        <f t="shared" si="15"/>
        <v>19.708695202560001</v>
      </c>
      <c r="L99" s="57" t="s">
        <v>213</v>
      </c>
      <c r="N99">
        <f t="shared" si="16"/>
        <v>0</v>
      </c>
      <c r="O99">
        <v>34.5</v>
      </c>
      <c r="P99" s="57">
        <v>24</v>
      </c>
      <c r="Q99" s="57">
        <v>1.813675E-2</v>
      </c>
      <c r="R99" s="57">
        <f t="shared" si="17"/>
        <v>9.2932299999999995E-3</v>
      </c>
      <c r="S99">
        <f t="shared" si="18"/>
        <v>0</v>
      </c>
      <c r="T99">
        <f t="shared" si="19"/>
        <v>0</v>
      </c>
    </row>
    <row r="100" spans="1:22" ht="15" thickBot="1" x14ac:dyDescent="0.4">
      <c r="A100" s="7" t="s">
        <v>175</v>
      </c>
      <c r="B100" s="5">
        <f>References!AB25*4</f>
        <v>71.765199999999993</v>
      </c>
      <c r="C100" s="5">
        <f t="shared" si="12"/>
        <v>5.2627813333333329</v>
      </c>
      <c r="D100" s="5">
        <v>34.5</v>
      </c>
      <c r="E100" s="5">
        <v>22.5</v>
      </c>
      <c r="F100" s="5">
        <v>1.813675E-2</v>
      </c>
      <c r="G100" s="5">
        <f t="shared" si="13"/>
        <v>8.4806099999999995E-3</v>
      </c>
      <c r="H100" s="5">
        <f t="shared" si="14"/>
        <v>77.678652479999997</v>
      </c>
      <c r="I100" s="14">
        <f t="shared" si="15"/>
        <v>152.45446003216</v>
      </c>
      <c r="L100" s="28" t="s">
        <v>175</v>
      </c>
      <c r="M100">
        <v>3</v>
      </c>
      <c r="N100">
        <f t="shared" si="16"/>
        <v>24</v>
      </c>
      <c r="O100">
        <v>34.5</v>
      </c>
      <c r="P100" s="28">
        <v>22.5</v>
      </c>
      <c r="Q100" s="57">
        <v>1.813675E-2</v>
      </c>
      <c r="R100" s="28">
        <f t="shared" si="17"/>
        <v>8.4806099999999995E-3</v>
      </c>
      <c r="S100">
        <f t="shared" si="18"/>
        <v>354.81599999999997</v>
      </c>
      <c r="T100">
        <f t="shared" si="19"/>
        <v>695.24207999999999</v>
      </c>
      <c r="V100" s="50">
        <v>8</v>
      </c>
    </row>
    <row r="101" spans="1:22" ht="15" thickBot="1" x14ac:dyDescent="0.4">
      <c r="A101" s="7" t="s">
        <v>176</v>
      </c>
      <c r="B101" s="5">
        <f>References!AB26*4</f>
        <v>91.316000000000003</v>
      </c>
      <c r="C101" s="5">
        <f t="shared" si="12"/>
        <v>6.6965066666666671</v>
      </c>
      <c r="D101" s="5">
        <v>34.5</v>
      </c>
      <c r="E101" s="5">
        <v>22.5</v>
      </c>
      <c r="F101" s="5">
        <v>1.813675E-2</v>
      </c>
      <c r="G101" s="5">
        <f t="shared" si="13"/>
        <v>8.4806099999999995E-3</v>
      </c>
      <c r="H101" s="5">
        <f>1.23*C101*(D101-E101)</f>
        <v>98.840438400000011</v>
      </c>
      <c r="I101" s="14">
        <f t="shared" si="15"/>
        <v>193.98721765280001</v>
      </c>
      <c r="L101" s="57" t="s">
        <v>176</v>
      </c>
      <c r="M101">
        <v>8</v>
      </c>
      <c r="N101">
        <f t="shared" si="16"/>
        <v>64</v>
      </c>
      <c r="O101">
        <v>34.5</v>
      </c>
      <c r="P101" s="57">
        <v>22.5</v>
      </c>
      <c r="Q101" s="57">
        <v>1.813675E-2</v>
      </c>
      <c r="R101" s="57">
        <f t="shared" si="17"/>
        <v>8.4806099999999995E-3</v>
      </c>
      <c r="S101">
        <f t="shared" si="18"/>
        <v>946.17599999999993</v>
      </c>
      <c r="T101">
        <f t="shared" si="19"/>
        <v>1853.9788800000001</v>
      </c>
      <c r="V101" s="50">
        <v>8</v>
      </c>
    </row>
    <row r="102" spans="1:22" ht="15" thickBot="1" x14ac:dyDescent="0.4">
      <c r="A102" s="7" t="s">
        <v>205</v>
      </c>
      <c r="B102" s="5">
        <f>References!AB27*4</f>
        <v>9.6484000000000005</v>
      </c>
      <c r="C102" s="5">
        <f t="shared" si="12"/>
        <v>0.6794081666666667</v>
      </c>
      <c r="D102" s="5">
        <v>34.5</v>
      </c>
      <c r="E102" s="5">
        <v>24</v>
      </c>
      <c r="F102" s="5">
        <v>1.813675E-2</v>
      </c>
      <c r="G102" s="5">
        <f t="shared" si="13"/>
        <v>9.2932299999999995E-3</v>
      </c>
      <c r="H102" s="5">
        <f t="shared" si="14"/>
        <v>8.7745564725000005</v>
      </c>
      <c r="I102" s="14">
        <f t="shared" si="15"/>
        <v>18.025079130240002</v>
      </c>
      <c r="L102" s="28" t="s">
        <v>205</v>
      </c>
      <c r="N102">
        <f t="shared" si="16"/>
        <v>0</v>
      </c>
      <c r="O102">
        <v>34.5</v>
      </c>
      <c r="P102" s="28">
        <v>24</v>
      </c>
      <c r="Q102" s="57">
        <v>1.813675E-2</v>
      </c>
      <c r="R102" s="28">
        <f t="shared" si="17"/>
        <v>9.2932299999999995E-3</v>
      </c>
      <c r="S102">
        <f t="shared" si="18"/>
        <v>0</v>
      </c>
      <c r="T102">
        <f t="shared" si="19"/>
        <v>0</v>
      </c>
    </row>
    <row r="103" spans="1:22" ht="15" thickBot="1" x14ac:dyDescent="0.4">
      <c r="A103" s="7" t="s">
        <v>177</v>
      </c>
      <c r="B103" s="5">
        <f>References!AB28*4</f>
        <v>19.147600000000001</v>
      </c>
      <c r="C103" s="5">
        <f t="shared" si="12"/>
        <v>1.3483101666666666</v>
      </c>
      <c r="D103" s="5">
        <v>34.5</v>
      </c>
      <c r="E103" s="5">
        <v>24</v>
      </c>
      <c r="F103" s="5">
        <v>1.813675E-2</v>
      </c>
      <c r="G103" s="5">
        <f t="shared" si="13"/>
        <v>9.2932299999999995E-3</v>
      </c>
      <c r="H103" s="5">
        <f t="shared" si="14"/>
        <v>17.413425802500001</v>
      </c>
      <c r="I103" s="14">
        <f t="shared" si="15"/>
        <v>35.771423775359999</v>
      </c>
      <c r="L103" s="57" t="s">
        <v>177</v>
      </c>
      <c r="M103">
        <v>1</v>
      </c>
      <c r="N103">
        <f t="shared" si="16"/>
        <v>2.5</v>
      </c>
      <c r="O103">
        <v>34.5</v>
      </c>
      <c r="P103" s="57">
        <v>24</v>
      </c>
      <c r="Q103" s="57">
        <v>1.813675E-2</v>
      </c>
      <c r="R103" s="57">
        <f t="shared" si="17"/>
        <v>9.2932299999999995E-3</v>
      </c>
      <c r="S103">
        <f t="shared" si="18"/>
        <v>32.340000000000003</v>
      </c>
      <c r="T103">
        <f t="shared" si="19"/>
        <v>66.326400000000007</v>
      </c>
      <c r="V103" s="50">
        <v>2.5</v>
      </c>
    </row>
    <row r="104" spans="1:22" ht="15" thickBot="1" x14ac:dyDescent="0.4">
      <c r="A104" s="7" t="s">
        <v>178</v>
      </c>
      <c r="B104" s="5">
        <f>References!AB29*4</f>
        <v>9.8323999999999998</v>
      </c>
      <c r="C104" s="5">
        <f t="shared" si="12"/>
        <v>0.69236483333333332</v>
      </c>
      <c r="D104" s="5">
        <v>34.5</v>
      </c>
      <c r="E104" s="5">
        <v>24</v>
      </c>
      <c r="F104" s="5">
        <v>1.813675E-2</v>
      </c>
      <c r="G104" s="5">
        <f t="shared" si="13"/>
        <v>9.2932299999999995E-3</v>
      </c>
      <c r="H104" s="5">
        <f t="shared" si="14"/>
        <v>8.9418918224999988</v>
      </c>
      <c r="I104" s="14">
        <f t="shared" si="15"/>
        <v>18.368826752640004</v>
      </c>
      <c r="L104" s="28" t="s">
        <v>178</v>
      </c>
      <c r="M104">
        <v>1</v>
      </c>
      <c r="N104">
        <f t="shared" si="16"/>
        <v>2.5</v>
      </c>
      <c r="O104">
        <v>34.5</v>
      </c>
      <c r="P104" s="28">
        <v>24</v>
      </c>
      <c r="Q104" s="57">
        <v>1.813675E-2</v>
      </c>
      <c r="R104" s="28">
        <f t="shared" si="17"/>
        <v>9.2932299999999995E-3</v>
      </c>
      <c r="S104">
        <f t="shared" si="18"/>
        <v>32.340000000000003</v>
      </c>
      <c r="T104">
        <f t="shared" si="19"/>
        <v>66.326400000000007</v>
      </c>
      <c r="V104" s="50">
        <v>2.5</v>
      </c>
    </row>
    <row r="105" spans="1:22" ht="15" thickBot="1" x14ac:dyDescent="0.4">
      <c r="A105" s="7" t="s">
        <v>179</v>
      </c>
      <c r="B105" s="5">
        <f>References!AB30*4</f>
        <v>55.494</v>
      </c>
      <c r="C105" s="5">
        <f t="shared" si="12"/>
        <v>4.0695600000000001</v>
      </c>
      <c r="D105" s="5">
        <v>34.5</v>
      </c>
      <c r="E105" s="5">
        <v>22.5</v>
      </c>
      <c r="F105" s="5">
        <v>1.813675E-2</v>
      </c>
      <c r="G105" s="5">
        <f t="shared" si="13"/>
        <v>8.4806099999999995E-3</v>
      </c>
      <c r="H105" s="5">
        <f t="shared" si="14"/>
        <v>60.066705600000006</v>
      </c>
      <c r="I105" s="14">
        <f t="shared" si="15"/>
        <v>117.88872329520001</v>
      </c>
      <c r="L105" s="57" t="s">
        <v>179</v>
      </c>
      <c r="M105">
        <v>2</v>
      </c>
      <c r="N105">
        <f t="shared" si="16"/>
        <v>26</v>
      </c>
      <c r="O105">
        <v>34.5</v>
      </c>
      <c r="P105" s="57">
        <v>22.5</v>
      </c>
      <c r="Q105" s="57">
        <v>1.813675E-2</v>
      </c>
      <c r="R105" s="57">
        <f t="shared" si="17"/>
        <v>8.4806099999999995E-3</v>
      </c>
      <c r="S105">
        <f t="shared" si="18"/>
        <v>384.38399999999996</v>
      </c>
      <c r="T105">
        <f t="shared" si="19"/>
        <v>753.17892000000006</v>
      </c>
      <c r="V105" s="50">
        <v>13</v>
      </c>
    </row>
    <row r="106" spans="1:22" ht="15" thickBot="1" x14ac:dyDescent="0.4">
      <c r="A106" s="7" t="s">
        <v>214</v>
      </c>
      <c r="B106" s="5">
        <f>References!AB31*4</f>
        <v>10.47</v>
      </c>
      <c r="C106" s="5">
        <f t="shared" si="12"/>
        <v>0.73726250000000004</v>
      </c>
      <c r="D106" s="5">
        <v>34.5</v>
      </c>
      <c r="E106" s="5">
        <v>24</v>
      </c>
      <c r="F106" s="5">
        <v>1.813675E-2</v>
      </c>
      <c r="G106" s="5">
        <f t="shared" si="13"/>
        <v>9.2932299999999995E-3</v>
      </c>
      <c r="H106" s="5">
        <f t="shared" si="14"/>
        <v>9.5217451875000005</v>
      </c>
      <c r="I106" s="14">
        <f t="shared" si="15"/>
        <v>19.559986991999999</v>
      </c>
      <c r="L106" s="28" t="s">
        <v>214</v>
      </c>
      <c r="N106">
        <f>M106*V106</f>
        <v>0</v>
      </c>
      <c r="O106">
        <v>34.5</v>
      </c>
      <c r="P106" s="28">
        <v>24</v>
      </c>
      <c r="Q106" s="57">
        <v>1.813675E-2</v>
      </c>
      <c r="R106" s="28">
        <f t="shared" si="17"/>
        <v>9.2932299999999995E-3</v>
      </c>
      <c r="S106">
        <f t="shared" si="18"/>
        <v>0</v>
      </c>
      <c r="T106">
        <f t="shared" si="19"/>
        <v>0</v>
      </c>
    </row>
    <row r="107" spans="1:22" ht="15" thickBot="1" x14ac:dyDescent="0.4">
      <c r="A107" s="7" t="s">
        <v>180</v>
      </c>
      <c r="B107" s="5">
        <f>References!AB32*4</f>
        <v>55.571199999999997</v>
      </c>
      <c r="C107" s="5">
        <f t="shared" si="12"/>
        <v>4.0752213333333334</v>
      </c>
      <c r="D107" s="5">
        <v>34.5</v>
      </c>
      <c r="E107" s="5">
        <v>22.5</v>
      </c>
      <c r="F107" s="5">
        <v>1.813675E-2</v>
      </c>
      <c r="G107" s="5">
        <f t="shared" si="13"/>
        <v>8.4806099999999995E-3</v>
      </c>
      <c r="H107" s="5">
        <f t="shared" si="14"/>
        <v>60.150266880000004</v>
      </c>
      <c r="I107" s="14">
        <f t="shared" si="15"/>
        <v>118.05272317696001</v>
      </c>
      <c r="L107" s="57" t="s">
        <v>180</v>
      </c>
      <c r="M107">
        <v>2</v>
      </c>
      <c r="N107">
        <f t="shared" si="16"/>
        <v>26</v>
      </c>
      <c r="O107">
        <v>34.5</v>
      </c>
      <c r="P107" s="57">
        <v>22.5</v>
      </c>
      <c r="Q107" s="57">
        <v>1.813675E-2</v>
      </c>
      <c r="R107" s="57">
        <f t="shared" si="17"/>
        <v>8.4806099999999995E-3</v>
      </c>
      <c r="S107">
        <f t="shared" si="18"/>
        <v>384.38399999999996</v>
      </c>
      <c r="T107">
        <f t="shared" si="19"/>
        <v>753.17892000000006</v>
      </c>
      <c r="V107" s="50">
        <v>13</v>
      </c>
    </row>
    <row r="108" spans="1:22" ht="15" thickBot="1" x14ac:dyDescent="0.4">
      <c r="A108" s="7" t="s">
        <v>215</v>
      </c>
      <c r="B108" s="5">
        <f>References!AB33*4</f>
        <v>10.47</v>
      </c>
      <c r="C108" s="5">
        <f t="shared" si="12"/>
        <v>0.73726250000000004</v>
      </c>
      <c r="D108" s="5">
        <v>34.5</v>
      </c>
      <c r="E108" s="5">
        <v>24</v>
      </c>
      <c r="F108" s="5">
        <v>1.813675E-2</v>
      </c>
      <c r="G108" s="5">
        <f t="shared" si="13"/>
        <v>9.2932299999999995E-3</v>
      </c>
      <c r="H108" s="5">
        <f t="shared" si="14"/>
        <v>9.5217451875000005</v>
      </c>
      <c r="I108" s="14">
        <f t="shared" si="15"/>
        <v>19.559986991999999</v>
      </c>
      <c r="L108" s="28" t="s">
        <v>215</v>
      </c>
      <c r="N108">
        <f t="shared" si="16"/>
        <v>0</v>
      </c>
      <c r="O108">
        <v>34.5</v>
      </c>
      <c r="P108" s="28">
        <v>24</v>
      </c>
      <c r="Q108" s="57">
        <v>1.813675E-2</v>
      </c>
      <c r="R108" s="28">
        <f t="shared" si="17"/>
        <v>9.2932299999999995E-3</v>
      </c>
      <c r="S108">
        <f t="shared" si="18"/>
        <v>0</v>
      </c>
      <c r="T108">
        <f t="shared" si="19"/>
        <v>0</v>
      </c>
    </row>
    <row r="109" spans="1:22" ht="15" thickBot="1" x14ac:dyDescent="0.4">
      <c r="A109" s="7" t="s">
        <v>181</v>
      </c>
      <c r="B109" s="5">
        <f>References!AB34*4</f>
        <v>54.8264</v>
      </c>
      <c r="C109" s="5">
        <f t="shared" si="12"/>
        <v>4.0206026666666661</v>
      </c>
      <c r="D109" s="5">
        <v>34.5</v>
      </c>
      <c r="E109" s="5">
        <v>22.5</v>
      </c>
      <c r="F109" s="5">
        <v>1.813675E-2</v>
      </c>
      <c r="G109" s="5">
        <f t="shared" si="13"/>
        <v>8.4806099999999995E-3</v>
      </c>
      <c r="H109" s="5">
        <f t="shared" si="14"/>
        <v>59.34409535999999</v>
      </c>
      <c r="I109" s="14">
        <f t="shared" si="15"/>
        <v>116.47050670112</v>
      </c>
      <c r="L109" s="57" t="s">
        <v>181</v>
      </c>
      <c r="M109">
        <v>3</v>
      </c>
      <c r="N109">
        <f t="shared" si="16"/>
        <v>39</v>
      </c>
      <c r="O109">
        <v>34.5</v>
      </c>
      <c r="P109" s="57">
        <v>22.5</v>
      </c>
      <c r="Q109" s="57">
        <v>1.813675E-2</v>
      </c>
      <c r="R109" s="57">
        <f t="shared" si="17"/>
        <v>8.4806099999999995E-3</v>
      </c>
      <c r="S109">
        <f t="shared" si="18"/>
        <v>576.57600000000002</v>
      </c>
      <c r="T109">
        <f t="shared" si="19"/>
        <v>1129.76838</v>
      </c>
      <c r="V109" s="50">
        <v>13</v>
      </c>
    </row>
    <row r="110" spans="1:22" ht="15" thickBot="1" x14ac:dyDescent="0.4">
      <c r="A110" s="7" t="s">
        <v>216</v>
      </c>
      <c r="B110" s="5">
        <f>References!AB35*4</f>
        <v>10.485200000000001</v>
      </c>
      <c r="C110" s="5">
        <f t="shared" si="12"/>
        <v>0.73833283333333333</v>
      </c>
      <c r="D110" s="5">
        <v>34.5</v>
      </c>
      <c r="E110" s="5">
        <v>24</v>
      </c>
      <c r="F110" s="5">
        <v>1.813675E-2</v>
      </c>
      <c r="G110" s="5">
        <f t="shared" si="13"/>
        <v>9.2932299999999995E-3</v>
      </c>
      <c r="H110" s="5">
        <f t="shared" si="14"/>
        <v>9.5355685425000001</v>
      </c>
      <c r="I110" s="14">
        <f t="shared" si="15"/>
        <v>19.588383534720002</v>
      </c>
      <c r="L110" s="28" t="s">
        <v>216</v>
      </c>
      <c r="N110">
        <f t="shared" si="16"/>
        <v>0</v>
      </c>
      <c r="O110">
        <v>34.5</v>
      </c>
      <c r="P110" s="28">
        <v>24</v>
      </c>
      <c r="Q110" s="57">
        <v>1.813675E-2</v>
      </c>
      <c r="R110" s="28">
        <f t="shared" si="17"/>
        <v>9.2932299999999995E-3</v>
      </c>
      <c r="S110">
        <f t="shared" si="18"/>
        <v>0</v>
      </c>
      <c r="T110">
        <f t="shared" si="19"/>
        <v>0</v>
      </c>
    </row>
    <row r="111" spans="1:22" ht="15" thickBot="1" x14ac:dyDescent="0.4">
      <c r="A111" s="7" t="s">
        <v>182</v>
      </c>
      <c r="B111" s="5">
        <f>References!AB36*4</f>
        <v>44.208799999999997</v>
      </c>
      <c r="C111" s="5">
        <f t="shared" si="12"/>
        <v>3.2419786666666668</v>
      </c>
      <c r="D111" s="5">
        <v>34.5</v>
      </c>
      <c r="E111" s="5">
        <v>22.5</v>
      </c>
      <c r="F111" s="5">
        <v>1.813675E-2</v>
      </c>
      <c r="G111" s="5">
        <f t="shared" si="13"/>
        <v>8.4806099999999995E-3</v>
      </c>
      <c r="H111" s="5">
        <f t="shared" si="14"/>
        <v>47.851605120000002</v>
      </c>
      <c r="I111" s="14">
        <f t="shared" si="15"/>
        <v>93.914999647040005</v>
      </c>
      <c r="L111" s="57" t="s">
        <v>182</v>
      </c>
      <c r="M111">
        <v>5</v>
      </c>
      <c r="N111">
        <f t="shared" si="16"/>
        <v>65</v>
      </c>
      <c r="O111">
        <v>34.5</v>
      </c>
      <c r="P111" s="57">
        <v>22.5</v>
      </c>
      <c r="Q111" s="57">
        <v>1.813675E-2</v>
      </c>
      <c r="R111" s="57">
        <f t="shared" si="17"/>
        <v>8.4806099999999995E-3</v>
      </c>
      <c r="S111">
        <f t="shared" si="18"/>
        <v>960.96</v>
      </c>
      <c r="T111">
        <f t="shared" si="19"/>
        <v>1882.9473</v>
      </c>
      <c r="V111" s="50">
        <v>13</v>
      </c>
    </row>
    <row r="112" spans="1:22" ht="15" thickBot="1" x14ac:dyDescent="0.4">
      <c r="A112" s="7" t="s">
        <v>183</v>
      </c>
      <c r="B112" s="5">
        <f>References!AB37*4</f>
        <v>54.725200000000001</v>
      </c>
      <c r="C112" s="5">
        <f t="shared" si="12"/>
        <v>4.0131813333333337</v>
      </c>
      <c r="D112" s="5">
        <v>34.5</v>
      </c>
      <c r="E112" s="5">
        <v>22.5</v>
      </c>
      <c r="F112" s="5">
        <v>1.813675E-2</v>
      </c>
      <c r="G112" s="5">
        <f t="shared" si="13"/>
        <v>8.4806099999999995E-3</v>
      </c>
      <c r="H112" s="5">
        <f t="shared" si="14"/>
        <v>59.234556480000002</v>
      </c>
      <c r="I112" s="14">
        <f t="shared" si="15"/>
        <v>116.25552240016002</v>
      </c>
      <c r="L112" s="28" t="s">
        <v>183</v>
      </c>
      <c r="M112">
        <v>2</v>
      </c>
      <c r="N112">
        <f t="shared" si="16"/>
        <v>26</v>
      </c>
      <c r="O112">
        <v>34.5</v>
      </c>
      <c r="P112" s="28">
        <v>22.5</v>
      </c>
      <c r="Q112" s="57">
        <v>1.813675E-2</v>
      </c>
      <c r="R112" s="28">
        <f t="shared" si="17"/>
        <v>8.4806099999999995E-3</v>
      </c>
      <c r="S112">
        <f t="shared" si="18"/>
        <v>384.38399999999996</v>
      </c>
      <c r="T112">
        <f t="shared" si="19"/>
        <v>753.17892000000006</v>
      </c>
      <c r="V112" s="50">
        <v>13</v>
      </c>
    </row>
    <row r="113" spans="1:22" ht="15" thickBot="1" x14ac:dyDescent="0.4">
      <c r="A113" s="7" t="s">
        <v>217</v>
      </c>
      <c r="B113" s="5">
        <f>References!AB38*4</f>
        <v>10.56</v>
      </c>
      <c r="C113" s="5">
        <f t="shared" si="12"/>
        <v>0.74360000000000004</v>
      </c>
      <c r="D113" s="5">
        <v>34.5</v>
      </c>
      <c r="E113" s="5">
        <v>24</v>
      </c>
      <c r="F113" s="5">
        <v>1.813675E-2</v>
      </c>
      <c r="G113" s="5">
        <f t="shared" si="13"/>
        <v>9.2932299999999995E-3</v>
      </c>
      <c r="H113" s="5">
        <f t="shared" si="14"/>
        <v>9.6035939999999993</v>
      </c>
      <c r="I113" s="14">
        <f t="shared" si="15"/>
        <v>19.728124416000004</v>
      </c>
      <c r="L113" s="57" t="s">
        <v>217</v>
      </c>
      <c r="N113">
        <f t="shared" si="16"/>
        <v>0</v>
      </c>
      <c r="O113">
        <v>34.5</v>
      </c>
      <c r="P113" s="57">
        <v>24</v>
      </c>
      <c r="Q113" s="57">
        <v>1.813675E-2</v>
      </c>
      <c r="R113" s="57">
        <f t="shared" si="17"/>
        <v>9.2932299999999995E-3</v>
      </c>
      <c r="S113">
        <f t="shared" si="18"/>
        <v>0</v>
      </c>
      <c r="T113">
        <f t="shared" si="19"/>
        <v>0</v>
      </c>
    </row>
    <row r="114" spans="1:22" ht="15" thickBot="1" x14ac:dyDescent="0.4">
      <c r="A114" s="7" t="s">
        <v>143</v>
      </c>
      <c r="B114" s="5">
        <f>References!AB39*4</f>
        <v>74.927599999999998</v>
      </c>
      <c r="C114" s="5">
        <f t="shared" ref="C114:C142" si="20">((0.15+0.01*3+0.007*(D114-E114))*B114)/3.6</f>
        <v>5.4946906666666662</v>
      </c>
      <c r="D114" s="5">
        <v>34.5</v>
      </c>
      <c r="E114" s="5">
        <v>22.5</v>
      </c>
      <c r="F114" s="5">
        <v>1.813675E-2</v>
      </c>
      <c r="G114" s="5">
        <f t="shared" si="13"/>
        <v>8.4806099999999995E-3</v>
      </c>
      <c r="H114" s="5">
        <f t="shared" si="14"/>
        <v>81.101634239999996</v>
      </c>
      <c r="I114" s="14">
        <f t="shared" si="15"/>
        <v>159.17250700208001</v>
      </c>
      <c r="L114" s="28" t="s">
        <v>143</v>
      </c>
      <c r="M114">
        <v>4</v>
      </c>
      <c r="N114">
        <f t="shared" si="16"/>
        <v>0</v>
      </c>
      <c r="O114">
        <v>34.5</v>
      </c>
      <c r="P114" s="28">
        <v>22.5</v>
      </c>
      <c r="Q114" s="57">
        <v>1.813675E-2</v>
      </c>
      <c r="R114" s="28">
        <f t="shared" si="17"/>
        <v>8.4806099999999995E-3</v>
      </c>
      <c r="S114">
        <f t="shared" si="18"/>
        <v>0</v>
      </c>
      <c r="T114">
        <f t="shared" si="19"/>
        <v>0</v>
      </c>
    </row>
    <row r="115" spans="1:22" ht="15" thickBot="1" x14ac:dyDescent="0.4">
      <c r="A115" s="7" t="s">
        <v>218</v>
      </c>
      <c r="B115" s="5">
        <f>References!AB40*4</f>
        <v>27.718399999999999</v>
      </c>
      <c r="C115" s="5">
        <f t="shared" si="20"/>
        <v>1.9518373333333332</v>
      </c>
      <c r="D115" s="5">
        <v>34.5</v>
      </c>
      <c r="E115" s="5">
        <v>24</v>
      </c>
      <c r="F115" s="5">
        <v>1.813675E-2</v>
      </c>
      <c r="G115" s="5">
        <f t="shared" si="13"/>
        <v>9.2932299999999995E-3</v>
      </c>
      <c r="H115" s="5">
        <f t="shared" si="14"/>
        <v>25.207979159999997</v>
      </c>
      <c r="I115" s="14">
        <f t="shared" si="15"/>
        <v>51.78333748224</v>
      </c>
      <c r="L115" s="57" t="s">
        <v>218</v>
      </c>
      <c r="N115">
        <f t="shared" si="16"/>
        <v>0</v>
      </c>
      <c r="O115">
        <v>34.5</v>
      </c>
      <c r="P115" s="57">
        <v>24</v>
      </c>
      <c r="Q115" s="57">
        <v>1.813675E-2</v>
      </c>
      <c r="R115" s="57">
        <f t="shared" si="17"/>
        <v>9.2932299999999995E-3</v>
      </c>
      <c r="S115">
        <f t="shared" si="18"/>
        <v>0</v>
      </c>
      <c r="T115">
        <f t="shared" si="19"/>
        <v>0</v>
      </c>
    </row>
    <row r="116" spans="1:22" ht="15" thickBot="1" x14ac:dyDescent="0.4">
      <c r="A116" s="7" t="s">
        <v>184</v>
      </c>
      <c r="B116" s="5">
        <f>References!AB41*4</f>
        <v>101.488</v>
      </c>
      <c r="C116" s="5">
        <f t="shared" si="20"/>
        <v>7.4424533333333329</v>
      </c>
      <c r="D116" s="5">
        <v>34.5</v>
      </c>
      <c r="E116" s="5">
        <v>22.5</v>
      </c>
      <c r="F116" s="5">
        <v>1.813675E-2</v>
      </c>
      <c r="G116" s="5">
        <f t="shared" si="13"/>
        <v>8.4806099999999995E-3</v>
      </c>
      <c r="H116" s="5">
        <f t="shared" si="14"/>
        <v>109.85061119999999</v>
      </c>
      <c r="I116" s="14">
        <f t="shared" si="15"/>
        <v>215.59611399040003</v>
      </c>
      <c r="L116" s="28" t="s">
        <v>184</v>
      </c>
      <c r="M116">
        <v>3</v>
      </c>
      <c r="N116">
        <f t="shared" si="16"/>
        <v>39</v>
      </c>
      <c r="O116">
        <v>34.5</v>
      </c>
      <c r="P116" s="28">
        <v>22.5</v>
      </c>
      <c r="Q116" s="57">
        <v>1.813675E-2</v>
      </c>
      <c r="R116" s="28">
        <f t="shared" si="17"/>
        <v>8.4806099999999995E-3</v>
      </c>
      <c r="S116">
        <f t="shared" si="18"/>
        <v>576.57600000000002</v>
      </c>
      <c r="T116">
        <f t="shared" si="19"/>
        <v>1129.76838</v>
      </c>
      <c r="V116" s="50">
        <v>13</v>
      </c>
    </row>
    <row r="117" spans="1:22" ht="15" thickBot="1" x14ac:dyDescent="0.4">
      <c r="A117" s="7" t="s">
        <v>219</v>
      </c>
      <c r="B117" s="5">
        <f>References!AB42*4</f>
        <v>10.434799999999999</v>
      </c>
      <c r="C117" s="5">
        <f t="shared" si="20"/>
        <v>0.7347838333333333</v>
      </c>
      <c r="D117" s="5">
        <v>34.5</v>
      </c>
      <c r="E117" s="5">
        <v>24</v>
      </c>
      <c r="F117" s="5">
        <v>1.813675E-2</v>
      </c>
      <c r="G117" s="5">
        <f t="shared" si="13"/>
        <v>9.2932299999999995E-3</v>
      </c>
      <c r="H117" s="5">
        <f t="shared" si="14"/>
        <v>9.4897332075000005</v>
      </c>
      <c r="I117" s="14">
        <f t="shared" si="15"/>
        <v>19.494226577279999</v>
      </c>
      <c r="L117" s="57" t="s">
        <v>219</v>
      </c>
      <c r="N117">
        <f t="shared" si="16"/>
        <v>0</v>
      </c>
      <c r="O117">
        <v>34.5</v>
      </c>
      <c r="P117" s="57">
        <v>24</v>
      </c>
      <c r="Q117" s="57">
        <v>1.813675E-2</v>
      </c>
      <c r="R117" s="57">
        <f t="shared" si="17"/>
        <v>9.2932299999999995E-3</v>
      </c>
      <c r="S117">
        <f t="shared" si="18"/>
        <v>0</v>
      </c>
      <c r="T117">
        <f t="shared" si="19"/>
        <v>0</v>
      </c>
    </row>
    <row r="118" spans="1:22" ht="15" thickBot="1" x14ac:dyDescent="0.4">
      <c r="A118" s="7" t="s">
        <v>185</v>
      </c>
      <c r="B118" s="5">
        <f>References!AB43*4</f>
        <v>26.4604</v>
      </c>
      <c r="C118" s="5">
        <f t="shared" si="20"/>
        <v>1.9404293333333333</v>
      </c>
      <c r="D118" s="5">
        <v>34.5</v>
      </c>
      <c r="E118" s="5">
        <v>22.5</v>
      </c>
      <c r="F118" s="5">
        <v>1.813675E-2</v>
      </c>
      <c r="G118" s="5">
        <f t="shared" si="13"/>
        <v>8.4806099999999995E-3</v>
      </c>
      <c r="H118" s="5">
        <f t="shared" si="14"/>
        <v>28.640736960000002</v>
      </c>
      <c r="I118" s="14">
        <f t="shared" si="15"/>
        <v>56.211171908320004</v>
      </c>
      <c r="L118" s="28" t="s">
        <v>185</v>
      </c>
      <c r="N118">
        <f t="shared" si="16"/>
        <v>0</v>
      </c>
      <c r="O118">
        <v>34.5</v>
      </c>
      <c r="P118" s="28">
        <v>22.5</v>
      </c>
      <c r="Q118" s="57">
        <v>1.813675E-2</v>
      </c>
      <c r="R118" s="28">
        <f t="shared" si="17"/>
        <v>8.4806099999999995E-3</v>
      </c>
      <c r="S118">
        <f t="shared" si="18"/>
        <v>0</v>
      </c>
      <c r="T118">
        <f t="shared" si="19"/>
        <v>0</v>
      </c>
      <c r="V118" s="67"/>
    </row>
    <row r="119" spans="1:22" ht="15" thickBot="1" x14ac:dyDescent="0.4">
      <c r="A119" s="7" t="s">
        <v>186</v>
      </c>
      <c r="B119" s="5">
        <f>References!AB44*4</f>
        <v>101.92</v>
      </c>
      <c r="C119" s="5">
        <f t="shared" si="20"/>
        <v>7.4741333333333335</v>
      </c>
      <c r="D119" s="5">
        <v>34.5</v>
      </c>
      <c r="E119" s="5">
        <v>22.5</v>
      </c>
      <c r="F119" s="5">
        <v>1.813675E-2</v>
      </c>
      <c r="G119" s="5">
        <f t="shared" si="13"/>
        <v>8.4806099999999995E-3</v>
      </c>
      <c r="H119" s="5">
        <f t="shared" si="14"/>
        <v>110.318208</v>
      </c>
      <c r="I119" s="14">
        <f t="shared" si="15"/>
        <v>216.51383353600002</v>
      </c>
      <c r="L119" s="57" t="s">
        <v>186</v>
      </c>
      <c r="M119">
        <v>3</v>
      </c>
      <c r="N119">
        <f t="shared" si="16"/>
        <v>39</v>
      </c>
      <c r="O119">
        <v>34.5</v>
      </c>
      <c r="P119" s="57">
        <v>22.5</v>
      </c>
      <c r="Q119" s="57">
        <v>1.813675E-2</v>
      </c>
      <c r="R119" s="57">
        <f t="shared" si="17"/>
        <v>8.4806099999999995E-3</v>
      </c>
      <c r="S119">
        <f t="shared" si="18"/>
        <v>576.57600000000002</v>
      </c>
      <c r="T119">
        <f t="shared" si="19"/>
        <v>1129.76838</v>
      </c>
      <c r="V119" s="50">
        <v>13</v>
      </c>
    </row>
    <row r="120" spans="1:22" ht="15" thickBot="1" x14ac:dyDescent="0.4">
      <c r="A120" s="7" t="s">
        <v>220</v>
      </c>
      <c r="B120" s="5">
        <f>References!AB45*4</f>
        <v>10.434799999999999</v>
      </c>
      <c r="C120" s="5">
        <f t="shared" si="20"/>
        <v>0.7347838333333333</v>
      </c>
      <c r="D120" s="5">
        <v>34.5</v>
      </c>
      <c r="E120" s="5">
        <v>24</v>
      </c>
      <c r="F120" s="5">
        <v>1.813675E-2</v>
      </c>
      <c r="G120" s="5">
        <f t="shared" si="13"/>
        <v>9.2932299999999995E-3</v>
      </c>
      <c r="H120" s="5">
        <f>1.23*C120*(D120-E120)</f>
        <v>9.4897332075000005</v>
      </c>
      <c r="I120" s="14">
        <f t="shared" si="15"/>
        <v>19.494226577279999</v>
      </c>
      <c r="L120" s="28" t="s">
        <v>220</v>
      </c>
      <c r="N120">
        <f t="shared" si="16"/>
        <v>0</v>
      </c>
      <c r="O120">
        <v>34.5</v>
      </c>
      <c r="P120" s="28">
        <v>24</v>
      </c>
      <c r="Q120" s="57">
        <v>1.813675E-2</v>
      </c>
      <c r="R120" s="28">
        <f t="shared" si="17"/>
        <v>9.2932299999999995E-3</v>
      </c>
      <c r="S120">
        <f t="shared" si="18"/>
        <v>0</v>
      </c>
      <c r="T120">
        <f t="shared" si="19"/>
        <v>0</v>
      </c>
    </row>
    <row r="121" spans="1:22" ht="15" thickBot="1" x14ac:dyDescent="0.4">
      <c r="A121" s="7" t="s">
        <v>187</v>
      </c>
      <c r="B121" s="5">
        <f>References!AB46*4</f>
        <v>55.004800000000003</v>
      </c>
      <c r="C121" s="5">
        <f t="shared" si="20"/>
        <v>4.0336853333333336</v>
      </c>
      <c r="D121" s="5">
        <v>34.5</v>
      </c>
      <c r="E121" s="5">
        <v>22.5</v>
      </c>
      <c r="F121" s="5">
        <v>1.813675E-2</v>
      </c>
      <c r="G121" s="5">
        <f t="shared" si="13"/>
        <v>8.4806099999999995E-3</v>
      </c>
      <c r="H121" s="5">
        <f t="shared" si="14"/>
        <v>59.537195519999997</v>
      </c>
      <c r="I121" s="14">
        <f t="shared" si="15"/>
        <v>116.84949088384001</v>
      </c>
      <c r="L121" s="57" t="s">
        <v>187</v>
      </c>
      <c r="M121">
        <v>2</v>
      </c>
      <c r="N121">
        <f t="shared" si="16"/>
        <v>26</v>
      </c>
      <c r="O121">
        <v>34.5</v>
      </c>
      <c r="P121" s="57">
        <v>22.5</v>
      </c>
      <c r="Q121" s="57">
        <v>1.813675E-2</v>
      </c>
      <c r="R121" s="57">
        <f t="shared" si="17"/>
        <v>8.4806099999999995E-3</v>
      </c>
      <c r="S121">
        <f t="shared" si="18"/>
        <v>384.38399999999996</v>
      </c>
      <c r="T121">
        <f t="shared" si="19"/>
        <v>753.17892000000006</v>
      </c>
      <c r="V121" s="50">
        <v>13</v>
      </c>
    </row>
    <row r="122" spans="1:22" ht="15" thickBot="1" x14ac:dyDescent="0.4">
      <c r="A122" s="7" t="s">
        <v>221</v>
      </c>
      <c r="B122" s="5">
        <f>References!AB47*4</f>
        <v>10.56</v>
      </c>
      <c r="C122" s="5">
        <f t="shared" si="20"/>
        <v>0.74360000000000004</v>
      </c>
      <c r="D122" s="5">
        <v>34.5</v>
      </c>
      <c r="E122" s="5">
        <v>24</v>
      </c>
      <c r="F122" s="5">
        <v>1.813675E-2</v>
      </c>
      <c r="G122" s="5">
        <f t="shared" si="13"/>
        <v>9.2932299999999995E-3</v>
      </c>
      <c r="H122" s="5">
        <f t="shared" si="14"/>
        <v>9.6035939999999993</v>
      </c>
      <c r="I122" s="14">
        <f t="shared" si="15"/>
        <v>19.728124416000004</v>
      </c>
      <c r="L122" s="28" t="s">
        <v>221</v>
      </c>
      <c r="N122">
        <f>M122*V122</f>
        <v>0</v>
      </c>
      <c r="O122">
        <v>34.5</v>
      </c>
      <c r="P122" s="28">
        <v>24</v>
      </c>
      <c r="Q122" s="57">
        <v>1.813675E-2</v>
      </c>
      <c r="R122" s="28">
        <f t="shared" si="17"/>
        <v>9.2932299999999995E-3</v>
      </c>
      <c r="S122">
        <f t="shared" si="18"/>
        <v>0</v>
      </c>
      <c r="T122">
        <f t="shared" si="19"/>
        <v>0</v>
      </c>
    </row>
    <row r="123" spans="1:22" ht="15" thickBot="1" x14ac:dyDescent="0.4">
      <c r="A123" s="7" t="s">
        <v>142</v>
      </c>
      <c r="B123" s="5">
        <f>References!AB48*4</f>
        <v>153.81479999999999</v>
      </c>
      <c r="C123" s="5">
        <f t="shared" si="20"/>
        <v>11.279752</v>
      </c>
      <c r="D123" s="5">
        <v>34.5</v>
      </c>
      <c r="E123" s="5">
        <v>22.5</v>
      </c>
      <c r="F123" s="5">
        <v>1.813675E-2</v>
      </c>
      <c r="G123" s="5">
        <f t="shared" si="13"/>
        <v>8.4806099999999995E-3</v>
      </c>
      <c r="H123" s="5">
        <f t="shared" si="14"/>
        <v>166.48913952000001</v>
      </c>
      <c r="I123" s="14">
        <f t="shared" si="15"/>
        <v>326.75659343184003</v>
      </c>
      <c r="L123" s="57" t="s">
        <v>142</v>
      </c>
      <c r="M123">
        <v>20</v>
      </c>
      <c r="N123">
        <f t="shared" si="16"/>
        <v>260</v>
      </c>
      <c r="O123">
        <v>34.5</v>
      </c>
      <c r="P123" s="57">
        <v>22.5</v>
      </c>
      <c r="Q123" s="57">
        <v>1.813675E-2</v>
      </c>
      <c r="R123" s="57">
        <f t="shared" si="17"/>
        <v>8.4806099999999995E-3</v>
      </c>
      <c r="S123">
        <f t="shared" si="18"/>
        <v>3843.84</v>
      </c>
      <c r="T123">
        <f t="shared" si="19"/>
        <v>7531.7892000000002</v>
      </c>
      <c r="V123" s="50">
        <v>13</v>
      </c>
    </row>
    <row r="124" spans="1:22" ht="15" thickBot="1" x14ac:dyDescent="0.4">
      <c r="A124" s="7" t="s">
        <v>188</v>
      </c>
      <c r="B124" s="5">
        <f>References!AB49*4</f>
        <v>101.488</v>
      </c>
      <c r="C124" s="5">
        <f t="shared" si="20"/>
        <v>7.4424533333333329</v>
      </c>
      <c r="D124" s="5">
        <v>34.5</v>
      </c>
      <c r="E124" s="5">
        <v>22.5</v>
      </c>
      <c r="F124" s="5">
        <v>1.813675E-2</v>
      </c>
      <c r="G124" s="5">
        <f t="shared" si="13"/>
        <v>8.4806099999999995E-3</v>
      </c>
      <c r="H124" s="5">
        <f t="shared" si="14"/>
        <v>109.85061119999999</v>
      </c>
      <c r="I124" s="14">
        <f t="shared" si="15"/>
        <v>215.59611399040003</v>
      </c>
      <c r="L124" s="28" t="s">
        <v>188</v>
      </c>
      <c r="M124">
        <v>3</v>
      </c>
      <c r="N124">
        <f t="shared" si="16"/>
        <v>39</v>
      </c>
      <c r="O124">
        <v>34.5</v>
      </c>
      <c r="P124" s="28">
        <v>22.5</v>
      </c>
      <c r="Q124" s="57">
        <v>1.813675E-2</v>
      </c>
      <c r="R124" s="28">
        <f t="shared" si="17"/>
        <v>8.4806099999999995E-3</v>
      </c>
      <c r="S124">
        <f t="shared" si="18"/>
        <v>576.57600000000002</v>
      </c>
      <c r="T124">
        <f t="shared" si="19"/>
        <v>1129.76838</v>
      </c>
      <c r="V124" s="50">
        <v>13</v>
      </c>
    </row>
    <row r="125" spans="1:22" ht="15" thickBot="1" x14ac:dyDescent="0.4">
      <c r="A125" s="7" t="s">
        <v>222</v>
      </c>
      <c r="B125" s="5">
        <f>References!AB50*4</f>
        <v>10.434799999999999</v>
      </c>
      <c r="C125" s="5">
        <f t="shared" si="20"/>
        <v>0.7347838333333333</v>
      </c>
      <c r="D125" s="5">
        <v>34.5</v>
      </c>
      <c r="E125" s="5">
        <v>24</v>
      </c>
      <c r="F125" s="5">
        <v>1.813675E-2</v>
      </c>
      <c r="G125" s="5">
        <f t="shared" si="13"/>
        <v>9.2932299999999995E-3</v>
      </c>
      <c r="H125" s="5">
        <f t="shared" si="14"/>
        <v>9.4897332075000005</v>
      </c>
      <c r="I125" s="14">
        <f t="shared" si="15"/>
        <v>19.494226577279999</v>
      </c>
      <c r="L125" s="57" t="s">
        <v>222</v>
      </c>
      <c r="N125">
        <f t="shared" si="16"/>
        <v>0</v>
      </c>
      <c r="O125">
        <v>34.5</v>
      </c>
      <c r="P125" s="57">
        <v>24</v>
      </c>
      <c r="Q125" s="57">
        <v>1.813675E-2</v>
      </c>
      <c r="R125" s="57">
        <f t="shared" si="17"/>
        <v>9.2932299999999995E-3</v>
      </c>
      <c r="S125">
        <f t="shared" si="18"/>
        <v>0</v>
      </c>
      <c r="T125">
        <f t="shared" si="19"/>
        <v>0</v>
      </c>
    </row>
    <row r="126" spans="1:22" ht="15" thickBot="1" x14ac:dyDescent="0.4">
      <c r="A126" s="7" t="s">
        <v>189</v>
      </c>
      <c r="B126" s="5">
        <f>References!AB51*4</f>
        <v>101.92</v>
      </c>
      <c r="C126" s="5">
        <f t="shared" si="20"/>
        <v>7.4741333333333335</v>
      </c>
      <c r="D126" s="5">
        <v>34.5</v>
      </c>
      <c r="E126" s="5">
        <v>22.5</v>
      </c>
      <c r="F126" s="5">
        <v>1.813675E-2</v>
      </c>
      <c r="G126" s="5">
        <f t="shared" si="13"/>
        <v>8.4806099999999995E-3</v>
      </c>
      <c r="H126" s="5">
        <f t="shared" si="14"/>
        <v>110.318208</v>
      </c>
      <c r="I126" s="14">
        <f t="shared" si="15"/>
        <v>216.51383353600002</v>
      </c>
      <c r="L126" s="28" t="s">
        <v>189</v>
      </c>
      <c r="M126">
        <v>3</v>
      </c>
      <c r="N126">
        <f t="shared" si="16"/>
        <v>39</v>
      </c>
      <c r="O126">
        <v>34.5</v>
      </c>
      <c r="P126" s="28">
        <v>22.5</v>
      </c>
      <c r="Q126" s="57">
        <v>1.813675E-2</v>
      </c>
      <c r="R126" s="28">
        <f t="shared" si="17"/>
        <v>8.4806099999999995E-3</v>
      </c>
      <c r="S126">
        <f t="shared" si="18"/>
        <v>576.57600000000002</v>
      </c>
      <c r="T126">
        <f t="shared" si="19"/>
        <v>1129.76838</v>
      </c>
      <c r="V126" s="50">
        <v>13</v>
      </c>
    </row>
    <row r="127" spans="1:22" ht="15" thickBot="1" x14ac:dyDescent="0.4">
      <c r="A127" s="7" t="s">
        <v>223</v>
      </c>
      <c r="B127" s="5">
        <f>References!AB52*4</f>
        <v>10.434799999999999</v>
      </c>
      <c r="C127" s="5">
        <f t="shared" si="20"/>
        <v>0.7347838333333333</v>
      </c>
      <c r="D127" s="5">
        <v>34.5</v>
      </c>
      <c r="E127" s="5">
        <v>24</v>
      </c>
      <c r="F127" s="5">
        <v>1.813675E-2</v>
      </c>
      <c r="G127" s="5">
        <f t="shared" si="13"/>
        <v>9.2932299999999995E-3</v>
      </c>
      <c r="H127" s="5">
        <f t="shared" si="14"/>
        <v>9.4897332075000005</v>
      </c>
      <c r="I127" s="14">
        <f t="shared" si="15"/>
        <v>19.494226577279999</v>
      </c>
      <c r="L127" s="57" t="s">
        <v>223</v>
      </c>
      <c r="N127">
        <f t="shared" si="16"/>
        <v>0</v>
      </c>
      <c r="O127">
        <v>34.5</v>
      </c>
      <c r="P127" s="57">
        <v>24</v>
      </c>
      <c r="Q127" s="57">
        <v>1.813675E-2</v>
      </c>
      <c r="R127" s="57">
        <f t="shared" si="17"/>
        <v>9.2932299999999995E-3</v>
      </c>
      <c r="S127">
        <f t="shared" si="18"/>
        <v>0</v>
      </c>
      <c r="T127">
        <f t="shared" si="19"/>
        <v>0</v>
      </c>
    </row>
    <row r="128" spans="1:22" ht="15" thickBot="1" x14ac:dyDescent="0.4">
      <c r="A128" s="7" t="s">
        <v>190</v>
      </c>
      <c r="B128" s="5">
        <f>References!AB53*4</f>
        <v>55.004800000000003</v>
      </c>
      <c r="C128" s="5">
        <f t="shared" si="20"/>
        <v>4.0336853333333336</v>
      </c>
      <c r="D128" s="5">
        <v>34.5</v>
      </c>
      <c r="E128" s="5">
        <v>22.5</v>
      </c>
      <c r="F128" s="5">
        <v>1.813675E-2</v>
      </c>
      <c r="G128" s="5">
        <f t="shared" si="13"/>
        <v>8.4806099999999995E-3</v>
      </c>
      <c r="H128" s="5">
        <f t="shared" si="14"/>
        <v>59.537195519999997</v>
      </c>
      <c r="I128" s="14">
        <f t="shared" si="15"/>
        <v>116.84949088384001</v>
      </c>
      <c r="L128" s="28" t="s">
        <v>190</v>
      </c>
      <c r="M128">
        <v>2</v>
      </c>
      <c r="N128">
        <f t="shared" si="16"/>
        <v>26</v>
      </c>
      <c r="O128">
        <v>34.5</v>
      </c>
      <c r="P128" s="28">
        <v>22.5</v>
      </c>
      <c r="Q128" s="57">
        <v>1.813675E-2</v>
      </c>
      <c r="R128" s="28">
        <f t="shared" si="17"/>
        <v>8.4806099999999995E-3</v>
      </c>
      <c r="S128">
        <f t="shared" si="18"/>
        <v>384.38399999999996</v>
      </c>
      <c r="T128">
        <f t="shared" si="19"/>
        <v>753.17892000000006</v>
      </c>
      <c r="V128" s="50">
        <v>13</v>
      </c>
    </row>
    <row r="129" spans="1:22" ht="15" thickBot="1" x14ac:dyDescent="0.4">
      <c r="A129" s="7" t="s">
        <v>224</v>
      </c>
      <c r="B129" s="5">
        <f>References!AB54*4</f>
        <v>10.56</v>
      </c>
      <c r="C129" s="5">
        <f t="shared" si="20"/>
        <v>0.74360000000000004</v>
      </c>
      <c r="D129" s="5">
        <v>34.5</v>
      </c>
      <c r="E129" s="5">
        <v>24</v>
      </c>
      <c r="F129" s="5">
        <v>1.813675E-2</v>
      </c>
      <c r="G129" s="5">
        <f t="shared" si="13"/>
        <v>9.2932299999999995E-3</v>
      </c>
      <c r="H129" s="5">
        <f t="shared" si="14"/>
        <v>9.6035939999999993</v>
      </c>
      <c r="I129" s="14">
        <f t="shared" si="15"/>
        <v>19.728124416000004</v>
      </c>
      <c r="L129" s="57" t="s">
        <v>224</v>
      </c>
      <c r="N129">
        <f t="shared" si="16"/>
        <v>0</v>
      </c>
      <c r="O129">
        <v>34.5</v>
      </c>
      <c r="P129" s="57">
        <v>24</v>
      </c>
      <c r="Q129" s="57">
        <v>1.813675E-2</v>
      </c>
      <c r="R129" s="57">
        <f t="shared" si="17"/>
        <v>9.2932299999999995E-3</v>
      </c>
      <c r="S129">
        <f t="shared" si="18"/>
        <v>0</v>
      </c>
      <c r="T129">
        <f t="shared" si="19"/>
        <v>0</v>
      </c>
    </row>
    <row r="130" spans="1:22" ht="15" thickBot="1" x14ac:dyDescent="0.4">
      <c r="A130" s="7" t="s">
        <v>191</v>
      </c>
      <c r="B130" s="5">
        <f>References!AB55*4</f>
        <v>55.004800000000003</v>
      </c>
      <c r="C130" s="5">
        <f t="shared" si="20"/>
        <v>4.0336853333333336</v>
      </c>
      <c r="D130" s="5">
        <v>34.5</v>
      </c>
      <c r="E130" s="5">
        <v>22.5</v>
      </c>
      <c r="F130" s="5">
        <v>1.813675E-2</v>
      </c>
      <c r="G130" s="5">
        <f t="shared" si="13"/>
        <v>8.4806099999999995E-3</v>
      </c>
      <c r="H130" s="5">
        <f t="shared" si="14"/>
        <v>59.537195519999997</v>
      </c>
      <c r="I130" s="14">
        <f t="shared" si="15"/>
        <v>116.84949088384001</v>
      </c>
      <c r="L130" s="28" t="s">
        <v>191</v>
      </c>
      <c r="M130">
        <v>2</v>
      </c>
      <c r="N130">
        <f t="shared" si="16"/>
        <v>26</v>
      </c>
      <c r="O130">
        <v>34.5</v>
      </c>
      <c r="P130" s="28">
        <v>22.5</v>
      </c>
      <c r="Q130" s="57">
        <v>1.813675E-2</v>
      </c>
      <c r="R130" s="28">
        <f t="shared" si="17"/>
        <v>8.4806099999999995E-3</v>
      </c>
      <c r="S130">
        <f t="shared" si="18"/>
        <v>384.38399999999996</v>
      </c>
      <c r="T130">
        <f t="shared" si="19"/>
        <v>753.17892000000006</v>
      </c>
      <c r="V130" s="50">
        <v>13</v>
      </c>
    </row>
    <row r="131" spans="1:22" ht="15" thickBot="1" x14ac:dyDescent="0.4">
      <c r="A131" s="7" t="s">
        <v>225</v>
      </c>
      <c r="B131" s="5">
        <f>References!AB56*4</f>
        <v>10.56</v>
      </c>
      <c r="C131" s="5">
        <f t="shared" si="20"/>
        <v>0.74360000000000004</v>
      </c>
      <c r="D131" s="5">
        <v>34.5</v>
      </c>
      <c r="E131" s="5">
        <v>24</v>
      </c>
      <c r="F131" s="5">
        <v>1.813675E-2</v>
      </c>
      <c r="G131" s="5">
        <f t="shared" si="13"/>
        <v>9.2932299999999995E-3</v>
      </c>
      <c r="H131" s="5">
        <f t="shared" si="14"/>
        <v>9.6035939999999993</v>
      </c>
      <c r="I131" s="14">
        <f t="shared" si="15"/>
        <v>19.728124416000004</v>
      </c>
      <c r="L131" s="57" t="s">
        <v>225</v>
      </c>
      <c r="N131">
        <f t="shared" si="16"/>
        <v>0</v>
      </c>
      <c r="O131">
        <v>34.5</v>
      </c>
      <c r="P131" s="57">
        <v>24</v>
      </c>
      <c r="Q131" s="57">
        <v>1.813675E-2</v>
      </c>
      <c r="R131" s="57">
        <f t="shared" si="17"/>
        <v>9.2932299999999995E-3</v>
      </c>
      <c r="S131">
        <f t="shared" si="18"/>
        <v>0</v>
      </c>
      <c r="T131">
        <f t="shared" si="19"/>
        <v>0</v>
      </c>
    </row>
    <row r="132" spans="1:22" ht="15" thickBot="1" x14ac:dyDescent="0.4">
      <c r="A132" s="7" t="s">
        <v>141</v>
      </c>
      <c r="B132" s="5">
        <f>References!AB57*4</f>
        <v>85.446399999999997</v>
      </c>
      <c r="C132" s="5">
        <f t="shared" si="20"/>
        <v>6.2660693333333333</v>
      </c>
      <c r="D132" s="5">
        <v>34.5</v>
      </c>
      <c r="E132" s="5">
        <v>22.5</v>
      </c>
      <c r="F132" s="5">
        <v>1.813675E-2</v>
      </c>
      <c r="G132" s="5">
        <f t="shared" si="13"/>
        <v>8.4806099999999995E-3</v>
      </c>
      <c r="H132" s="5">
        <f t="shared" si="14"/>
        <v>92.487183359999989</v>
      </c>
      <c r="I132" s="14">
        <f t="shared" si="15"/>
        <v>181.51812819712001</v>
      </c>
      <c r="L132" s="28" t="s">
        <v>141</v>
      </c>
      <c r="M132">
        <v>4</v>
      </c>
      <c r="N132">
        <f t="shared" si="16"/>
        <v>10</v>
      </c>
      <c r="O132">
        <v>34.5</v>
      </c>
      <c r="P132" s="28">
        <v>22.5</v>
      </c>
      <c r="Q132" s="57">
        <v>1.813675E-2</v>
      </c>
      <c r="R132" s="28">
        <f t="shared" si="17"/>
        <v>8.4806099999999995E-3</v>
      </c>
      <c r="S132">
        <f t="shared" si="18"/>
        <v>147.84</v>
      </c>
      <c r="T132">
        <f t="shared" si="19"/>
        <v>289.68420000000003</v>
      </c>
      <c r="V132" s="50">
        <v>2.5</v>
      </c>
    </row>
    <row r="133" spans="1:22" ht="15" thickBot="1" x14ac:dyDescent="0.4">
      <c r="A133" s="7" t="s">
        <v>226</v>
      </c>
      <c r="B133" s="5">
        <f>References!AB58*4</f>
        <v>6.6584000000000003</v>
      </c>
      <c r="C133" s="5">
        <f t="shared" si="20"/>
        <v>0.46886233333333333</v>
      </c>
      <c r="D133" s="5">
        <v>34.5</v>
      </c>
      <c r="E133" s="5">
        <v>24</v>
      </c>
      <c r="F133" s="5">
        <v>1.813675E-2</v>
      </c>
      <c r="G133" s="5">
        <f t="shared" si="13"/>
        <v>9.2932299999999995E-3</v>
      </c>
      <c r="H133" s="5">
        <f t="shared" si="14"/>
        <v>6.0553570350000001</v>
      </c>
      <c r="I133" s="14">
        <f t="shared" si="15"/>
        <v>12.439180266240001</v>
      </c>
      <c r="L133" s="57" t="s">
        <v>226</v>
      </c>
      <c r="N133">
        <f t="shared" si="16"/>
        <v>0</v>
      </c>
      <c r="O133">
        <v>34.5</v>
      </c>
      <c r="P133" s="57">
        <v>24</v>
      </c>
      <c r="Q133" s="57">
        <v>1.813675E-2</v>
      </c>
      <c r="R133" s="57">
        <f t="shared" si="17"/>
        <v>9.2932299999999995E-3</v>
      </c>
      <c r="S133">
        <f t="shared" si="18"/>
        <v>0</v>
      </c>
      <c r="T133">
        <f t="shared" si="19"/>
        <v>0</v>
      </c>
    </row>
    <row r="134" spans="1:22" ht="15" thickBot="1" x14ac:dyDescent="0.4">
      <c r="A134" s="7" t="s">
        <v>128</v>
      </c>
      <c r="B134" s="5">
        <f>References!AB59*4</f>
        <v>125.7552</v>
      </c>
      <c r="C134" s="5">
        <f t="shared" si="20"/>
        <v>9.2220479999999991</v>
      </c>
      <c r="D134" s="5">
        <v>34.5</v>
      </c>
      <c r="E134" s="5">
        <v>22.5</v>
      </c>
      <c r="F134" s="5">
        <v>1.813675E-2</v>
      </c>
      <c r="G134" s="5">
        <f t="shared" si="13"/>
        <v>8.4806099999999995E-3</v>
      </c>
      <c r="H134" s="5">
        <f t="shared" si="14"/>
        <v>136.11742848</v>
      </c>
      <c r="I134" s="14">
        <f t="shared" si="15"/>
        <v>267.14815972416</v>
      </c>
      <c r="L134" s="28" t="s">
        <v>128</v>
      </c>
      <c r="N134">
        <f t="shared" si="16"/>
        <v>0</v>
      </c>
      <c r="O134">
        <v>34.5</v>
      </c>
      <c r="P134" s="28">
        <v>22.5</v>
      </c>
      <c r="Q134" s="57">
        <v>1.813675E-2</v>
      </c>
      <c r="R134" s="28">
        <f t="shared" si="17"/>
        <v>8.4806099999999995E-3</v>
      </c>
      <c r="S134">
        <f t="shared" si="18"/>
        <v>0</v>
      </c>
      <c r="T134">
        <f t="shared" si="19"/>
        <v>0</v>
      </c>
    </row>
    <row r="135" spans="1:22" ht="15" thickBot="1" x14ac:dyDescent="0.4">
      <c r="A135" s="7" t="s">
        <v>140</v>
      </c>
      <c r="B135" s="5">
        <f>References!AB60*4</f>
        <v>139.94479999999999</v>
      </c>
      <c r="C135" s="5">
        <f t="shared" si="20"/>
        <v>10.398676111111111</v>
      </c>
      <c r="D135" s="5">
        <v>34.5</v>
      </c>
      <c r="E135" s="5">
        <v>22</v>
      </c>
      <c r="F135" s="5">
        <v>1.813675E-2</v>
      </c>
      <c r="G135" s="5">
        <f t="shared" si="13"/>
        <v>8.2197599999999996E-3</v>
      </c>
      <c r="H135" s="5">
        <f t="shared" si="14"/>
        <v>159.87964520833333</v>
      </c>
      <c r="I135" s="14">
        <f t="shared" si="15"/>
        <v>309.37070102138335</v>
      </c>
      <c r="L135" s="57" t="s">
        <v>140</v>
      </c>
      <c r="M135">
        <v>5</v>
      </c>
      <c r="N135">
        <f t="shared" si="16"/>
        <v>40</v>
      </c>
      <c r="O135">
        <v>34.5</v>
      </c>
      <c r="P135" s="57">
        <v>22</v>
      </c>
      <c r="Q135" s="57">
        <v>1.813675E-2</v>
      </c>
      <c r="R135" s="57">
        <f t="shared" si="17"/>
        <v>8.2197599999999996E-3</v>
      </c>
      <c r="S135">
        <f t="shared" si="18"/>
        <v>616</v>
      </c>
      <c r="T135">
        <f t="shared" si="19"/>
        <v>1190.0388</v>
      </c>
      <c r="V135" s="50">
        <v>8</v>
      </c>
    </row>
    <row r="136" spans="1:22" ht="15" thickBot="1" x14ac:dyDescent="0.4">
      <c r="A136" s="7" t="s">
        <v>192</v>
      </c>
      <c r="B136" s="5">
        <f>References!AB61*4</f>
        <v>21.644400000000001</v>
      </c>
      <c r="C136" s="5">
        <f t="shared" si="20"/>
        <v>1.5241265000000002</v>
      </c>
      <c r="D136" s="5">
        <v>34.5</v>
      </c>
      <c r="E136" s="5">
        <v>24</v>
      </c>
      <c r="F136" s="5">
        <v>1.813675E-2</v>
      </c>
      <c r="G136" s="5">
        <f t="shared" si="13"/>
        <v>9.2932299999999995E-3</v>
      </c>
      <c r="H136" s="5">
        <f t="shared" si="14"/>
        <v>19.684093747500004</v>
      </c>
      <c r="I136" s="14">
        <f t="shared" si="15"/>
        <v>40.435929555840012</v>
      </c>
      <c r="L136" s="28" t="s">
        <v>192</v>
      </c>
      <c r="M136">
        <v>2</v>
      </c>
      <c r="N136">
        <f t="shared" si="16"/>
        <v>5</v>
      </c>
      <c r="O136">
        <v>34.5</v>
      </c>
      <c r="P136" s="28">
        <v>24</v>
      </c>
      <c r="Q136" s="57">
        <v>1.813675E-2</v>
      </c>
      <c r="R136" s="28">
        <f t="shared" si="17"/>
        <v>9.2932299999999995E-3</v>
      </c>
      <c r="S136">
        <f t="shared" si="18"/>
        <v>64.680000000000007</v>
      </c>
      <c r="T136">
        <f t="shared" si="19"/>
        <v>132.65280000000001</v>
      </c>
      <c r="V136" s="50">
        <v>2.5</v>
      </c>
    </row>
    <row r="137" spans="1:22" ht="15" thickBot="1" x14ac:dyDescent="0.4">
      <c r="A137" s="7" t="s">
        <v>193</v>
      </c>
      <c r="B137" s="5">
        <f>References!AB62*4</f>
        <v>102.9944</v>
      </c>
      <c r="C137" s="5">
        <f t="shared" si="20"/>
        <v>7.5529226666666665</v>
      </c>
      <c r="D137" s="5">
        <v>34.5</v>
      </c>
      <c r="E137" s="5">
        <v>22.5</v>
      </c>
      <c r="F137" s="5">
        <v>1.813675E-2</v>
      </c>
      <c r="G137" s="5">
        <f t="shared" si="13"/>
        <v>8.4806099999999995E-3</v>
      </c>
      <c r="H137" s="5">
        <f t="shared" si="14"/>
        <v>111.48113856000001</v>
      </c>
      <c r="I137" s="14">
        <f t="shared" si="15"/>
        <v>218.79623603552002</v>
      </c>
      <c r="L137" s="57" t="s">
        <v>193</v>
      </c>
      <c r="M137">
        <v>3</v>
      </c>
      <c r="N137">
        <f t="shared" si="16"/>
        <v>24</v>
      </c>
      <c r="O137">
        <v>34.5</v>
      </c>
      <c r="P137" s="57">
        <v>22.5</v>
      </c>
      <c r="Q137" s="57">
        <v>1.813675E-2</v>
      </c>
      <c r="R137" s="57">
        <f t="shared" si="17"/>
        <v>8.4806099999999995E-3</v>
      </c>
      <c r="S137">
        <f t="shared" si="18"/>
        <v>354.81599999999997</v>
      </c>
      <c r="T137">
        <f t="shared" si="19"/>
        <v>695.24207999999999</v>
      </c>
      <c r="V137" s="50">
        <v>8</v>
      </c>
    </row>
    <row r="138" spans="1:22" ht="15" thickBot="1" x14ac:dyDescent="0.4">
      <c r="A138" s="7" t="s">
        <v>227</v>
      </c>
      <c r="B138" s="5">
        <f>References!AB63*4</f>
        <v>15.452</v>
      </c>
      <c r="C138" s="5">
        <f t="shared" si="20"/>
        <v>1.0880783333333333</v>
      </c>
      <c r="D138" s="5">
        <v>34.5</v>
      </c>
      <c r="E138" s="5">
        <v>24</v>
      </c>
      <c r="F138" s="5">
        <v>1.813675E-2</v>
      </c>
      <c r="G138" s="5">
        <f t="shared" si="13"/>
        <v>9.2932299999999995E-3</v>
      </c>
      <c r="H138" s="5">
        <f t="shared" si="14"/>
        <v>14.052531674999999</v>
      </c>
      <c r="I138" s="14">
        <f t="shared" si="15"/>
        <v>28.867327507199999</v>
      </c>
      <c r="L138" s="28" t="s">
        <v>227</v>
      </c>
      <c r="N138">
        <f t="shared" si="16"/>
        <v>0</v>
      </c>
      <c r="O138">
        <v>34.5</v>
      </c>
      <c r="P138" s="28">
        <v>24</v>
      </c>
      <c r="Q138" s="57">
        <v>1.813675E-2</v>
      </c>
      <c r="R138" s="28">
        <f t="shared" si="17"/>
        <v>9.2932299999999995E-3</v>
      </c>
      <c r="S138">
        <f t="shared" si="18"/>
        <v>0</v>
      </c>
      <c r="T138">
        <f t="shared" si="19"/>
        <v>0</v>
      </c>
    </row>
    <row r="139" spans="1:22" ht="15" thickBot="1" x14ac:dyDescent="0.4">
      <c r="A139" s="7" t="s">
        <v>194</v>
      </c>
      <c r="B139" s="5">
        <f>References!AB64*4</f>
        <v>67.197599999999994</v>
      </c>
      <c r="C139" s="5">
        <f t="shared" si="20"/>
        <v>4.9278240000000002</v>
      </c>
      <c r="D139" s="5">
        <v>34.5</v>
      </c>
      <c r="E139" s="5">
        <v>22.5</v>
      </c>
      <c r="F139" s="5">
        <v>1.813675E-2</v>
      </c>
      <c r="G139" s="5">
        <f t="shared" si="13"/>
        <v>8.4806099999999995E-3</v>
      </c>
      <c r="H139" s="5">
        <f t="shared" si="14"/>
        <v>72.734682240000012</v>
      </c>
      <c r="I139" s="14">
        <f t="shared" si="15"/>
        <v>142.75127531808002</v>
      </c>
      <c r="L139" s="57" t="s">
        <v>194</v>
      </c>
      <c r="M139">
        <v>4</v>
      </c>
      <c r="N139">
        <f>M139*V139</f>
        <v>10</v>
      </c>
      <c r="O139">
        <v>34.5</v>
      </c>
      <c r="P139" s="57">
        <v>22.5</v>
      </c>
      <c r="Q139" s="57">
        <v>1.813675E-2</v>
      </c>
      <c r="R139" s="57">
        <f t="shared" si="17"/>
        <v>8.4806099999999995E-3</v>
      </c>
      <c r="S139">
        <f t="shared" si="18"/>
        <v>147.84</v>
      </c>
      <c r="T139">
        <f t="shared" si="19"/>
        <v>289.68420000000003</v>
      </c>
      <c r="V139" s="50">
        <v>2.5</v>
      </c>
    </row>
    <row r="140" spans="1:22" ht="15" thickBot="1" x14ac:dyDescent="0.4">
      <c r="A140" s="7" t="s">
        <v>195</v>
      </c>
      <c r="B140" s="5">
        <f>References!AB65*4</f>
        <v>67.199600000000004</v>
      </c>
      <c r="C140" s="5">
        <f t="shared" si="20"/>
        <v>4.9279706666666669</v>
      </c>
      <c r="D140" s="5">
        <v>34.5</v>
      </c>
      <c r="E140" s="5">
        <v>22.5</v>
      </c>
      <c r="F140" s="5">
        <v>1.813675E-2</v>
      </c>
      <c r="G140" s="5">
        <f t="shared" si="13"/>
        <v>8.4806099999999995E-3</v>
      </c>
      <c r="H140" s="5">
        <f>1.23*C140*(D140-E140)</f>
        <v>72.736847040000001</v>
      </c>
      <c r="I140" s="14">
        <f>3000*C140*(F140-G140)</f>
        <v>142.75552401968002</v>
      </c>
      <c r="L140" s="28" t="s">
        <v>195</v>
      </c>
      <c r="M140">
        <v>10</v>
      </c>
      <c r="N140">
        <f t="shared" si="16"/>
        <v>25</v>
      </c>
      <c r="O140">
        <v>34.5</v>
      </c>
      <c r="P140" s="28">
        <v>22.5</v>
      </c>
      <c r="Q140" s="57">
        <v>1.813675E-2</v>
      </c>
      <c r="R140" s="28">
        <f t="shared" si="17"/>
        <v>8.4806099999999995E-3</v>
      </c>
      <c r="S140">
        <f t="shared" si="18"/>
        <v>369.6</v>
      </c>
      <c r="T140">
        <f t="shared" si="19"/>
        <v>724.21050000000002</v>
      </c>
      <c r="V140" s="50">
        <v>2.5</v>
      </c>
    </row>
    <row r="141" spans="1:22" ht="15" thickBot="1" x14ac:dyDescent="0.4">
      <c r="A141" s="7" t="s">
        <v>196</v>
      </c>
      <c r="B141" s="5">
        <f>References!AB66*4</f>
        <v>40.903199999999998</v>
      </c>
      <c r="C141" s="5">
        <f t="shared" si="20"/>
        <v>2.999568</v>
      </c>
      <c r="D141" s="5">
        <v>34.5</v>
      </c>
      <c r="E141" s="5">
        <v>22.5</v>
      </c>
      <c r="F141" s="5">
        <v>1.813675E-2</v>
      </c>
      <c r="G141" s="5">
        <f t="shared" si="13"/>
        <v>8.4806099999999995E-3</v>
      </c>
      <c r="H141" s="5">
        <f t="shared" si="14"/>
        <v>44.27362368</v>
      </c>
      <c r="I141" s="14">
        <f t="shared" si="15"/>
        <v>86.892745642560001</v>
      </c>
      <c r="L141" s="57" t="s">
        <v>196</v>
      </c>
      <c r="M141">
        <v>3</v>
      </c>
      <c r="N141">
        <f t="shared" si="16"/>
        <v>7.5</v>
      </c>
      <c r="O141">
        <v>34.5</v>
      </c>
      <c r="P141" s="57">
        <v>22.5</v>
      </c>
      <c r="Q141" s="57">
        <v>1.813675E-2</v>
      </c>
      <c r="R141" s="57">
        <f t="shared" si="17"/>
        <v>8.4806099999999995E-3</v>
      </c>
      <c r="S141">
        <f t="shared" si="18"/>
        <v>110.88</v>
      </c>
      <c r="T141">
        <f t="shared" si="19"/>
        <v>217.26315000000002</v>
      </c>
      <c r="V141" s="50">
        <v>2.5</v>
      </c>
    </row>
    <row r="142" spans="1:22" ht="15" thickBot="1" x14ac:dyDescent="0.4">
      <c r="A142" s="7" t="s">
        <v>197</v>
      </c>
      <c r="B142" s="5">
        <f>References!AB67*4</f>
        <v>76.002799999999993</v>
      </c>
      <c r="C142" s="5">
        <f t="shared" si="20"/>
        <v>5.6474302777777776</v>
      </c>
      <c r="D142" s="5">
        <v>34.5</v>
      </c>
      <c r="E142" s="5">
        <v>22</v>
      </c>
      <c r="F142" s="5">
        <v>1.813675E-2</v>
      </c>
      <c r="G142" s="5">
        <f>_xlfn.IFS(E142=22.5,0.00848061,E142=22,0.00821976,E142=24,0.00929323)</f>
        <v>8.2197599999999996E-3</v>
      </c>
      <c r="H142" s="5">
        <f t="shared" si="14"/>
        <v>86.829240520833324</v>
      </c>
      <c r="I142" s="14">
        <f t="shared" si="15"/>
        <v>168.01652877125832</v>
      </c>
      <c r="L142" s="28" t="s">
        <v>197</v>
      </c>
      <c r="M142">
        <v>4</v>
      </c>
      <c r="N142">
        <f t="shared" si="16"/>
        <v>60</v>
      </c>
      <c r="O142">
        <v>34.5</v>
      </c>
      <c r="P142" s="28">
        <v>22</v>
      </c>
      <c r="Q142" s="57">
        <v>1.813675E-2</v>
      </c>
      <c r="R142" s="28">
        <f>_xlfn.IFS(P142=22.5,0.00848061,P142=22,0.00821976,P142=24,0.00929323)</f>
        <v>8.2197599999999996E-3</v>
      </c>
      <c r="S142">
        <f t="shared" si="18"/>
        <v>924</v>
      </c>
      <c r="T142">
        <f t="shared" si="19"/>
        <v>1785.0582000000002</v>
      </c>
      <c r="V142" s="50">
        <v>15</v>
      </c>
    </row>
    <row r="143" spans="1:22" ht="15" thickBot="1" x14ac:dyDescent="0.4">
      <c r="A143" s="7" t="s">
        <v>198</v>
      </c>
      <c r="B143" s="5">
        <f>References!AB68*4</f>
        <v>59.95</v>
      </c>
      <c r="C143" s="5">
        <f t="shared" ref="C143:C158" si="21">((0.15+0.01*3+0.007*(D143-E143))*B143)/3.6</f>
        <v>4.3963333333333336</v>
      </c>
      <c r="D143" s="5">
        <v>34.5</v>
      </c>
      <c r="E143" s="5">
        <v>22.5</v>
      </c>
      <c r="F143" s="5">
        <v>1.813675E-2</v>
      </c>
      <c r="G143" s="5">
        <f t="shared" si="13"/>
        <v>8.4806099999999995E-3</v>
      </c>
      <c r="H143" s="5">
        <f t="shared" si="14"/>
        <v>64.889880000000005</v>
      </c>
      <c r="I143" s="14">
        <f t="shared" si="15"/>
        <v>127.35483046000003</v>
      </c>
      <c r="L143" s="57" t="s">
        <v>198</v>
      </c>
      <c r="M143">
        <v>4</v>
      </c>
      <c r="N143">
        <f t="shared" si="16"/>
        <v>32</v>
      </c>
      <c r="O143">
        <v>34.5</v>
      </c>
      <c r="P143" s="57">
        <v>22.5</v>
      </c>
      <c r="Q143" s="57">
        <v>1.813675E-2</v>
      </c>
      <c r="R143" s="57">
        <f t="shared" si="17"/>
        <v>8.4806099999999995E-3</v>
      </c>
      <c r="S143">
        <f t="shared" si="18"/>
        <v>473.08799999999997</v>
      </c>
      <c r="T143">
        <f t="shared" si="19"/>
        <v>926.98944000000006</v>
      </c>
      <c r="V143" s="50">
        <v>8</v>
      </c>
    </row>
    <row r="144" spans="1:22" ht="15" thickBot="1" x14ac:dyDescent="0.4">
      <c r="A144" s="7" t="s">
        <v>228</v>
      </c>
      <c r="B144" s="5">
        <f>References!AB69*4</f>
        <v>6.72</v>
      </c>
      <c r="C144" s="5">
        <f t="shared" si="21"/>
        <v>0.47319999999999995</v>
      </c>
      <c r="D144" s="5">
        <v>34.5</v>
      </c>
      <c r="E144" s="5">
        <v>24</v>
      </c>
      <c r="F144" s="5">
        <v>1.813675E-2</v>
      </c>
      <c r="G144" s="5">
        <f t="shared" ref="G144:G158" si="22">_xlfn.IFS(E144=22.5,0.00848061,E144=22,0.00821976,E144=24,0.00929323)</f>
        <v>9.2932299999999995E-3</v>
      </c>
      <c r="H144" s="5">
        <f t="shared" ref="H144:H158" si="23">1.23*C144*(D144-E144)</f>
        <v>6.1113779999999984</v>
      </c>
      <c r="I144" s="14">
        <f t="shared" ref="I144:I154" si="24">3000*C144*(F144-G144)</f>
        <v>12.554260992</v>
      </c>
      <c r="L144" s="28" t="s">
        <v>228</v>
      </c>
      <c r="N144">
        <f t="shared" ref="N144:N154" si="25">M144*V144</f>
        <v>0</v>
      </c>
      <c r="O144">
        <v>34.5</v>
      </c>
      <c r="P144" s="28">
        <v>24</v>
      </c>
      <c r="Q144" s="57">
        <v>1.813675E-2</v>
      </c>
      <c r="R144" s="28">
        <f t="shared" ref="R144:R158" si="26">_xlfn.IFS(P144=22.5,0.00848061,P144=22,0.00821976,P144=24,0.00929323)</f>
        <v>9.2932299999999995E-3</v>
      </c>
      <c r="S144">
        <f t="shared" ref="S144:S158" si="27">1.232*N144*(O144-P144)</f>
        <v>0</v>
      </c>
      <c r="T144">
        <f t="shared" ref="T144:T158" si="28">3000*N144*(Q144-R144)</f>
        <v>0</v>
      </c>
    </row>
    <row r="145" spans="1:22" ht="15" thickBot="1" x14ac:dyDescent="0.4">
      <c r="A145" s="7" t="s">
        <v>199</v>
      </c>
      <c r="B145" s="5">
        <f>References!AB70*4</f>
        <v>86.4024</v>
      </c>
      <c r="C145" s="5">
        <f t="shared" si="21"/>
        <v>6.0841690000000002</v>
      </c>
      <c r="D145" s="5">
        <v>34.5</v>
      </c>
      <c r="E145" s="5">
        <v>24</v>
      </c>
      <c r="F145" s="5">
        <v>1.813675E-2</v>
      </c>
      <c r="G145" s="5">
        <f t="shared" si="22"/>
        <v>9.2932299999999995E-3</v>
      </c>
      <c r="H145" s="5">
        <f t="shared" si="23"/>
        <v>78.577042635000012</v>
      </c>
      <c r="I145" s="14">
        <f t="shared" si="24"/>
        <v>161.41641070464001</v>
      </c>
      <c r="L145" s="57" t="s">
        <v>199</v>
      </c>
      <c r="M145">
        <v>2</v>
      </c>
      <c r="N145">
        <f t="shared" si="25"/>
        <v>5</v>
      </c>
      <c r="O145">
        <v>34.5</v>
      </c>
      <c r="P145" s="57">
        <v>24</v>
      </c>
      <c r="Q145" s="57">
        <v>1.813675E-2</v>
      </c>
      <c r="R145" s="57">
        <f t="shared" si="26"/>
        <v>9.2932299999999995E-3</v>
      </c>
      <c r="S145">
        <f t="shared" si="27"/>
        <v>64.680000000000007</v>
      </c>
      <c r="T145">
        <f t="shared" si="28"/>
        <v>132.65280000000001</v>
      </c>
      <c r="V145" s="50">
        <v>2.5</v>
      </c>
    </row>
    <row r="146" spans="1:22" ht="15" thickBot="1" x14ac:dyDescent="0.4">
      <c r="A146" s="7" t="s">
        <v>200</v>
      </c>
      <c r="B146" s="5">
        <f>References!AB71*4</f>
        <v>94.401200000000003</v>
      </c>
      <c r="C146" s="5">
        <f t="shared" si="21"/>
        <v>6.9227546666666671</v>
      </c>
      <c r="D146" s="5">
        <v>34.5</v>
      </c>
      <c r="E146" s="5">
        <v>22.5</v>
      </c>
      <c r="F146" s="5">
        <v>1.813675E-2</v>
      </c>
      <c r="G146" s="5">
        <f t="shared" si="22"/>
        <v>8.4806099999999995E-3</v>
      </c>
      <c r="H146" s="5">
        <f t="shared" si="23"/>
        <v>102.17985888000001</v>
      </c>
      <c r="I146" s="14">
        <f t="shared" si="24"/>
        <v>200.54126474096003</v>
      </c>
      <c r="L146" s="28" t="s">
        <v>200</v>
      </c>
      <c r="N146">
        <f t="shared" si="25"/>
        <v>0</v>
      </c>
      <c r="O146">
        <v>34.5</v>
      </c>
      <c r="P146" s="28">
        <v>22.5</v>
      </c>
      <c r="Q146" s="57">
        <v>1.813675E-2</v>
      </c>
      <c r="R146" s="28">
        <f t="shared" si="26"/>
        <v>8.4806099999999995E-3</v>
      </c>
      <c r="S146">
        <f t="shared" si="27"/>
        <v>0</v>
      </c>
      <c r="T146">
        <f t="shared" si="28"/>
        <v>0</v>
      </c>
    </row>
    <row r="147" spans="1:22" ht="15" thickBot="1" x14ac:dyDescent="0.4">
      <c r="A147" s="7" t="s">
        <v>201</v>
      </c>
      <c r="B147" s="5">
        <f>References!AB72*4</f>
        <v>140.16999999999999</v>
      </c>
      <c r="C147" s="5">
        <f t="shared" si="21"/>
        <v>10.415409722222222</v>
      </c>
      <c r="D147" s="5">
        <v>34.5</v>
      </c>
      <c r="E147" s="5">
        <v>22</v>
      </c>
      <c r="F147" s="5">
        <v>1.813675E-2</v>
      </c>
      <c r="G147" s="5">
        <f t="shared" si="22"/>
        <v>8.2197599999999996E-3</v>
      </c>
      <c r="H147" s="5">
        <f t="shared" si="23"/>
        <v>160.13692447916665</v>
      </c>
      <c r="I147" s="14">
        <f t="shared" si="24"/>
        <v>309.86854218354165</v>
      </c>
      <c r="L147" s="57" t="s">
        <v>201</v>
      </c>
      <c r="M147">
        <v>5</v>
      </c>
      <c r="N147">
        <f t="shared" si="25"/>
        <v>75</v>
      </c>
      <c r="O147">
        <v>34.5</v>
      </c>
      <c r="P147" s="57">
        <v>22</v>
      </c>
      <c r="Q147" s="57">
        <v>1.813675E-2</v>
      </c>
      <c r="R147" s="57">
        <f t="shared" si="26"/>
        <v>8.2197599999999996E-3</v>
      </c>
      <c r="S147">
        <f t="shared" si="27"/>
        <v>1155</v>
      </c>
      <c r="T147">
        <f t="shared" si="28"/>
        <v>2231.3227500000003</v>
      </c>
      <c r="V147" s="50">
        <v>15</v>
      </c>
    </row>
    <row r="148" spans="1:22" ht="15" thickBot="1" x14ac:dyDescent="0.4">
      <c r="A148" s="7" t="s">
        <v>202</v>
      </c>
      <c r="B148" s="5">
        <f>References!AB73*4</f>
        <v>22.764800000000001</v>
      </c>
      <c r="C148" s="5">
        <f t="shared" si="21"/>
        <v>1.6030213333333332</v>
      </c>
      <c r="D148" s="5">
        <v>34.5</v>
      </c>
      <c r="E148" s="5">
        <v>24</v>
      </c>
      <c r="F148" s="5">
        <v>1.813675E-2</v>
      </c>
      <c r="G148" s="5">
        <f t="shared" si="22"/>
        <v>9.2932299999999995E-3</v>
      </c>
      <c r="H148" s="5">
        <f t="shared" si="23"/>
        <v>20.703020519999999</v>
      </c>
      <c r="I148" s="14">
        <f t="shared" si="24"/>
        <v>42.529053665279996</v>
      </c>
      <c r="L148" s="28" t="s">
        <v>202</v>
      </c>
      <c r="M148">
        <v>2</v>
      </c>
      <c r="N148">
        <f t="shared" si="25"/>
        <v>5</v>
      </c>
      <c r="O148">
        <v>34.5</v>
      </c>
      <c r="P148" s="28">
        <v>24</v>
      </c>
      <c r="Q148" s="57">
        <v>1.813675E-2</v>
      </c>
      <c r="R148" s="28">
        <f t="shared" si="26"/>
        <v>9.2932299999999995E-3</v>
      </c>
      <c r="S148">
        <f t="shared" si="27"/>
        <v>64.680000000000007</v>
      </c>
      <c r="T148">
        <f t="shared" si="28"/>
        <v>132.65280000000001</v>
      </c>
      <c r="V148" s="50">
        <v>2.5</v>
      </c>
    </row>
    <row r="149" spans="1:22" ht="15" thickBot="1" x14ac:dyDescent="0.4">
      <c r="A149" s="7" t="s">
        <v>203</v>
      </c>
      <c r="B149" s="5">
        <f>References!AB74*4</f>
        <v>16.5352</v>
      </c>
      <c r="C149" s="5">
        <f t="shared" si="21"/>
        <v>1.1643536666666667</v>
      </c>
      <c r="D149" s="5">
        <v>34.5</v>
      </c>
      <c r="E149" s="5">
        <v>24</v>
      </c>
      <c r="F149" s="5">
        <v>1.813675E-2</v>
      </c>
      <c r="G149" s="5">
        <f t="shared" si="22"/>
        <v>9.2932299999999995E-3</v>
      </c>
      <c r="H149" s="5">
        <f t="shared" si="23"/>
        <v>15.037627605000001</v>
      </c>
      <c r="I149" s="14">
        <f t="shared" si="24"/>
        <v>30.890954814720004</v>
      </c>
      <c r="L149" s="57" t="s">
        <v>203</v>
      </c>
      <c r="M149">
        <v>2</v>
      </c>
      <c r="N149">
        <f t="shared" si="25"/>
        <v>5</v>
      </c>
      <c r="O149">
        <v>34.5</v>
      </c>
      <c r="P149" s="57">
        <v>24</v>
      </c>
      <c r="Q149" s="57">
        <v>1.813675E-2</v>
      </c>
      <c r="R149" s="57">
        <f t="shared" si="26"/>
        <v>9.2932299999999995E-3</v>
      </c>
      <c r="S149">
        <f t="shared" si="27"/>
        <v>64.680000000000007</v>
      </c>
      <c r="T149">
        <f t="shared" si="28"/>
        <v>132.65280000000001</v>
      </c>
      <c r="V149" s="50">
        <v>2.5</v>
      </c>
    </row>
    <row r="150" spans="1:22" ht="15" thickBot="1" x14ac:dyDescent="0.4">
      <c r="A150" s="7" t="s">
        <v>204</v>
      </c>
      <c r="B150" s="5">
        <f>References!AB75*4</f>
        <v>51.64</v>
      </c>
      <c r="C150" s="5">
        <f t="shared" si="21"/>
        <v>3.6363166666666666</v>
      </c>
      <c r="D150" s="5">
        <v>34.5</v>
      </c>
      <c r="E150" s="5">
        <v>24</v>
      </c>
      <c r="F150" s="5">
        <v>1.813675E-2</v>
      </c>
      <c r="G150" s="5">
        <f t="shared" si="22"/>
        <v>9.2932299999999995E-3</v>
      </c>
      <c r="H150" s="5">
        <f t="shared" si="23"/>
        <v>46.963029750000004</v>
      </c>
      <c r="I150" s="14">
        <f t="shared" si="24"/>
        <v>96.473517504000014</v>
      </c>
      <c r="L150" s="28" t="s">
        <v>204</v>
      </c>
      <c r="M150">
        <v>2</v>
      </c>
      <c r="N150">
        <f t="shared" si="25"/>
        <v>5</v>
      </c>
      <c r="O150">
        <v>34.5</v>
      </c>
      <c r="P150" s="28">
        <v>24</v>
      </c>
      <c r="Q150" s="57">
        <v>1.813675E-2</v>
      </c>
      <c r="R150" s="28">
        <f t="shared" si="26"/>
        <v>9.2932299999999995E-3</v>
      </c>
      <c r="S150">
        <f t="shared" si="27"/>
        <v>64.680000000000007</v>
      </c>
      <c r="T150">
        <f t="shared" si="28"/>
        <v>132.65280000000001</v>
      </c>
      <c r="V150" s="50">
        <v>2.5</v>
      </c>
    </row>
    <row r="151" spans="1:22" ht="15" thickBot="1" x14ac:dyDescent="0.4">
      <c r="A151" s="7" t="s">
        <v>229</v>
      </c>
      <c r="B151" s="5">
        <f>References!AB76*4</f>
        <v>29.913599999999999</v>
      </c>
      <c r="C151" s="5">
        <f t="shared" si="21"/>
        <v>2.1064159999999998</v>
      </c>
      <c r="D151" s="5">
        <v>34.5</v>
      </c>
      <c r="E151" s="5">
        <v>24</v>
      </c>
      <c r="F151" s="5">
        <v>1.813675E-2</v>
      </c>
      <c r="G151" s="5">
        <f t="shared" si="22"/>
        <v>9.2932299999999995E-3</v>
      </c>
      <c r="H151" s="5">
        <f t="shared" si="23"/>
        <v>27.204362639999999</v>
      </c>
      <c r="I151" s="14">
        <f t="shared" si="24"/>
        <v>55.884396072960001</v>
      </c>
      <c r="L151" s="57" t="s">
        <v>229</v>
      </c>
      <c r="M151">
        <v>5</v>
      </c>
      <c r="N151">
        <f t="shared" si="25"/>
        <v>12.5</v>
      </c>
      <c r="O151">
        <v>34.5</v>
      </c>
      <c r="P151" s="57">
        <v>24</v>
      </c>
      <c r="Q151" s="57">
        <v>1.813675E-2</v>
      </c>
      <c r="R151" s="57">
        <f t="shared" si="26"/>
        <v>9.2932299999999995E-3</v>
      </c>
      <c r="S151">
        <f t="shared" si="27"/>
        <v>161.70000000000002</v>
      </c>
      <c r="T151">
        <f t="shared" si="28"/>
        <v>331.63200000000001</v>
      </c>
      <c r="V151" s="50">
        <v>2.5</v>
      </c>
    </row>
    <row r="152" spans="1:22" ht="15" thickBot="1" x14ac:dyDescent="0.4">
      <c r="A152" s="7" t="s">
        <v>230</v>
      </c>
      <c r="B152" s="5">
        <f>References!AB77*4</f>
        <v>70.082800000000006</v>
      </c>
      <c r="C152" s="5">
        <f t="shared" si="21"/>
        <v>4.9349971666666672</v>
      </c>
      <c r="D152" s="5">
        <v>34.5</v>
      </c>
      <c r="E152" s="5">
        <v>24</v>
      </c>
      <c r="F152" s="5">
        <v>1.813675E-2</v>
      </c>
      <c r="G152" s="5">
        <f t="shared" si="22"/>
        <v>9.2932299999999995E-3</v>
      </c>
      <c r="H152" s="5">
        <f t="shared" si="23"/>
        <v>63.735488407500007</v>
      </c>
      <c r="I152" s="14">
        <f t="shared" si="24"/>
        <v>130.92823843008003</v>
      </c>
      <c r="L152" s="28" t="s">
        <v>230</v>
      </c>
      <c r="M152">
        <v>2</v>
      </c>
      <c r="N152">
        <f t="shared" si="25"/>
        <v>5</v>
      </c>
      <c r="O152">
        <v>34.5</v>
      </c>
      <c r="P152" s="28">
        <v>24</v>
      </c>
      <c r="Q152" s="57">
        <v>1.813675E-2</v>
      </c>
      <c r="R152" s="28">
        <f t="shared" si="26"/>
        <v>9.2932299999999995E-3</v>
      </c>
      <c r="S152">
        <f t="shared" si="27"/>
        <v>64.680000000000007</v>
      </c>
      <c r="T152">
        <f t="shared" si="28"/>
        <v>132.65280000000001</v>
      </c>
      <c r="V152" s="50">
        <v>2.5</v>
      </c>
    </row>
    <row r="153" spans="1:22" ht="15" thickBot="1" x14ac:dyDescent="0.4">
      <c r="A153" s="7" t="s">
        <v>133</v>
      </c>
      <c r="B153" s="5">
        <f>References!AB78*4</f>
        <v>11.2</v>
      </c>
      <c r="C153" s="5">
        <f t="shared" si="21"/>
        <v>0.78866666666666663</v>
      </c>
      <c r="D153" s="5">
        <v>34.5</v>
      </c>
      <c r="E153" s="5">
        <v>24</v>
      </c>
      <c r="F153" s="5">
        <v>1.813675E-2</v>
      </c>
      <c r="G153" s="5">
        <f t="shared" si="22"/>
        <v>9.2932299999999995E-3</v>
      </c>
      <c r="H153" s="5">
        <f t="shared" si="23"/>
        <v>10.18563</v>
      </c>
      <c r="I153" s="14">
        <f t="shared" si="24"/>
        <v>20.923768320000001</v>
      </c>
      <c r="L153" s="57" t="s">
        <v>133</v>
      </c>
      <c r="N153">
        <f t="shared" si="25"/>
        <v>0</v>
      </c>
      <c r="O153">
        <v>34.5</v>
      </c>
      <c r="P153" s="57">
        <v>24</v>
      </c>
      <c r="Q153" s="57">
        <v>1.813675E-2</v>
      </c>
      <c r="R153" s="57">
        <f t="shared" si="26"/>
        <v>9.2932299999999995E-3</v>
      </c>
      <c r="S153">
        <f t="shared" si="27"/>
        <v>0</v>
      </c>
      <c r="T153">
        <f t="shared" si="28"/>
        <v>0</v>
      </c>
    </row>
    <row r="154" spans="1:22" ht="15" thickBot="1" x14ac:dyDescent="0.4">
      <c r="A154" s="7" t="s">
        <v>134</v>
      </c>
      <c r="B154" s="5">
        <f>References!AB79*4</f>
        <v>11.2</v>
      </c>
      <c r="C154" s="5">
        <f t="shared" si="21"/>
        <v>0.78866666666666663</v>
      </c>
      <c r="D154" s="5">
        <v>34.5</v>
      </c>
      <c r="E154" s="5">
        <v>24</v>
      </c>
      <c r="F154" s="5">
        <v>1.813675E-2</v>
      </c>
      <c r="G154" s="5">
        <f t="shared" si="22"/>
        <v>9.2932299999999995E-3</v>
      </c>
      <c r="H154" s="5">
        <f t="shared" si="23"/>
        <v>10.18563</v>
      </c>
      <c r="I154" s="14">
        <f t="shared" si="24"/>
        <v>20.923768320000001</v>
      </c>
      <c r="L154" s="28" t="s">
        <v>134</v>
      </c>
      <c r="N154">
        <f t="shared" si="25"/>
        <v>0</v>
      </c>
      <c r="O154">
        <v>34.5</v>
      </c>
      <c r="P154" s="28">
        <v>24</v>
      </c>
      <c r="Q154" s="57">
        <v>1.813675E-2</v>
      </c>
      <c r="R154" s="28">
        <f t="shared" si="26"/>
        <v>9.2932299999999995E-3</v>
      </c>
      <c r="S154">
        <f t="shared" si="27"/>
        <v>0</v>
      </c>
      <c r="T154">
        <f t="shared" si="28"/>
        <v>0</v>
      </c>
    </row>
    <row r="155" spans="1:22" ht="15" thickBot="1" x14ac:dyDescent="0.4">
      <c r="A155" s="7" t="s">
        <v>135</v>
      </c>
      <c r="B155" s="5">
        <f>References!AB80*4</f>
        <v>11.2</v>
      </c>
      <c r="C155" s="5">
        <f t="shared" si="21"/>
        <v>0.78866666666666663</v>
      </c>
      <c r="D155" s="5">
        <v>34.5</v>
      </c>
      <c r="E155" s="5">
        <v>24</v>
      </c>
      <c r="F155" s="5">
        <v>1.813675E-2</v>
      </c>
      <c r="G155" s="5">
        <f t="shared" si="22"/>
        <v>9.2932299999999995E-3</v>
      </c>
      <c r="H155" s="5">
        <f t="shared" si="23"/>
        <v>10.18563</v>
      </c>
      <c r="I155" s="14">
        <f>3000*C155*(F155-G155)</f>
        <v>20.923768320000001</v>
      </c>
      <c r="L155" s="57" t="s">
        <v>135</v>
      </c>
      <c r="N155">
        <f>M155*V155</f>
        <v>0</v>
      </c>
      <c r="O155">
        <v>34.5</v>
      </c>
      <c r="P155" s="57">
        <v>24</v>
      </c>
      <c r="Q155" s="57">
        <v>1.813675E-2</v>
      </c>
      <c r="R155" s="57">
        <f t="shared" si="26"/>
        <v>9.2932299999999995E-3</v>
      </c>
      <c r="S155">
        <f t="shared" si="27"/>
        <v>0</v>
      </c>
      <c r="T155">
        <f t="shared" si="28"/>
        <v>0</v>
      </c>
    </row>
    <row r="156" spans="1:22" ht="15" thickBot="1" x14ac:dyDescent="0.4">
      <c r="A156" s="7" t="s">
        <v>132</v>
      </c>
      <c r="B156" s="5">
        <f>References!AB81*4</f>
        <v>165.20840000000001</v>
      </c>
      <c r="C156" s="5">
        <f t="shared" si="21"/>
        <v>12.115282666666667</v>
      </c>
      <c r="D156" s="5">
        <v>34.5</v>
      </c>
      <c r="E156" s="5">
        <v>22.5</v>
      </c>
      <c r="F156" s="5">
        <v>1.813675E-2</v>
      </c>
      <c r="G156" s="5">
        <f t="shared" si="22"/>
        <v>8.4806099999999995E-3</v>
      </c>
      <c r="H156" s="5">
        <f t="shared" si="23"/>
        <v>178.82157216000002</v>
      </c>
      <c r="I156" s="14">
        <f t="shared" ref="I156:I158" si="29">3000*C156*(F156-G156)</f>
        <v>350.96059670672008</v>
      </c>
      <c r="L156" s="28" t="s">
        <v>132</v>
      </c>
      <c r="M156">
        <v>3</v>
      </c>
      <c r="N156">
        <f t="shared" ref="N156:N158" si="30">M156*V156</f>
        <v>24</v>
      </c>
      <c r="O156">
        <v>34.5</v>
      </c>
      <c r="P156" s="28">
        <v>22.5</v>
      </c>
      <c r="Q156" s="57">
        <v>1.813675E-2</v>
      </c>
      <c r="R156" s="28">
        <f t="shared" si="26"/>
        <v>8.4806099999999995E-3</v>
      </c>
      <c r="S156">
        <f t="shared" si="27"/>
        <v>354.81599999999997</v>
      </c>
      <c r="T156">
        <f t="shared" si="28"/>
        <v>695.24207999999999</v>
      </c>
      <c r="V156" s="50">
        <v>8</v>
      </c>
    </row>
    <row r="157" spans="1:22" ht="15" thickBot="1" x14ac:dyDescent="0.4">
      <c r="A157" s="7" t="s">
        <v>130</v>
      </c>
      <c r="B157" s="5">
        <f>References!AB82*4</f>
        <v>187.89680000000001</v>
      </c>
      <c r="C157" s="5">
        <f t="shared" si="21"/>
        <v>13.779098666666668</v>
      </c>
      <c r="D157" s="5">
        <v>34.5</v>
      </c>
      <c r="E157" s="5">
        <v>22.5</v>
      </c>
      <c r="F157" s="5">
        <v>1.813675E-2</v>
      </c>
      <c r="G157" s="5">
        <f t="shared" si="22"/>
        <v>8.4806099999999995E-3</v>
      </c>
      <c r="H157" s="5">
        <f t="shared" si="23"/>
        <v>203.37949632000004</v>
      </c>
      <c r="I157" s="14">
        <f t="shared" si="29"/>
        <v>399.15871739744006</v>
      </c>
      <c r="L157" s="57" t="s">
        <v>130</v>
      </c>
      <c r="M157">
        <v>3</v>
      </c>
      <c r="N157">
        <f t="shared" si="30"/>
        <v>24</v>
      </c>
      <c r="O157">
        <v>34.5</v>
      </c>
      <c r="P157" s="57">
        <v>22.5</v>
      </c>
      <c r="Q157" s="57">
        <v>1.813675E-2</v>
      </c>
      <c r="R157" s="57">
        <f t="shared" si="26"/>
        <v>8.4806099999999995E-3</v>
      </c>
      <c r="S157">
        <f t="shared" si="27"/>
        <v>354.81599999999997</v>
      </c>
      <c r="T157">
        <f t="shared" si="28"/>
        <v>695.24207999999999</v>
      </c>
      <c r="V157" s="50">
        <v>8</v>
      </c>
    </row>
    <row r="158" spans="1:22" ht="15" thickBot="1" x14ac:dyDescent="0.4">
      <c r="A158" s="22" t="s">
        <v>156</v>
      </c>
      <c r="B158" s="20">
        <f>References!AB83*4</f>
        <v>8.3604000000000003</v>
      </c>
      <c r="C158" s="20">
        <f t="shared" si="21"/>
        <v>0.58871150000000005</v>
      </c>
      <c r="D158" s="20">
        <v>34.5</v>
      </c>
      <c r="E158" s="20">
        <v>24</v>
      </c>
      <c r="F158" s="5">
        <v>1.813675E-2</v>
      </c>
      <c r="G158" s="20">
        <f t="shared" si="22"/>
        <v>9.2932299999999995E-3</v>
      </c>
      <c r="H158" s="20">
        <f t="shared" si="23"/>
        <v>7.6032090225000006</v>
      </c>
      <c r="I158" s="21">
        <f t="shared" si="29"/>
        <v>15.618845773440002</v>
      </c>
      <c r="L158" s="28" t="s">
        <v>156</v>
      </c>
      <c r="N158">
        <f t="shared" si="30"/>
        <v>0</v>
      </c>
      <c r="O158">
        <v>34.5</v>
      </c>
      <c r="P158" s="28">
        <v>24</v>
      </c>
      <c r="Q158" s="57">
        <v>1.813675E-2</v>
      </c>
      <c r="R158" s="28">
        <f t="shared" si="26"/>
        <v>9.2932299999999995E-3</v>
      </c>
      <c r="S158">
        <f t="shared" si="27"/>
        <v>0</v>
      </c>
      <c r="T158">
        <f t="shared" si="28"/>
        <v>0</v>
      </c>
    </row>
    <row r="159" spans="1:22" ht="15" thickBot="1" x14ac:dyDescent="0.4">
      <c r="F159" s="62" t="s">
        <v>123</v>
      </c>
      <c r="G159" s="62"/>
      <c r="H159" s="43">
        <f>SUM(H79:H158)</f>
        <v>7292.9802201313305</v>
      </c>
      <c r="I159" s="43">
        <f>SUM(I79:I158)</f>
        <v>14355.12859520341</v>
      </c>
    </row>
    <row r="160" spans="1:22" ht="15" thickBot="1" x14ac:dyDescent="0.4">
      <c r="F160" s="62" t="s">
        <v>168</v>
      </c>
      <c r="G160" s="62"/>
      <c r="H160" s="53">
        <f>I159+H159</f>
        <v>21648.108815334741</v>
      </c>
      <c r="I160" s="53"/>
      <c r="S160">
        <f>SUM(S79:S158)</f>
        <v>23095.995999999996</v>
      </c>
      <c r="T160">
        <f>SUM(T79:T158)</f>
        <v>45314.137980000029</v>
      </c>
    </row>
    <row r="163" spans="1:22" ht="15" thickBot="1" x14ac:dyDescent="0.4">
      <c r="A163" s="15" t="s">
        <v>0</v>
      </c>
      <c r="B163" s="16" t="s">
        <v>169</v>
      </c>
      <c r="C163" s="16" t="s">
        <v>21</v>
      </c>
      <c r="D163" s="16" t="s">
        <v>13</v>
      </c>
      <c r="E163" s="16" t="s">
        <v>7</v>
      </c>
      <c r="F163" s="16" t="s">
        <v>22</v>
      </c>
      <c r="G163" s="16" t="s">
        <v>23</v>
      </c>
      <c r="H163" s="16" t="s">
        <v>302</v>
      </c>
      <c r="I163" s="17" t="s">
        <v>303</v>
      </c>
      <c r="J163" s="4"/>
      <c r="L163" s="1" t="s">
        <v>0</v>
      </c>
      <c r="M163" s="1" t="s">
        <v>337</v>
      </c>
      <c r="N163" s="1" t="s">
        <v>21</v>
      </c>
      <c r="O163" s="1" t="s">
        <v>13</v>
      </c>
      <c r="P163" s="1" t="s">
        <v>7</v>
      </c>
      <c r="Q163" s="1" t="s">
        <v>22</v>
      </c>
      <c r="R163" s="1" t="s">
        <v>23</v>
      </c>
      <c r="S163" s="1" t="s">
        <v>338</v>
      </c>
      <c r="T163" s="1" t="s">
        <v>339</v>
      </c>
      <c r="V163" s="1" t="s">
        <v>340</v>
      </c>
    </row>
    <row r="164" spans="1:22" ht="15" thickBot="1" x14ac:dyDescent="0.4">
      <c r="A164" s="7" t="s">
        <v>124</v>
      </c>
      <c r="B164" s="5">
        <f>References!AE4*4</f>
        <v>137.10759999999999</v>
      </c>
      <c r="C164" s="5">
        <f>(References!AD4*B164)/3.6</f>
        <v>10.054557333333333</v>
      </c>
      <c r="D164" s="5">
        <v>34.5</v>
      </c>
      <c r="E164" s="5">
        <v>22.5</v>
      </c>
      <c r="F164" s="5">
        <v>1.8136751999999999E-2</v>
      </c>
      <c r="G164" s="5">
        <f>_xlfn.IFS(E164=22.5,0.00848031,E164=24,0.009293235,E164=22,0.00821976)</f>
        <v>8.4803099999999996E-3</v>
      </c>
      <c r="H164" s="5">
        <f>1.232*(D164-E164)*C164</f>
        <v>148.64657561599998</v>
      </c>
      <c r="I164" s="14">
        <f>3000*C164*(F164-G164)</f>
        <v>291.27374917502397</v>
      </c>
      <c r="L164" s="57" t="s">
        <v>124</v>
      </c>
      <c r="M164">
        <v>5</v>
      </c>
      <c r="N164">
        <f>M164*V164</f>
        <v>65</v>
      </c>
      <c r="O164">
        <v>34.5</v>
      </c>
      <c r="P164" s="57">
        <v>22.5</v>
      </c>
      <c r="Q164" s="57">
        <v>1.813675E-2</v>
      </c>
      <c r="R164" s="57">
        <f>_xlfn.IFS(P164=22.5,0.00848031,P164=24,0.009293235,P164=22,0.00821976)</f>
        <v>8.4803099999999996E-3</v>
      </c>
      <c r="S164">
        <f>1.232*N164*(O164-P164)</f>
        <v>960.96</v>
      </c>
      <c r="T164">
        <f>3000*N164*(Q164-R164)</f>
        <v>1883.0058000000001</v>
      </c>
      <c r="V164" s="50">
        <v>13</v>
      </c>
    </row>
    <row r="165" spans="1:22" ht="15" thickBot="1" x14ac:dyDescent="0.4">
      <c r="A165" s="7"/>
      <c r="B165" s="5"/>
      <c r="C165" s="5"/>
      <c r="D165" s="5"/>
      <c r="E165" s="5"/>
      <c r="F165" s="5"/>
      <c r="G165" s="5"/>
      <c r="H165" s="5"/>
      <c r="I165" s="14"/>
      <c r="L165" s="28"/>
      <c r="N165">
        <f t="shared" ref="N165:N228" si="31">M165*V165</f>
        <v>0</v>
      </c>
      <c r="O165">
        <v>34.5</v>
      </c>
      <c r="P165" s="28"/>
      <c r="Q165" s="57">
        <v>1.813675E-2</v>
      </c>
      <c r="R165" s="28"/>
      <c r="S165">
        <f t="shared" ref="S165:S228" si="32">1.232*N165*(O165-P165)</f>
        <v>0</v>
      </c>
      <c r="T165">
        <f t="shared" ref="T165:T228" si="33">3000*N165*(Q165-R165)</f>
        <v>0</v>
      </c>
    </row>
    <row r="166" spans="1:22" ht="15" thickBot="1" x14ac:dyDescent="0.4">
      <c r="A166" s="7" t="s">
        <v>170</v>
      </c>
      <c r="B166" s="5">
        <f>References!AE6*4</f>
        <v>137.04</v>
      </c>
      <c r="C166" s="5">
        <f>(References!AD6*B166)/3.6</f>
        <v>10.0496</v>
      </c>
      <c r="D166" s="5">
        <v>34.5</v>
      </c>
      <c r="E166" s="5">
        <v>22.5</v>
      </c>
      <c r="F166" s="5">
        <v>1.8136751999999999E-2</v>
      </c>
      <c r="G166" s="5">
        <f t="shared" ref="G166:G172" si="34">_xlfn.IFS(E166=22.5,0.00848031,E166=24,0.009293235,E166=22,0.00821976)</f>
        <v>8.4803099999999996E-3</v>
      </c>
      <c r="H166" s="5">
        <f t="shared" ref="H166:H228" si="35">1.232*(D166-E166)*C166</f>
        <v>148.5732864</v>
      </c>
      <c r="I166" s="14">
        <f t="shared" ref="I166:I228" si="36">3000*C166*(F166-G166)</f>
        <v>291.13013856959998</v>
      </c>
      <c r="L166" s="57" t="s">
        <v>170</v>
      </c>
      <c r="M166">
        <v>5</v>
      </c>
      <c r="N166">
        <f t="shared" si="31"/>
        <v>65</v>
      </c>
      <c r="O166">
        <v>34.5</v>
      </c>
      <c r="P166" s="57">
        <v>22.5</v>
      </c>
      <c r="Q166" s="57">
        <v>1.813675E-2</v>
      </c>
      <c r="R166" s="57">
        <f t="shared" ref="R166:R172" si="37">_xlfn.IFS(P166=22.5,0.00848031,P166=24,0.009293235,P166=22,0.00821976)</f>
        <v>8.4803099999999996E-3</v>
      </c>
      <c r="S166">
        <f t="shared" si="32"/>
        <v>960.96</v>
      </c>
      <c r="T166">
        <f t="shared" si="33"/>
        <v>1883.0058000000001</v>
      </c>
      <c r="V166" s="50">
        <v>13</v>
      </c>
    </row>
    <row r="167" spans="1:22" ht="15" thickBot="1" x14ac:dyDescent="0.4">
      <c r="A167" s="7"/>
      <c r="B167" s="5"/>
      <c r="C167" s="5"/>
      <c r="D167" s="5"/>
      <c r="E167" s="5"/>
      <c r="F167" s="5"/>
      <c r="G167" s="5"/>
      <c r="H167" s="5"/>
      <c r="I167" s="14"/>
      <c r="L167" s="28"/>
      <c r="N167">
        <f t="shared" si="31"/>
        <v>0</v>
      </c>
      <c r="O167">
        <v>34.5</v>
      </c>
      <c r="P167" s="28"/>
      <c r="Q167" s="57">
        <v>1.813675E-2</v>
      </c>
      <c r="R167" s="28"/>
      <c r="S167">
        <f t="shared" si="32"/>
        <v>0</v>
      </c>
      <c r="T167">
        <f t="shared" si="33"/>
        <v>0</v>
      </c>
    </row>
    <row r="168" spans="1:22" ht="15" thickBot="1" x14ac:dyDescent="0.4">
      <c r="A168" s="7" t="s">
        <v>305</v>
      </c>
      <c r="B168" s="5">
        <f>References!AE8*4</f>
        <v>149.63480000000001</v>
      </c>
      <c r="C168" s="5">
        <f>(References!AD8*B168)/3.6</f>
        <v>10.973218666666668</v>
      </c>
      <c r="D168" s="5">
        <v>34.5</v>
      </c>
      <c r="E168" s="5">
        <v>22.5</v>
      </c>
      <c r="F168" s="5">
        <v>1.8136751999999999E-2</v>
      </c>
      <c r="G168" s="5">
        <f t="shared" si="34"/>
        <v>8.4803099999999996E-3</v>
      </c>
      <c r="H168" s="5">
        <f t="shared" si="35"/>
        <v>162.228064768</v>
      </c>
      <c r="I168" s="14">
        <f t="shared" si="36"/>
        <v>317.88674882395202</v>
      </c>
      <c r="L168" s="57" t="s">
        <v>305</v>
      </c>
      <c r="N168">
        <f t="shared" si="31"/>
        <v>0</v>
      </c>
      <c r="O168">
        <v>34.5</v>
      </c>
      <c r="P168" s="57">
        <v>22.5</v>
      </c>
      <c r="Q168" s="57">
        <v>1.813675E-2</v>
      </c>
      <c r="R168" s="57">
        <f t="shared" si="37"/>
        <v>8.4803099999999996E-3</v>
      </c>
      <c r="S168">
        <f t="shared" si="32"/>
        <v>0</v>
      </c>
      <c r="T168">
        <f t="shared" si="33"/>
        <v>0</v>
      </c>
    </row>
    <row r="169" spans="1:22" ht="15" thickBot="1" x14ac:dyDescent="0.4">
      <c r="A169" s="7" t="s">
        <v>306</v>
      </c>
      <c r="B169" s="5">
        <f>References!AE9*4</f>
        <v>149.63480000000001</v>
      </c>
      <c r="C169" s="5">
        <f>(References!AD9*B169)/3.6</f>
        <v>10.973218666666668</v>
      </c>
      <c r="D169" s="5">
        <v>34.5</v>
      </c>
      <c r="E169" s="5">
        <v>22.5</v>
      </c>
      <c r="F169" s="5">
        <v>1.8136751999999999E-2</v>
      </c>
      <c r="G169" s="5">
        <f t="shared" si="34"/>
        <v>8.4803099999999996E-3</v>
      </c>
      <c r="H169" s="5">
        <f t="shared" si="35"/>
        <v>162.228064768</v>
      </c>
      <c r="I169" s="14">
        <f t="shared" si="36"/>
        <v>317.88674882395202</v>
      </c>
      <c r="L169" s="28" t="s">
        <v>306</v>
      </c>
      <c r="N169">
        <f t="shared" si="31"/>
        <v>0</v>
      </c>
      <c r="O169">
        <v>34.5</v>
      </c>
      <c r="P169" s="28">
        <v>22.5</v>
      </c>
      <c r="Q169" s="57">
        <v>1.813675E-2</v>
      </c>
      <c r="R169" s="28">
        <f t="shared" si="37"/>
        <v>8.4803099999999996E-3</v>
      </c>
      <c r="S169">
        <f t="shared" si="32"/>
        <v>0</v>
      </c>
      <c r="T169">
        <f t="shared" si="33"/>
        <v>0</v>
      </c>
    </row>
    <row r="170" spans="1:22" ht="15" thickBot="1" x14ac:dyDescent="0.4">
      <c r="A170" s="7" t="s">
        <v>125</v>
      </c>
      <c r="B170" s="5">
        <f>References!AE10*4</f>
        <v>137.04</v>
      </c>
      <c r="C170" s="5">
        <f>(References!AD10*B170)/3.6</f>
        <v>10.0496</v>
      </c>
      <c r="D170" s="5">
        <v>34.5</v>
      </c>
      <c r="E170" s="5">
        <v>22.5</v>
      </c>
      <c r="F170" s="5">
        <v>1.8136751999999999E-2</v>
      </c>
      <c r="G170" s="5">
        <f t="shared" si="34"/>
        <v>8.4803099999999996E-3</v>
      </c>
      <c r="H170" s="5">
        <f t="shared" si="35"/>
        <v>148.5732864</v>
      </c>
      <c r="I170" s="14">
        <f t="shared" si="36"/>
        <v>291.13013856959998</v>
      </c>
      <c r="L170" s="57" t="s">
        <v>125</v>
      </c>
      <c r="M170">
        <v>5</v>
      </c>
      <c r="N170">
        <f t="shared" si="31"/>
        <v>65</v>
      </c>
      <c r="O170">
        <v>34.5</v>
      </c>
      <c r="P170" s="57">
        <v>22.5</v>
      </c>
      <c r="Q170" s="57">
        <v>1.813675E-2</v>
      </c>
      <c r="R170" s="57">
        <f t="shared" si="37"/>
        <v>8.4803099999999996E-3</v>
      </c>
      <c r="S170">
        <f t="shared" si="32"/>
        <v>960.96</v>
      </c>
      <c r="T170">
        <f t="shared" si="33"/>
        <v>1883.0058000000001</v>
      </c>
      <c r="V170" s="50">
        <v>13</v>
      </c>
    </row>
    <row r="171" spans="1:22" ht="15" thickBot="1" x14ac:dyDescent="0.4">
      <c r="A171" s="7"/>
      <c r="B171" s="5"/>
      <c r="C171" s="5"/>
      <c r="D171" s="5"/>
      <c r="E171" s="5"/>
      <c r="F171" s="5"/>
      <c r="G171" s="5"/>
      <c r="H171" s="5"/>
      <c r="I171" s="14"/>
      <c r="L171" s="28"/>
      <c r="N171">
        <f t="shared" si="31"/>
        <v>0</v>
      </c>
      <c r="O171">
        <v>34.5</v>
      </c>
      <c r="P171" s="28"/>
      <c r="Q171" s="57">
        <v>1.813675E-2</v>
      </c>
      <c r="R171" s="28"/>
      <c r="S171">
        <f t="shared" si="32"/>
        <v>0</v>
      </c>
      <c r="T171">
        <f t="shared" si="33"/>
        <v>0</v>
      </c>
    </row>
    <row r="172" spans="1:22" ht="15" thickBot="1" x14ac:dyDescent="0.4">
      <c r="A172" s="7" t="s">
        <v>126</v>
      </c>
      <c r="B172" s="5">
        <f>References!AE12*4</f>
        <v>137.04</v>
      </c>
      <c r="C172" s="5">
        <f>(References!AD12*B172)/3.6</f>
        <v>10.0496</v>
      </c>
      <c r="D172" s="5">
        <v>34.5</v>
      </c>
      <c r="E172" s="5">
        <v>22.5</v>
      </c>
      <c r="F172" s="5">
        <v>1.8136751999999999E-2</v>
      </c>
      <c r="G172" s="5">
        <f t="shared" si="34"/>
        <v>8.4803099999999996E-3</v>
      </c>
      <c r="H172" s="5">
        <f t="shared" si="35"/>
        <v>148.5732864</v>
      </c>
      <c r="I172" s="14">
        <f t="shared" si="36"/>
        <v>291.13013856959998</v>
      </c>
      <c r="L172" s="57" t="s">
        <v>126</v>
      </c>
      <c r="M172">
        <v>5</v>
      </c>
      <c r="N172">
        <f t="shared" si="31"/>
        <v>65</v>
      </c>
      <c r="O172">
        <v>34.5</v>
      </c>
      <c r="P172" s="57">
        <v>22.5</v>
      </c>
      <c r="Q172" s="57">
        <v>1.813675E-2</v>
      </c>
      <c r="R172" s="57">
        <f t="shared" si="37"/>
        <v>8.4803099999999996E-3</v>
      </c>
      <c r="S172">
        <f t="shared" si="32"/>
        <v>960.96</v>
      </c>
      <c r="T172">
        <f t="shared" si="33"/>
        <v>1883.0058000000001</v>
      </c>
      <c r="V172" s="50">
        <v>13</v>
      </c>
    </row>
    <row r="173" spans="1:22" ht="15" thickBot="1" x14ac:dyDescent="0.4">
      <c r="A173" s="7"/>
      <c r="B173" s="5"/>
      <c r="C173" s="5"/>
      <c r="D173" s="5"/>
      <c r="E173" s="5"/>
      <c r="F173" s="5"/>
      <c r="G173" s="5"/>
      <c r="H173" s="5"/>
      <c r="I173" s="14"/>
      <c r="L173" s="28"/>
      <c r="N173">
        <f t="shared" si="31"/>
        <v>0</v>
      </c>
      <c r="O173">
        <v>34.5</v>
      </c>
      <c r="P173" s="28"/>
      <c r="Q173" s="57">
        <v>1.813675E-2</v>
      </c>
      <c r="R173" s="28"/>
      <c r="S173">
        <f t="shared" si="32"/>
        <v>0</v>
      </c>
      <c r="T173">
        <f t="shared" si="33"/>
        <v>0</v>
      </c>
    </row>
    <row r="174" spans="1:22" ht="15" thickBot="1" x14ac:dyDescent="0.4">
      <c r="A174" s="7" t="s">
        <v>171</v>
      </c>
      <c r="B174" s="5">
        <f>References!AE14*4</f>
        <v>40.557200000000002</v>
      </c>
      <c r="C174" s="5">
        <f>(References!AD14*B174)/3.6</f>
        <v>2.974194666666667</v>
      </c>
      <c r="D174" s="5">
        <v>34.5</v>
      </c>
      <c r="E174" s="5">
        <v>22.5</v>
      </c>
      <c r="F174" s="5">
        <v>1.8136751999999999E-2</v>
      </c>
      <c r="G174" s="5">
        <f>_xlfn.IFS(E174=22.5,0.00848031,E174=24,0.009293235,E174=22,0.00821976)</f>
        <v>8.4803099999999996E-3</v>
      </c>
      <c r="H174" s="5">
        <f t="shared" si="35"/>
        <v>43.970493951999998</v>
      </c>
      <c r="I174" s="14">
        <f t="shared" si="36"/>
        <v>86.160414886127995</v>
      </c>
      <c r="L174" s="57" t="s">
        <v>171</v>
      </c>
      <c r="M174">
        <v>3</v>
      </c>
      <c r="N174">
        <f t="shared" si="31"/>
        <v>39</v>
      </c>
      <c r="O174">
        <v>34.5</v>
      </c>
      <c r="P174" s="57">
        <v>22.5</v>
      </c>
      <c r="Q174" s="57">
        <v>1.813675E-2</v>
      </c>
      <c r="R174" s="57">
        <f>_xlfn.IFS(P174=22.5,0.00848031,P174=24,0.009293235,P174=22,0.00821976)</f>
        <v>8.4803099999999996E-3</v>
      </c>
      <c r="S174">
        <f t="shared" si="32"/>
        <v>576.57600000000002</v>
      </c>
      <c r="T174">
        <f t="shared" si="33"/>
        <v>1129.80348</v>
      </c>
      <c r="V174" s="50">
        <v>13</v>
      </c>
    </row>
    <row r="175" spans="1:22" ht="15" thickBot="1" x14ac:dyDescent="0.4">
      <c r="A175" s="7"/>
      <c r="B175" s="5"/>
      <c r="C175" s="5"/>
      <c r="D175" s="5"/>
      <c r="E175" s="5"/>
      <c r="F175" s="5"/>
      <c r="G175" s="5"/>
      <c r="H175" s="5"/>
      <c r="I175" s="14"/>
      <c r="L175" s="28"/>
      <c r="N175">
        <f t="shared" si="31"/>
        <v>0</v>
      </c>
      <c r="O175">
        <v>34.5</v>
      </c>
      <c r="P175" s="28"/>
      <c r="Q175" s="57">
        <v>1.813675E-2</v>
      </c>
      <c r="R175" s="28"/>
      <c r="S175">
        <f t="shared" si="32"/>
        <v>0</v>
      </c>
      <c r="T175">
        <f t="shared" si="33"/>
        <v>0</v>
      </c>
    </row>
    <row r="176" spans="1:22" ht="15" thickBot="1" x14ac:dyDescent="0.4">
      <c r="A176" s="7" t="s">
        <v>172</v>
      </c>
      <c r="B176" s="5">
        <f>References!AE16*4</f>
        <v>55.688800000000001</v>
      </c>
      <c r="C176" s="5">
        <f>(References!AD16*B176)/3.6</f>
        <v>4.0838453333333335</v>
      </c>
      <c r="D176" s="5">
        <v>34.5</v>
      </c>
      <c r="E176" s="5">
        <v>22.5</v>
      </c>
      <c r="F176" s="5">
        <v>1.8136751999999999E-2</v>
      </c>
      <c r="G176" s="5">
        <f t="shared" ref="G176:G233" si="38">_xlfn.IFS(E176=22.5,0.00848031,E176=24,0.009293235,E176=22,0.00821976)</f>
        <v>8.4803099999999996E-3</v>
      </c>
      <c r="H176" s="5">
        <f t="shared" si="35"/>
        <v>60.375569407999997</v>
      </c>
      <c r="I176" s="14">
        <f t="shared" si="36"/>
        <v>118.306246794912</v>
      </c>
      <c r="L176" s="57" t="s">
        <v>172</v>
      </c>
      <c r="M176">
        <v>2</v>
      </c>
      <c r="N176">
        <f t="shared" si="31"/>
        <v>26</v>
      </c>
      <c r="O176">
        <v>34.5</v>
      </c>
      <c r="P176" s="57">
        <v>22.5</v>
      </c>
      <c r="Q176" s="57">
        <v>1.813675E-2</v>
      </c>
      <c r="R176" s="57">
        <f t="shared" ref="R176:R233" si="39">_xlfn.IFS(P176=22.5,0.00848031,P176=24,0.009293235,P176=22,0.00821976)</f>
        <v>8.4803099999999996E-3</v>
      </c>
      <c r="S176">
        <f t="shared" si="32"/>
        <v>384.38399999999996</v>
      </c>
      <c r="T176">
        <f t="shared" si="33"/>
        <v>753.20231999999999</v>
      </c>
      <c r="V176" s="50">
        <v>13</v>
      </c>
    </row>
    <row r="177" spans="1:22" ht="15" thickBot="1" x14ac:dyDescent="0.4">
      <c r="A177" s="7"/>
      <c r="B177" s="5"/>
      <c r="C177" s="5"/>
      <c r="D177" s="5"/>
      <c r="E177" s="5"/>
      <c r="F177" s="5"/>
      <c r="G177" s="5"/>
      <c r="H177" s="5"/>
      <c r="I177" s="14"/>
      <c r="L177" s="28"/>
      <c r="N177">
        <f t="shared" si="31"/>
        <v>0</v>
      </c>
      <c r="O177">
        <v>34.5</v>
      </c>
      <c r="P177" s="28"/>
      <c r="Q177" s="57">
        <v>1.813675E-2</v>
      </c>
      <c r="R177" s="28"/>
      <c r="S177">
        <f t="shared" si="32"/>
        <v>0</v>
      </c>
      <c r="T177">
        <f t="shared" si="33"/>
        <v>0</v>
      </c>
    </row>
    <row r="178" spans="1:22" ht="15" thickBot="1" x14ac:dyDescent="0.4">
      <c r="A178" s="7" t="s">
        <v>173</v>
      </c>
      <c r="B178" s="5">
        <f>References!AE18*4</f>
        <v>55.495199999999997</v>
      </c>
      <c r="C178" s="5">
        <f>(References!AD18*B178)/3.6</f>
        <v>4.0696479999999999</v>
      </c>
      <c r="D178" s="5">
        <v>34.5</v>
      </c>
      <c r="E178" s="5">
        <v>22.5</v>
      </c>
      <c r="F178" s="5">
        <v>1.8136751999999999E-2</v>
      </c>
      <c r="G178" s="5">
        <f t="shared" si="38"/>
        <v>8.4803099999999996E-3</v>
      </c>
      <c r="H178" s="5">
        <f t="shared" si="35"/>
        <v>60.165676031999993</v>
      </c>
      <c r="I178" s="14">
        <f t="shared" si="36"/>
        <v>117.89495961724799</v>
      </c>
      <c r="L178" s="57" t="s">
        <v>173</v>
      </c>
      <c r="M178">
        <v>2</v>
      </c>
      <c r="N178">
        <f t="shared" si="31"/>
        <v>26</v>
      </c>
      <c r="O178">
        <v>34.5</v>
      </c>
      <c r="P178" s="57">
        <v>22.5</v>
      </c>
      <c r="Q178" s="57">
        <v>1.813675E-2</v>
      </c>
      <c r="R178" s="57">
        <f t="shared" si="39"/>
        <v>8.4803099999999996E-3</v>
      </c>
      <c r="S178">
        <f t="shared" si="32"/>
        <v>384.38399999999996</v>
      </c>
      <c r="T178">
        <f t="shared" si="33"/>
        <v>753.20231999999999</v>
      </c>
      <c r="V178" s="50">
        <v>13</v>
      </c>
    </row>
    <row r="179" spans="1:22" ht="15" thickBot="1" x14ac:dyDescent="0.4">
      <c r="A179" s="7"/>
      <c r="B179" s="5"/>
      <c r="C179" s="5"/>
      <c r="D179" s="5"/>
      <c r="E179" s="5"/>
      <c r="F179" s="5"/>
      <c r="G179" s="5"/>
      <c r="H179" s="5"/>
      <c r="I179" s="14"/>
      <c r="L179" s="28"/>
      <c r="N179">
        <f t="shared" si="31"/>
        <v>0</v>
      </c>
      <c r="O179">
        <v>34.5</v>
      </c>
      <c r="P179" s="28"/>
      <c r="Q179" s="57">
        <v>1.813675E-2</v>
      </c>
      <c r="R179" s="28"/>
      <c r="S179">
        <f t="shared" si="32"/>
        <v>0</v>
      </c>
      <c r="T179">
        <f t="shared" si="33"/>
        <v>0</v>
      </c>
    </row>
    <row r="180" spans="1:22" ht="15" thickBot="1" x14ac:dyDescent="0.4">
      <c r="A180" s="7" t="s">
        <v>174</v>
      </c>
      <c r="B180" s="5">
        <f>References!AE20*4</f>
        <v>122.848</v>
      </c>
      <c r="C180" s="5">
        <f>(References!AD20*B180)/3.6</f>
        <v>9.0088533333333327</v>
      </c>
      <c r="D180" s="5">
        <v>34.5</v>
      </c>
      <c r="E180" s="5">
        <v>22.5</v>
      </c>
      <c r="F180" s="5">
        <v>1.8136751999999999E-2</v>
      </c>
      <c r="G180" s="5">
        <f t="shared" si="38"/>
        <v>8.4803099999999996E-3</v>
      </c>
      <c r="H180" s="5">
        <f t="shared" si="35"/>
        <v>133.18688767999998</v>
      </c>
      <c r="I180" s="14">
        <f t="shared" si="36"/>
        <v>260.98040909951999</v>
      </c>
      <c r="L180" s="57" t="s">
        <v>174</v>
      </c>
      <c r="M180">
        <v>4</v>
      </c>
      <c r="N180">
        <f t="shared" si="31"/>
        <v>10</v>
      </c>
      <c r="O180">
        <v>34.5</v>
      </c>
      <c r="P180" s="57">
        <v>22.5</v>
      </c>
      <c r="Q180" s="57">
        <v>1.813675E-2</v>
      </c>
      <c r="R180" s="57">
        <f t="shared" si="39"/>
        <v>8.4803099999999996E-3</v>
      </c>
      <c r="S180">
        <f t="shared" si="32"/>
        <v>147.84</v>
      </c>
      <c r="T180">
        <f t="shared" si="33"/>
        <v>289.69319999999999</v>
      </c>
      <c r="V180" s="50">
        <v>2.5</v>
      </c>
    </row>
    <row r="181" spans="1:22" ht="15" thickBot="1" x14ac:dyDescent="0.4">
      <c r="A181" s="7"/>
      <c r="B181" s="5"/>
      <c r="C181" s="5"/>
      <c r="D181" s="5"/>
      <c r="E181" s="5"/>
      <c r="F181" s="5"/>
      <c r="G181" s="5"/>
      <c r="H181" s="5"/>
      <c r="I181" s="14"/>
      <c r="L181" s="28"/>
      <c r="N181">
        <f t="shared" si="31"/>
        <v>0</v>
      </c>
      <c r="O181">
        <v>34.5</v>
      </c>
      <c r="P181" s="28"/>
      <c r="Q181" s="57">
        <v>1.813675E-2</v>
      </c>
      <c r="R181" s="28"/>
      <c r="S181">
        <f t="shared" si="32"/>
        <v>0</v>
      </c>
      <c r="T181">
        <f t="shared" si="33"/>
        <v>0</v>
      </c>
    </row>
    <row r="182" spans="1:22" ht="15" thickBot="1" x14ac:dyDescent="0.4">
      <c r="A182" s="7" t="s">
        <v>175</v>
      </c>
      <c r="B182" s="5">
        <f>References!AE22*4</f>
        <v>71.765199999999993</v>
      </c>
      <c r="C182" s="5">
        <f>(References!AD22*B182)/3.6</f>
        <v>5.2627813333333329</v>
      </c>
      <c r="D182" s="5">
        <v>34.5</v>
      </c>
      <c r="E182" s="5">
        <v>22.5</v>
      </c>
      <c r="F182" s="5">
        <v>1.8136751999999999E-2</v>
      </c>
      <c r="G182" s="5">
        <f t="shared" si="38"/>
        <v>8.4803099999999996E-3</v>
      </c>
      <c r="H182" s="5">
        <f t="shared" si="35"/>
        <v>77.804959231999987</v>
      </c>
      <c r="I182" s="14">
        <f t="shared" si="36"/>
        <v>152.45922811204798</v>
      </c>
      <c r="L182" s="57" t="s">
        <v>175</v>
      </c>
      <c r="M182">
        <v>3</v>
      </c>
      <c r="N182">
        <f>M182*V182</f>
        <v>24</v>
      </c>
      <c r="O182">
        <v>34.5</v>
      </c>
      <c r="P182" s="57">
        <v>22.5</v>
      </c>
      <c r="Q182" s="57">
        <v>1.813675E-2</v>
      </c>
      <c r="R182" s="57">
        <f t="shared" si="39"/>
        <v>8.4803099999999996E-3</v>
      </c>
      <c r="S182">
        <f t="shared" si="32"/>
        <v>354.81599999999997</v>
      </c>
      <c r="T182">
        <f t="shared" si="33"/>
        <v>695.26368000000002</v>
      </c>
      <c r="V182" s="50">
        <v>8</v>
      </c>
    </row>
    <row r="183" spans="1:22" ht="15" thickBot="1" x14ac:dyDescent="0.4">
      <c r="A183" s="7" t="s">
        <v>176</v>
      </c>
      <c r="B183" s="5">
        <f>References!AE23*4</f>
        <v>91.316000000000003</v>
      </c>
      <c r="C183" s="5">
        <f>(References!AD23*B183)/3.6</f>
        <v>6.6965066666666671</v>
      </c>
      <c r="D183" s="5">
        <v>34.5</v>
      </c>
      <c r="E183" s="5">
        <v>22.5</v>
      </c>
      <c r="F183" s="5">
        <v>1.8136751999999999E-2</v>
      </c>
      <c r="G183" s="5">
        <f t="shared" si="38"/>
        <v>8.4803099999999996E-3</v>
      </c>
      <c r="H183" s="5">
        <f t="shared" si="35"/>
        <v>99.001154560000003</v>
      </c>
      <c r="I183" s="14">
        <f t="shared" si="36"/>
        <v>193.99328468784</v>
      </c>
      <c r="L183" s="28" t="s">
        <v>176</v>
      </c>
      <c r="N183">
        <f t="shared" si="31"/>
        <v>0</v>
      </c>
      <c r="O183">
        <v>34.5</v>
      </c>
      <c r="P183" s="28">
        <v>22.5</v>
      </c>
      <c r="Q183" s="57">
        <v>1.813675E-2</v>
      </c>
      <c r="R183" s="28">
        <f t="shared" si="39"/>
        <v>8.4803099999999996E-3</v>
      </c>
      <c r="S183">
        <f t="shared" si="32"/>
        <v>0</v>
      </c>
      <c r="T183">
        <f t="shared" si="33"/>
        <v>0</v>
      </c>
    </row>
    <row r="184" spans="1:22" ht="15" thickBot="1" x14ac:dyDescent="0.4">
      <c r="A184" s="7"/>
      <c r="B184" s="5"/>
      <c r="C184" s="5"/>
      <c r="D184" s="5"/>
      <c r="E184" s="5"/>
      <c r="F184" s="5"/>
      <c r="G184" s="5"/>
      <c r="H184" s="5"/>
      <c r="I184" s="14"/>
      <c r="L184" s="57"/>
      <c r="N184">
        <f t="shared" si="31"/>
        <v>0</v>
      </c>
      <c r="O184">
        <v>34.5</v>
      </c>
      <c r="P184" s="57"/>
      <c r="Q184" s="57">
        <v>1.813675E-2</v>
      </c>
      <c r="R184" s="57"/>
      <c r="S184">
        <f t="shared" si="32"/>
        <v>0</v>
      </c>
      <c r="T184">
        <f t="shared" si="33"/>
        <v>0</v>
      </c>
    </row>
    <row r="185" spans="1:22" ht="15" thickBot="1" x14ac:dyDescent="0.4">
      <c r="A185" s="7" t="s">
        <v>177</v>
      </c>
      <c r="B185" s="5">
        <f>References!AE25*4</f>
        <v>19.147600000000001</v>
      </c>
      <c r="C185" s="5">
        <f>(References!AD25*B185)/3.6</f>
        <v>1.3483101666666666</v>
      </c>
      <c r="D185" s="5">
        <v>34.5</v>
      </c>
      <c r="E185" s="5">
        <v>24</v>
      </c>
      <c r="F185" s="5">
        <v>1.8136751999999999E-2</v>
      </c>
      <c r="G185" s="5">
        <f t="shared" si="38"/>
        <v>9.2932350000000004E-3</v>
      </c>
      <c r="H185" s="5">
        <f t="shared" si="35"/>
        <v>17.441740316000001</v>
      </c>
      <c r="I185" s="14">
        <f t="shared" si="36"/>
        <v>35.771411640568495</v>
      </c>
      <c r="L185" s="28" t="s">
        <v>177</v>
      </c>
      <c r="N185">
        <f t="shared" si="31"/>
        <v>0</v>
      </c>
      <c r="O185">
        <v>34.5</v>
      </c>
      <c r="P185" s="28">
        <v>24</v>
      </c>
      <c r="Q185" s="57">
        <v>1.813675E-2</v>
      </c>
      <c r="R185" s="28">
        <f t="shared" si="39"/>
        <v>9.2932350000000004E-3</v>
      </c>
      <c r="S185">
        <f t="shared" si="32"/>
        <v>0</v>
      </c>
      <c r="T185">
        <f t="shared" si="33"/>
        <v>0</v>
      </c>
    </row>
    <row r="186" spans="1:22" ht="15" thickBot="1" x14ac:dyDescent="0.4">
      <c r="A186" s="7" t="s">
        <v>178</v>
      </c>
      <c r="B186" s="5">
        <f>References!AE26*4</f>
        <v>9.8323999999999998</v>
      </c>
      <c r="C186" s="5">
        <f>(References!AD26*B186)/3.6</f>
        <v>0.69236483333333332</v>
      </c>
      <c r="D186" s="5">
        <v>34.5</v>
      </c>
      <c r="E186" s="5">
        <v>24</v>
      </c>
      <c r="F186" s="5">
        <v>1.8136751999999999E-2</v>
      </c>
      <c r="G186" s="5">
        <f t="shared" si="38"/>
        <v>9.2932350000000004E-3</v>
      </c>
      <c r="H186" s="5">
        <f t="shared" si="35"/>
        <v>8.9564314839999994</v>
      </c>
      <c r="I186" s="14">
        <f t="shared" si="36"/>
        <v>18.368820521356497</v>
      </c>
      <c r="L186" s="57" t="s">
        <v>178</v>
      </c>
      <c r="N186">
        <f t="shared" si="31"/>
        <v>0</v>
      </c>
      <c r="O186">
        <v>34.5</v>
      </c>
      <c r="P186" s="57">
        <v>24</v>
      </c>
      <c r="Q186" s="57">
        <v>1.813675E-2</v>
      </c>
      <c r="R186" s="57">
        <f t="shared" si="39"/>
        <v>9.2932350000000004E-3</v>
      </c>
      <c r="S186">
        <f t="shared" si="32"/>
        <v>0</v>
      </c>
      <c r="T186">
        <f t="shared" si="33"/>
        <v>0</v>
      </c>
    </row>
    <row r="187" spans="1:22" ht="15" thickBot="1" x14ac:dyDescent="0.4">
      <c r="A187" s="7" t="s">
        <v>179</v>
      </c>
      <c r="B187" s="5">
        <f>References!AE27*4</f>
        <v>55.494</v>
      </c>
      <c r="C187" s="5">
        <f>(References!AD27*B187)/3.6</f>
        <v>4.0695600000000001</v>
      </c>
      <c r="D187" s="5">
        <v>34.5</v>
      </c>
      <c r="E187" s="5">
        <v>22.5</v>
      </c>
      <c r="F187" s="5">
        <v>1.8136751999999999E-2</v>
      </c>
      <c r="G187" s="5">
        <f t="shared" si="38"/>
        <v>8.4803099999999996E-3</v>
      </c>
      <c r="H187" s="5">
        <f t="shared" si="35"/>
        <v>60.164375039999996</v>
      </c>
      <c r="I187" s="14">
        <f t="shared" si="36"/>
        <v>117.89241031656</v>
      </c>
      <c r="L187" s="28" t="s">
        <v>179</v>
      </c>
      <c r="M187">
        <v>2</v>
      </c>
      <c r="N187">
        <f t="shared" si="31"/>
        <v>26</v>
      </c>
      <c r="O187">
        <v>34.5</v>
      </c>
      <c r="P187" s="28">
        <v>22.5</v>
      </c>
      <c r="Q187" s="57">
        <v>1.813675E-2</v>
      </c>
      <c r="R187" s="28">
        <f t="shared" si="39"/>
        <v>8.4803099999999996E-3</v>
      </c>
      <c r="S187">
        <f t="shared" si="32"/>
        <v>384.38399999999996</v>
      </c>
      <c r="T187">
        <f t="shared" si="33"/>
        <v>753.20231999999999</v>
      </c>
      <c r="V187" s="50">
        <v>13</v>
      </c>
    </row>
    <row r="188" spans="1:22" ht="15" thickBot="1" x14ac:dyDescent="0.4">
      <c r="A188" s="7"/>
      <c r="B188" s="5"/>
      <c r="C188" s="5"/>
      <c r="D188" s="5"/>
      <c r="E188" s="5"/>
      <c r="F188" s="5"/>
      <c r="G188" s="5"/>
      <c r="H188" s="5"/>
      <c r="I188" s="14"/>
      <c r="L188" s="57"/>
      <c r="N188">
        <f t="shared" si="31"/>
        <v>0</v>
      </c>
      <c r="O188">
        <v>34.5</v>
      </c>
      <c r="P188" s="57"/>
      <c r="Q188" s="57">
        <v>1.813675E-2</v>
      </c>
      <c r="R188" s="57"/>
      <c r="S188">
        <f t="shared" si="32"/>
        <v>0</v>
      </c>
      <c r="T188">
        <f t="shared" si="33"/>
        <v>0</v>
      </c>
    </row>
    <row r="189" spans="1:22" ht="15" thickBot="1" x14ac:dyDescent="0.4">
      <c r="A189" s="7" t="s">
        <v>180</v>
      </c>
      <c r="B189" s="5">
        <f>References!AE29*4</f>
        <v>55.571199999999997</v>
      </c>
      <c r="C189" s="5">
        <f>(References!AD29*B189)/3.6</f>
        <v>4.0752213333333334</v>
      </c>
      <c r="D189" s="5">
        <v>34.5</v>
      </c>
      <c r="E189" s="5">
        <v>22.5</v>
      </c>
      <c r="F189" s="5">
        <v>1.8136751999999999E-2</v>
      </c>
      <c r="G189" s="5">
        <f t="shared" si="38"/>
        <v>8.4803099999999996E-3</v>
      </c>
      <c r="H189" s="5">
        <f t="shared" si="35"/>
        <v>60.248072191999995</v>
      </c>
      <c r="I189" s="14">
        <f t="shared" si="36"/>
        <v>118.056415327488</v>
      </c>
      <c r="L189" s="28" t="s">
        <v>180</v>
      </c>
      <c r="M189">
        <v>2</v>
      </c>
      <c r="N189">
        <f t="shared" si="31"/>
        <v>26</v>
      </c>
      <c r="O189">
        <v>34.5</v>
      </c>
      <c r="P189" s="28">
        <v>22.5</v>
      </c>
      <c r="Q189" s="57">
        <v>1.813675E-2</v>
      </c>
      <c r="R189" s="28">
        <f t="shared" si="39"/>
        <v>8.4803099999999996E-3</v>
      </c>
      <c r="S189">
        <f t="shared" si="32"/>
        <v>384.38399999999996</v>
      </c>
      <c r="T189">
        <f t="shared" si="33"/>
        <v>753.20231999999999</v>
      </c>
      <c r="V189" s="50">
        <v>13</v>
      </c>
    </row>
    <row r="190" spans="1:22" ht="15" thickBot="1" x14ac:dyDescent="0.4">
      <c r="A190" s="7"/>
      <c r="B190" s="5"/>
      <c r="C190" s="5"/>
      <c r="D190" s="5"/>
      <c r="E190" s="5"/>
      <c r="F190" s="5"/>
      <c r="G190" s="5"/>
      <c r="H190" s="5"/>
      <c r="I190" s="14"/>
      <c r="L190" s="57"/>
      <c r="N190">
        <f t="shared" si="31"/>
        <v>0</v>
      </c>
      <c r="O190">
        <v>34.5</v>
      </c>
      <c r="P190" s="57"/>
      <c r="Q190" s="57">
        <v>1.813675E-2</v>
      </c>
      <c r="R190" s="57"/>
      <c r="S190">
        <f t="shared" si="32"/>
        <v>0</v>
      </c>
      <c r="T190">
        <f t="shared" si="33"/>
        <v>0</v>
      </c>
    </row>
    <row r="191" spans="1:22" ht="15" thickBot="1" x14ac:dyDescent="0.4">
      <c r="A191" s="7" t="s">
        <v>181</v>
      </c>
      <c r="B191" s="5">
        <f>References!AE31*4</f>
        <v>40.686399999999999</v>
      </c>
      <c r="C191" s="5">
        <f>(References!AD31*B191)/3.6</f>
        <v>2.9836693333333333</v>
      </c>
      <c r="D191" s="5">
        <v>34.5</v>
      </c>
      <c r="E191" s="5">
        <v>22.5</v>
      </c>
      <c r="F191" s="5">
        <v>1.8136751999999999E-2</v>
      </c>
      <c r="G191" s="5">
        <f t="shared" si="38"/>
        <v>8.4803099999999996E-3</v>
      </c>
      <c r="H191" s="5">
        <f t="shared" si="35"/>
        <v>44.110567423999996</v>
      </c>
      <c r="I191" s="14">
        <f t="shared" si="36"/>
        <v>86.434889593535999</v>
      </c>
      <c r="L191" s="28" t="s">
        <v>181</v>
      </c>
      <c r="M191">
        <v>3</v>
      </c>
      <c r="N191">
        <f t="shared" si="31"/>
        <v>39</v>
      </c>
      <c r="O191">
        <v>34.5</v>
      </c>
      <c r="P191" s="28">
        <v>22.5</v>
      </c>
      <c r="Q191" s="57">
        <v>1.813675E-2</v>
      </c>
      <c r="R191" s="28">
        <f t="shared" si="39"/>
        <v>8.4803099999999996E-3</v>
      </c>
      <c r="S191">
        <f t="shared" si="32"/>
        <v>576.57600000000002</v>
      </c>
      <c r="T191">
        <f t="shared" si="33"/>
        <v>1129.80348</v>
      </c>
      <c r="V191" s="50">
        <v>13</v>
      </c>
    </row>
    <row r="192" spans="1:22" ht="15" thickBot="1" x14ac:dyDescent="0.4">
      <c r="A192" s="7"/>
      <c r="B192" s="5"/>
      <c r="C192" s="5"/>
      <c r="D192" s="5"/>
      <c r="E192" s="5"/>
      <c r="F192" s="5"/>
      <c r="G192" s="5"/>
      <c r="H192" s="5"/>
      <c r="I192" s="14"/>
      <c r="L192" s="57"/>
      <c r="N192">
        <f t="shared" si="31"/>
        <v>0</v>
      </c>
      <c r="O192">
        <v>34.5</v>
      </c>
      <c r="P192" s="57"/>
      <c r="Q192" s="57">
        <v>1.813675E-2</v>
      </c>
      <c r="R192" s="57"/>
      <c r="S192">
        <f t="shared" si="32"/>
        <v>0</v>
      </c>
      <c r="T192">
        <f t="shared" si="33"/>
        <v>0</v>
      </c>
    </row>
    <row r="193" spans="1:22" ht="15" thickBot="1" x14ac:dyDescent="0.4">
      <c r="A193" s="7" t="s">
        <v>183</v>
      </c>
      <c r="B193" s="5">
        <f>References!AE33*4</f>
        <v>63.447600000000001</v>
      </c>
      <c r="C193" s="5">
        <f>(References!AD33*B193)/3.6</f>
        <v>4.6528239999999998</v>
      </c>
      <c r="D193" s="5">
        <v>34.5</v>
      </c>
      <c r="E193" s="5">
        <v>22.5</v>
      </c>
      <c r="F193" s="5">
        <v>1.8136751999999999E-2</v>
      </c>
      <c r="G193" s="5">
        <f t="shared" si="38"/>
        <v>8.4803099999999996E-3</v>
      </c>
      <c r="H193" s="5">
        <f t="shared" si="35"/>
        <v>68.787350015999991</v>
      </c>
      <c r="I193" s="14">
        <f t="shared" si="36"/>
        <v>134.78917527662398</v>
      </c>
      <c r="L193" s="28" t="s">
        <v>183</v>
      </c>
      <c r="M193">
        <v>2</v>
      </c>
      <c r="N193">
        <f t="shared" si="31"/>
        <v>26</v>
      </c>
      <c r="O193">
        <v>34.5</v>
      </c>
      <c r="P193" s="28">
        <v>22.5</v>
      </c>
      <c r="Q193" s="57">
        <v>1.813675E-2</v>
      </c>
      <c r="R193" s="28">
        <f t="shared" si="39"/>
        <v>8.4803099999999996E-3</v>
      </c>
      <c r="S193">
        <f t="shared" si="32"/>
        <v>384.38399999999996</v>
      </c>
      <c r="T193">
        <f t="shared" si="33"/>
        <v>753.20231999999999</v>
      </c>
      <c r="V193" s="50">
        <v>13</v>
      </c>
    </row>
    <row r="194" spans="1:22" ht="15" thickBot="1" x14ac:dyDescent="0.4">
      <c r="A194" s="7"/>
      <c r="B194" s="5"/>
      <c r="C194" s="5"/>
      <c r="D194" s="5"/>
      <c r="E194" s="5"/>
      <c r="F194" s="5"/>
      <c r="G194" s="5"/>
      <c r="H194" s="5"/>
      <c r="I194" s="14"/>
      <c r="L194" s="57"/>
      <c r="N194">
        <f t="shared" si="31"/>
        <v>0</v>
      </c>
      <c r="O194">
        <v>34.5</v>
      </c>
      <c r="P194" s="57"/>
      <c r="Q194" s="57">
        <v>1.813675E-2</v>
      </c>
      <c r="R194" s="57"/>
      <c r="S194">
        <f t="shared" si="32"/>
        <v>0</v>
      </c>
      <c r="T194">
        <f t="shared" si="33"/>
        <v>0</v>
      </c>
    </row>
    <row r="195" spans="1:22" ht="15" thickBot="1" x14ac:dyDescent="0.4">
      <c r="A195" s="7" t="s">
        <v>187</v>
      </c>
      <c r="B195" s="5">
        <f>References!AE35*4</f>
        <v>63.447600000000001</v>
      </c>
      <c r="C195" s="5">
        <f>(References!AD35*B195)/3.6</f>
        <v>4.6528239999999998</v>
      </c>
      <c r="D195" s="5">
        <v>34.5</v>
      </c>
      <c r="E195" s="5">
        <v>22.5</v>
      </c>
      <c r="F195" s="5">
        <v>1.8136751999999999E-2</v>
      </c>
      <c r="G195" s="5">
        <f t="shared" si="38"/>
        <v>8.4803099999999996E-3</v>
      </c>
      <c r="H195" s="5">
        <f t="shared" si="35"/>
        <v>68.787350015999991</v>
      </c>
      <c r="I195" s="14">
        <f t="shared" si="36"/>
        <v>134.78917527662398</v>
      </c>
      <c r="L195" s="28" t="s">
        <v>187</v>
      </c>
      <c r="M195">
        <v>2</v>
      </c>
      <c r="N195">
        <f t="shared" si="31"/>
        <v>26</v>
      </c>
      <c r="O195">
        <v>34.5</v>
      </c>
      <c r="P195" s="28">
        <v>22.5</v>
      </c>
      <c r="Q195" s="57">
        <v>1.813675E-2</v>
      </c>
      <c r="R195" s="28">
        <f t="shared" si="39"/>
        <v>8.4803099999999996E-3</v>
      </c>
      <c r="S195">
        <f t="shared" si="32"/>
        <v>384.38399999999996</v>
      </c>
      <c r="T195">
        <f t="shared" si="33"/>
        <v>753.20231999999999</v>
      </c>
      <c r="V195" s="50">
        <v>13</v>
      </c>
    </row>
    <row r="196" spans="1:22" ht="15" thickBot="1" x14ac:dyDescent="0.4">
      <c r="A196" s="7"/>
      <c r="B196" s="5"/>
      <c r="C196" s="5"/>
      <c r="D196" s="5"/>
      <c r="E196" s="5"/>
      <c r="F196" s="5"/>
      <c r="G196" s="5"/>
      <c r="H196" s="5"/>
      <c r="I196" s="14"/>
      <c r="L196" s="57"/>
      <c r="N196">
        <f t="shared" si="31"/>
        <v>0</v>
      </c>
      <c r="O196">
        <v>34.5</v>
      </c>
      <c r="P196" s="57"/>
      <c r="Q196" s="57">
        <v>1.813675E-2</v>
      </c>
      <c r="R196" s="57"/>
      <c r="S196">
        <f t="shared" si="32"/>
        <v>0</v>
      </c>
      <c r="T196">
        <f t="shared" si="33"/>
        <v>0</v>
      </c>
    </row>
    <row r="197" spans="1:22" ht="15" thickBot="1" x14ac:dyDescent="0.4">
      <c r="A197" s="7" t="s">
        <v>184</v>
      </c>
      <c r="B197" s="5">
        <f>References!AE37*4</f>
        <v>99.132000000000005</v>
      </c>
      <c r="C197" s="5">
        <f>(References!AD37*B197)/3.6</f>
        <v>7.269680000000001</v>
      </c>
      <c r="D197" s="5">
        <v>34.5</v>
      </c>
      <c r="E197" s="5">
        <v>22.5</v>
      </c>
      <c r="F197" s="5">
        <v>1.8136751999999999E-2</v>
      </c>
      <c r="G197" s="5">
        <f t="shared" si="38"/>
        <v>8.4803099999999996E-3</v>
      </c>
      <c r="H197" s="5">
        <f t="shared" si="35"/>
        <v>107.47494912000001</v>
      </c>
      <c r="I197" s="14">
        <f t="shared" si="36"/>
        <v>210.59772983568004</v>
      </c>
      <c r="L197" s="28" t="s">
        <v>184</v>
      </c>
      <c r="M197">
        <v>3</v>
      </c>
      <c r="N197">
        <f t="shared" si="31"/>
        <v>39</v>
      </c>
      <c r="O197">
        <v>34.5</v>
      </c>
      <c r="P197" s="28">
        <v>22.5</v>
      </c>
      <c r="Q197" s="57">
        <v>1.813675E-2</v>
      </c>
      <c r="R197" s="28">
        <f t="shared" si="39"/>
        <v>8.4803099999999996E-3</v>
      </c>
      <c r="S197">
        <f t="shared" si="32"/>
        <v>576.57600000000002</v>
      </c>
      <c r="T197">
        <f t="shared" si="33"/>
        <v>1129.80348</v>
      </c>
      <c r="V197" s="50">
        <v>13</v>
      </c>
    </row>
    <row r="198" spans="1:22" ht="15" thickBot="1" x14ac:dyDescent="0.4">
      <c r="A198" s="7"/>
      <c r="B198" s="5"/>
      <c r="C198" s="5"/>
      <c r="D198" s="5"/>
      <c r="E198" s="5"/>
      <c r="F198" s="5"/>
      <c r="G198" s="5"/>
      <c r="H198" s="5"/>
      <c r="I198" s="14"/>
      <c r="L198" s="57"/>
      <c r="N198">
        <f>M198*V198</f>
        <v>0</v>
      </c>
      <c r="O198">
        <v>34.5</v>
      </c>
      <c r="P198" s="57"/>
      <c r="Q198" s="57">
        <v>1.813675E-2</v>
      </c>
      <c r="R198" s="57"/>
      <c r="S198">
        <f t="shared" si="32"/>
        <v>0</v>
      </c>
      <c r="T198">
        <f t="shared" si="33"/>
        <v>0</v>
      </c>
    </row>
    <row r="199" spans="1:22" ht="15" thickBot="1" x14ac:dyDescent="0.4">
      <c r="A199" s="7" t="s">
        <v>186</v>
      </c>
      <c r="B199" s="5">
        <f>References!AE39*4</f>
        <v>99.563599999999994</v>
      </c>
      <c r="C199" s="5">
        <f>(References!AD39*B199)/3.6</f>
        <v>7.301330666666666</v>
      </c>
      <c r="D199" s="5">
        <v>34.5</v>
      </c>
      <c r="E199" s="5">
        <v>22.5</v>
      </c>
      <c r="F199" s="5">
        <v>1.8136751999999999E-2</v>
      </c>
      <c r="G199" s="5">
        <f t="shared" si="38"/>
        <v>8.4803099999999996E-3</v>
      </c>
      <c r="H199" s="5">
        <f t="shared" si="35"/>
        <v>107.94287257599998</v>
      </c>
      <c r="I199" s="14">
        <f t="shared" si="36"/>
        <v>211.51462831646398</v>
      </c>
      <c r="L199" s="28" t="s">
        <v>186</v>
      </c>
      <c r="M199">
        <v>3</v>
      </c>
      <c r="N199">
        <f t="shared" si="31"/>
        <v>39</v>
      </c>
      <c r="O199">
        <v>34.5</v>
      </c>
      <c r="P199" s="28">
        <v>22.5</v>
      </c>
      <c r="Q199" s="57">
        <v>1.813675E-2</v>
      </c>
      <c r="R199" s="28">
        <f t="shared" si="39"/>
        <v>8.4803099999999996E-3</v>
      </c>
      <c r="S199">
        <f t="shared" si="32"/>
        <v>576.57600000000002</v>
      </c>
      <c r="T199">
        <f t="shared" si="33"/>
        <v>1129.80348</v>
      </c>
      <c r="V199" s="50">
        <v>13</v>
      </c>
    </row>
    <row r="200" spans="1:22" ht="15" thickBot="1" x14ac:dyDescent="0.4">
      <c r="A200" s="7"/>
      <c r="B200" s="5"/>
      <c r="C200" s="5"/>
      <c r="D200" s="5"/>
      <c r="E200" s="5"/>
      <c r="F200" s="5"/>
      <c r="G200" s="5"/>
      <c r="H200" s="5"/>
      <c r="I200" s="14"/>
      <c r="L200" s="57"/>
      <c r="N200">
        <f t="shared" si="31"/>
        <v>0</v>
      </c>
      <c r="O200">
        <v>34.5</v>
      </c>
      <c r="P200" s="57"/>
      <c r="Q200" s="57">
        <v>1.813675E-2</v>
      </c>
      <c r="R200" s="57"/>
      <c r="S200">
        <f t="shared" si="32"/>
        <v>0</v>
      </c>
      <c r="T200">
        <f t="shared" si="33"/>
        <v>0</v>
      </c>
    </row>
    <row r="201" spans="1:22" ht="15" thickBot="1" x14ac:dyDescent="0.4">
      <c r="A201" s="7" t="s">
        <v>190</v>
      </c>
      <c r="B201" s="5">
        <f>References!AE41*4</f>
        <v>54.725200000000001</v>
      </c>
      <c r="C201" s="5">
        <f>(References!AD41*B201)/3.6</f>
        <v>4.0131813333333337</v>
      </c>
      <c r="D201" s="5">
        <v>34.5</v>
      </c>
      <c r="E201" s="5">
        <v>22.5</v>
      </c>
      <c r="F201" s="5">
        <v>1.8136751999999999E-2</v>
      </c>
      <c r="G201" s="5">
        <f t="shared" si="38"/>
        <v>8.4803099999999996E-3</v>
      </c>
      <c r="H201" s="5">
        <f t="shared" si="35"/>
        <v>59.330872832000004</v>
      </c>
      <c r="I201" s="14">
        <f t="shared" si="36"/>
        <v>116.259158342448</v>
      </c>
      <c r="L201" s="28" t="s">
        <v>190</v>
      </c>
      <c r="M201">
        <v>2</v>
      </c>
      <c r="N201">
        <f t="shared" si="31"/>
        <v>26</v>
      </c>
      <c r="O201">
        <v>34.5</v>
      </c>
      <c r="P201" s="28">
        <v>22.5</v>
      </c>
      <c r="Q201" s="57">
        <v>1.813675E-2</v>
      </c>
      <c r="R201" s="28">
        <f t="shared" si="39"/>
        <v>8.4803099999999996E-3</v>
      </c>
      <c r="S201">
        <f t="shared" si="32"/>
        <v>384.38399999999996</v>
      </c>
      <c r="T201">
        <f t="shared" si="33"/>
        <v>753.20231999999999</v>
      </c>
      <c r="V201" s="50">
        <v>13</v>
      </c>
    </row>
    <row r="202" spans="1:22" ht="15" thickBot="1" x14ac:dyDescent="0.4">
      <c r="A202" s="7"/>
      <c r="B202" s="5"/>
      <c r="C202" s="5"/>
      <c r="D202" s="5"/>
      <c r="E202" s="5"/>
      <c r="F202" s="5"/>
      <c r="G202" s="5"/>
      <c r="H202" s="5"/>
      <c r="I202" s="14"/>
      <c r="L202" s="57"/>
      <c r="N202">
        <f t="shared" si="31"/>
        <v>0</v>
      </c>
      <c r="O202">
        <v>34.5</v>
      </c>
      <c r="P202" s="57"/>
      <c r="Q202" s="57">
        <v>1.813675E-2</v>
      </c>
      <c r="R202" s="57"/>
      <c r="S202">
        <f t="shared" si="32"/>
        <v>0</v>
      </c>
      <c r="T202">
        <f t="shared" si="33"/>
        <v>0</v>
      </c>
    </row>
    <row r="203" spans="1:22" ht="15" thickBot="1" x14ac:dyDescent="0.4">
      <c r="A203" s="7" t="s">
        <v>191</v>
      </c>
      <c r="B203" s="5">
        <f>References!AE43*4</f>
        <v>55.004800000000003</v>
      </c>
      <c r="C203" s="5">
        <f>(References!AD43*B203)/3.6</f>
        <v>4.0336853333333336</v>
      </c>
      <c r="D203" s="5">
        <v>34.5</v>
      </c>
      <c r="E203" s="5">
        <v>22.5</v>
      </c>
      <c r="F203" s="5">
        <v>1.8136751999999999E-2</v>
      </c>
      <c r="G203" s="5">
        <f t="shared" si="38"/>
        <v>8.4803099999999996E-3</v>
      </c>
      <c r="H203" s="5">
        <f t="shared" si="35"/>
        <v>59.634003968000002</v>
      </c>
      <c r="I203" s="14">
        <f t="shared" si="36"/>
        <v>116.85314540275199</v>
      </c>
      <c r="L203" s="28" t="s">
        <v>191</v>
      </c>
      <c r="M203">
        <v>2</v>
      </c>
      <c r="N203">
        <f t="shared" si="31"/>
        <v>26</v>
      </c>
      <c r="O203">
        <v>34.5</v>
      </c>
      <c r="P203" s="28">
        <v>22.5</v>
      </c>
      <c r="Q203" s="57">
        <v>1.813675E-2</v>
      </c>
      <c r="R203" s="28">
        <f t="shared" si="39"/>
        <v>8.4803099999999996E-3</v>
      </c>
      <c r="S203">
        <f t="shared" si="32"/>
        <v>384.38399999999996</v>
      </c>
      <c r="T203">
        <f t="shared" si="33"/>
        <v>753.20231999999999</v>
      </c>
      <c r="V203" s="50">
        <v>13</v>
      </c>
    </row>
    <row r="204" spans="1:22" ht="15" thickBot="1" x14ac:dyDescent="0.4">
      <c r="A204" s="7"/>
      <c r="B204" s="5"/>
      <c r="C204" s="5"/>
      <c r="D204" s="5"/>
      <c r="E204" s="5"/>
      <c r="F204" s="5"/>
      <c r="G204" s="5"/>
      <c r="H204" s="5"/>
      <c r="I204" s="14"/>
      <c r="L204" s="57"/>
      <c r="N204">
        <f t="shared" si="31"/>
        <v>0</v>
      </c>
      <c r="O204">
        <v>34.5</v>
      </c>
      <c r="P204" s="57"/>
      <c r="Q204" s="57">
        <v>1.813675E-2</v>
      </c>
      <c r="R204" s="57"/>
      <c r="S204">
        <f t="shared" si="32"/>
        <v>0</v>
      </c>
      <c r="T204">
        <f t="shared" si="33"/>
        <v>0</v>
      </c>
    </row>
    <row r="205" spans="1:22" ht="15" thickBot="1" x14ac:dyDescent="0.4">
      <c r="A205" s="7" t="s">
        <v>307</v>
      </c>
      <c r="B205" s="5">
        <f>References!AE45*4</f>
        <v>64.044799999999995</v>
      </c>
      <c r="C205" s="5">
        <f>(References!AD45*B205)/3.6</f>
        <v>4.6966186666666667</v>
      </c>
      <c r="D205" s="5">
        <v>34.5</v>
      </c>
      <c r="E205" s="5">
        <v>22.5</v>
      </c>
      <c r="F205" s="5">
        <v>1.8136751999999999E-2</v>
      </c>
      <c r="G205" s="5">
        <f t="shared" si="38"/>
        <v>8.4803099999999996E-3</v>
      </c>
      <c r="H205" s="5">
        <f t="shared" si="35"/>
        <v>69.434810368000001</v>
      </c>
      <c r="I205" s="14">
        <f t="shared" si="36"/>
        <v>136.057877252352</v>
      </c>
      <c r="L205" s="28" t="s">
        <v>307</v>
      </c>
      <c r="M205">
        <v>2</v>
      </c>
      <c r="N205">
        <f t="shared" si="31"/>
        <v>26</v>
      </c>
      <c r="O205">
        <v>34.5</v>
      </c>
      <c r="P205" s="28">
        <v>22.5</v>
      </c>
      <c r="Q205" s="57">
        <v>1.813675E-2</v>
      </c>
      <c r="R205" s="28">
        <f t="shared" si="39"/>
        <v>8.4803099999999996E-3</v>
      </c>
      <c r="S205">
        <f t="shared" si="32"/>
        <v>384.38399999999996</v>
      </c>
      <c r="T205">
        <f t="shared" si="33"/>
        <v>753.20231999999999</v>
      </c>
      <c r="V205" s="50">
        <v>13</v>
      </c>
    </row>
    <row r="206" spans="1:22" ht="15" thickBot="1" x14ac:dyDescent="0.4">
      <c r="A206" s="7"/>
      <c r="B206" s="5"/>
      <c r="C206" s="5"/>
      <c r="D206" s="5"/>
      <c r="E206" s="5"/>
      <c r="F206" s="5"/>
      <c r="G206" s="5"/>
      <c r="H206" s="5"/>
      <c r="I206" s="14"/>
      <c r="L206" s="57"/>
      <c r="N206">
        <f t="shared" si="31"/>
        <v>0</v>
      </c>
      <c r="O206">
        <v>34.5</v>
      </c>
      <c r="P206" s="57"/>
      <c r="Q206" s="57">
        <v>1.813675E-2</v>
      </c>
      <c r="R206" s="57"/>
      <c r="S206">
        <f t="shared" si="32"/>
        <v>0</v>
      </c>
      <c r="T206">
        <f t="shared" si="33"/>
        <v>0</v>
      </c>
    </row>
    <row r="207" spans="1:22" ht="15" thickBot="1" x14ac:dyDescent="0.4">
      <c r="A207" s="7" t="s">
        <v>308</v>
      </c>
      <c r="B207" s="5">
        <f>References!AE47*4</f>
        <v>64.044799999999995</v>
      </c>
      <c r="C207" s="5">
        <f>(References!AD47*B207)/3.6</f>
        <v>4.6966186666666667</v>
      </c>
      <c r="D207" s="5">
        <v>34.5</v>
      </c>
      <c r="E207" s="5">
        <v>22.5</v>
      </c>
      <c r="F207" s="5">
        <v>1.8136751999999999E-2</v>
      </c>
      <c r="G207" s="5">
        <f t="shared" si="38"/>
        <v>8.4803099999999996E-3</v>
      </c>
      <c r="H207" s="5">
        <f t="shared" si="35"/>
        <v>69.434810368000001</v>
      </c>
      <c r="I207" s="14">
        <f t="shared" si="36"/>
        <v>136.057877252352</v>
      </c>
      <c r="L207" s="28" t="s">
        <v>308</v>
      </c>
      <c r="M207">
        <v>2</v>
      </c>
      <c r="N207">
        <f t="shared" si="31"/>
        <v>26</v>
      </c>
      <c r="O207">
        <v>34.5</v>
      </c>
      <c r="P207" s="28">
        <v>22.5</v>
      </c>
      <c r="Q207" s="57">
        <v>1.813675E-2</v>
      </c>
      <c r="R207" s="28">
        <f t="shared" si="39"/>
        <v>8.4803099999999996E-3</v>
      </c>
      <c r="S207">
        <f t="shared" si="32"/>
        <v>384.38399999999996</v>
      </c>
      <c r="T207">
        <f t="shared" si="33"/>
        <v>753.20231999999999</v>
      </c>
      <c r="V207" s="50">
        <v>13</v>
      </c>
    </row>
    <row r="208" spans="1:22" ht="15" thickBot="1" x14ac:dyDescent="0.4">
      <c r="A208" s="7"/>
      <c r="B208" s="5"/>
      <c r="C208" s="5"/>
      <c r="D208" s="5"/>
      <c r="E208" s="5"/>
      <c r="F208" s="5"/>
      <c r="G208" s="5"/>
      <c r="H208" s="5"/>
      <c r="I208" s="14"/>
      <c r="L208" s="57"/>
      <c r="N208">
        <f>M208*V208</f>
        <v>0</v>
      </c>
      <c r="O208">
        <v>34.5</v>
      </c>
      <c r="P208" s="57"/>
      <c r="Q208" s="57">
        <v>1.813675E-2</v>
      </c>
      <c r="R208" s="57"/>
      <c r="S208">
        <f t="shared" si="32"/>
        <v>0</v>
      </c>
      <c r="T208">
        <f t="shared" si="33"/>
        <v>0</v>
      </c>
    </row>
    <row r="209" spans="1:22" ht="15" thickBot="1" x14ac:dyDescent="0.4">
      <c r="A209" s="7" t="s">
        <v>185</v>
      </c>
      <c r="B209" s="5">
        <f>References!AE49*4</f>
        <v>35.860399999999998</v>
      </c>
      <c r="C209" s="5">
        <f>(References!AD49*B209)/3.6</f>
        <v>2.6297626666666667</v>
      </c>
      <c r="D209" s="5">
        <v>34.5</v>
      </c>
      <c r="E209" s="5">
        <v>22.5</v>
      </c>
      <c r="F209" s="5">
        <v>1.8136751999999999E-2</v>
      </c>
      <c r="G209" s="5">
        <f t="shared" si="38"/>
        <v>8.4803099999999996E-3</v>
      </c>
      <c r="H209" s="5">
        <f t="shared" si="35"/>
        <v>38.878411264</v>
      </c>
      <c r="I209" s="14">
        <f>3000*C209*(F209-G209)</f>
        <v>76.182451993295999</v>
      </c>
      <c r="L209" s="28" t="s">
        <v>185</v>
      </c>
      <c r="N209">
        <f t="shared" si="31"/>
        <v>0</v>
      </c>
      <c r="O209">
        <v>34.5</v>
      </c>
      <c r="P209" s="28">
        <v>22.5</v>
      </c>
      <c r="Q209" s="57">
        <v>1.813675E-2</v>
      </c>
      <c r="R209" s="28">
        <f t="shared" si="39"/>
        <v>8.4803099999999996E-3</v>
      </c>
      <c r="S209">
        <f t="shared" si="32"/>
        <v>0</v>
      </c>
      <c r="T209">
        <f t="shared" si="33"/>
        <v>0</v>
      </c>
    </row>
    <row r="210" spans="1:22" ht="15" thickBot="1" x14ac:dyDescent="0.4">
      <c r="A210" s="7" t="s">
        <v>309</v>
      </c>
      <c r="B210" s="5">
        <f>References!AE50*4</f>
        <v>55.004800000000003</v>
      </c>
      <c r="C210" s="5">
        <f>(References!AD50*B210)/3.6</f>
        <v>4.0336853333333336</v>
      </c>
      <c r="D210" s="5">
        <v>34.5</v>
      </c>
      <c r="E210" s="5">
        <v>22.5</v>
      </c>
      <c r="F210" s="5">
        <v>1.8136751999999999E-2</v>
      </c>
      <c r="G210" s="5">
        <f t="shared" si="38"/>
        <v>8.4803099999999996E-3</v>
      </c>
      <c r="H210" s="5">
        <f t="shared" si="35"/>
        <v>59.634003968000002</v>
      </c>
      <c r="I210" s="14">
        <f t="shared" si="36"/>
        <v>116.85314540275199</v>
      </c>
      <c r="L210" s="57" t="s">
        <v>309</v>
      </c>
      <c r="M210">
        <v>2</v>
      </c>
      <c r="N210">
        <f t="shared" si="31"/>
        <v>26</v>
      </c>
      <c r="O210">
        <v>34.5</v>
      </c>
      <c r="P210" s="57">
        <v>22.5</v>
      </c>
      <c r="Q210" s="57">
        <v>1.813675E-2</v>
      </c>
      <c r="R210" s="57">
        <f t="shared" si="39"/>
        <v>8.4803099999999996E-3</v>
      </c>
      <c r="S210">
        <f t="shared" si="32"/>
        <v>384.38399999999996</v>
      </c>
      <c r="T210">
        <f t="shared" si="33"/>
        <v>753.20231999999999</v>
      </c>
      <c r="V210" s="50">
        <v>13</v>
      </c>
    </row>
    <row r="211" spans="1:22" ht="15" thickBot="1" x14ac:dyDescent="0.4">
      <c r="A211" s="7"/>
      <c r="B211" s="5"/>
      <c r="C211" s="5"/>
      <c r="D211" s="5"/>
      <c r="E211" s="5"/>
      <c r="F211" s="5"/>
      <c r="G211" s="5"/>
      <c r="H211" s="5"/>
      <c r="I211" s="14"/>
      <c r="L211" s="28"/>
      <c r="N211">
        <f t="shared" si="31"/>
        <v>0</v>
      </c>
      <c r="O211">
        <v>34.5</v>
      </c>
      <c r="P211" s="28"/>
      <c r="Q211" s="57">
        <v>1.813675E-2</v>
      </c>
      <c r="R211" s="28"/>
      <c r="S211">
        <f t="shared" si="32"/>
        <v>0</v>
      </c>
      <c r="T211">
        <f t="shared" si="33"/>
        <v>0</v>
      </c>
    </row>
    <row r="212" spans="1:22" ht="15" thickBot="1" x14ac:dyDescent="0.4">
      <c r="A212" s="7" t="s">
        <v>310</v>
      </c>
      <c r="B212" s="5">
        <f>References!AE52*4</f>
        <v>55.004800000000003</v>
      </c>
      <c r="C212" s="5">
        <f>(References!AD52*B212)/3.6</f>
        <v>4.0336853333333336</v>
      </c>
      <c r="D212" s="5">
        <v>34.5</v>
      </c>
      <c r="E212" s="5">
        <v>22.5</v>
      </c>
      <c r="F212" s="5">
        <v>1.8136751999999999E-2</v>
      </c>
      <c r="G212" s="5">
        <f t="shared" si="38"/>
        <v>8.4803099999999996E-3</v>
      </c>
      <c r="H212" s="5">
        <f t="shared" si="35"/>
        <v>59.634003968000002</v>
      </c>
      <c r="I212" s="14">
        <f t="shared" si="36"/>
        <v>116.85314540275199</v>
      </c>
      <c r="L212" s="57" t="s">
        <v>310</v>
      </c>
      <c r="M212">
        <v>2</v>
      </c>
      <c r="N212">
        <f t="shared" si="31"/>
        <v>26</v>
      </c>
      <c r="O212">
        <v>34.5</v>
      </c>
      <c r="P212" s="57">
        <v>22.5</v>
      </c>
      <c r="Q212" s="57">
        <v>1.813675E-2</v>
      </c>
      <c r="R212" s="57">
        <f t="shared" si="39"/>
        <v>8.4803099999999996E-3</v>
      </c>
      <c r="S212">
        <f t="shared" si="32"/>
        <v>384.38399999999996</v>
      </c>
      <c r="T212">
        <f t="shared" si="33"/>
        <v>753.20231999999999</v>
      </c>
      <c r="V212" s="50">
        <v>13</v>
      </c>
    </row>
    <row r="213" spans="1:22" ht="15" thickBot="1" x14ac:dyDescent="0.4">
      <c r="A213" s="7"/>
      <c r="B213" s="5"/>
      <c r="C213" s="5"/>
      <c r="D213" s="5"/>
      <c r="E213" s="5"/>
      <c r="F213" s="5"/>
      <c r="G213" s="5"/>
      <c r="H213" s="5"/>
      <c r="I213" s="14"/>
      <c r="L213" s="28"/>
      <c r="N213">
        <f t="shared" si="31"/>
        <v>0</v>
      </c>
      <c r="O213">
        <v>34.5</v>
      </c>
      <c r="P213" s="28"/>
      <c r="Q213" s="57">
        <v>1.813675E-2</v>
      </c>
      <c r="R213" s="28"/>
      <c r="S213">
        <f t="shared" si="32"/>
        <v>0</v>
      </c>
      <c r="T213">
        <f t="shared" si="33"/>
        <v>0</v>
      </c>
    </row>
    <row r="214" spans="1:22" ht="15" thickBot="1" x14ac:dyDescent="0.4">
      <c r="A214" s="7" t="s">
        <v>311</v>
      </c>
      <c r="B214" s="5">
        <f>References!AE54*4</f>
        <v>93.931600000000003</v>
      </c>
      <c r="C214" s="5">
        <f>(References!AD54*B214)/3.6</f>
        <v>6.8883173333333341</v>
      </c>
      <c r="D214" s="5">
        <v>34.5</v>
      </c>
      <c r="E214" s="5">
        <v>22.5</v>
      </c>
      <c r="F214" s="5">
        <v>1.8136751999999999E-2</v>
      </c>
      <c r="G214" s="5">
        <f t="shared" si="38"/>
        <v>8.4803099999999996E-3</v>
      </c>
      <c r="H214" s="5">
        <f t="shared" si="35"/>
        <v>101.83688345600001</v>
      </c>
      <c r="I214" s="14">
        <f t="shared" si="36"/>
        <v>199.54991042078399</v>
      </c>
      <c r="L214" s="57" t="s">
        <v>311</v>
      </c>
      <c r="N214">
        <f t="shared" si="31"/>
        <v>0</v>
      </c>
      <c r="O214">
        <v>34.5</v>
      </c>
      <c r="P214" s="57">
        <v>22.5</v>
      </c>
      <c r="Q214" s="57">
        <v>1.813675E-2</v>
      </c>
      <c r="R214" s="57">
        <f t="shared" si="39"/>
        <v>8.4803099999999996E-3</v>
      </c>
      <c r="S214">
        <f t="shared" si="32"/>
        <v>0</v>
      </c>
      <c r="T214">
        <f t="shared" si="33"/>
        <v>0</v>
      </c>
    </row>
    <row r="215" spans="1:22" ht="15" thickBot="1" x14ac:dyDescent="0.4">
      <c r="A215" s="7" t="s">
        <v>312</v>
      </c>
      <c r="B215" s="5">
        <f>References!AE55*4</f>
        <v>43.028799999999997</v>
      </c>
      <c r="C215" s="5">
        <f>(References!AD55*B215)/3.6</f>
        <v>3.1554453333333332</v>
      </c>
      <c r="D215" s="5">
        <v>34.5</v>
      </c>
      <c r="E215" s="5">
        <v>22.5</v>
      </c>
      <c r="F215" s="5">
        <v>1.8136751999999999E-2</v>
      </c>
      <c r="G215" s="5">
        <f t="shared" si="38"/>
        <v>8.4803099999999996E-3</v>
      </c>
      <c r="H215" s="5">
        <f t="shared" si="35"/>
        <v>46.650103807999997</v>
      </c>
      <c r="I215" s="14">
        <f t="shared" si="36"/>
        <v>91.411124536511991</v>
      </c>
      <c r="L215" s="28" t="s">
        <v>312</v>
      </c>
      <c r="M215">
        <v>2</v>
      </c>
      <c r="N215">
        <f t="shared" si="31"/>
        <v>26</v>
      </c>
      <c r="O215">
        <v>34.5</v>
      </c>
      <c r="P215" s="28">
        <v>22.5</v>
      </c>
      <c r="Q215" s="57">
        <v>1.813675E-2</v>
      </c>
      <c r="R215" s="28">
        <f t="shared" si="39"/>
        <v>8.4803099999999996E-3</v>
      </c>
      <c r="S215">
        <f t="shared" si="32"/>
        <v>384.38399999999996</v>
      </c>
      <c r="T215">
        <f t="shared" si="33"/>
        <v>753.20231999999999</v>
      </c>
      <c r="V215" s="50">
        <v>13</v>
      </c>
    </row>
    <row r="216" spans="1:22" ht="15" thickBot="1" x14ac:dyDescent="0.4">
      <c r="A216" s="7"/>
      <c r="B216" s="5"/>
      <c r="C216" s="5"/>
      <c r="D216" s="5"/>
      <c r="E216" s="5"/>
      <c r="F216" s="5"/>
      <c r="G216" s="5"/>
      <c r="H216" s="5"/>
      <c r="I216" s="14"/>
      <c r="L216" s="57"/>
      <c r="N216">
        <f t="shared" si="31"/>
        <v>0</v>
      </c>
      <c r="O216">
        <v>34.5</v>
      </c>
      <c r="P216" s="57"/>
      <c r="Q216" s="57">
        <v>1.813675E-2</v>
      </c>
      <c r="R216" s="57"/>
      <c r="S216">
        <f t="shared" si="32"/>
        <v>0</v>
      </c>
      <c r="T216">
        <f t="shared" si="33"/>
        <v>0</v>
      </c>
    </row>
    <row r="217" spans="1:22" ht="15" thickBot="1" x14ac:dyDescent="0.4">
      <c r="A217" s="7" t="s">
        <v>313</v>
      </c>
      <c r="B217" s="5">
        <f>References!AE57*4</f>
        <v>45.26</v>
      </c>
      <c r="C217" s="5">
        <f>(References!AD57*B217)/3.6</f>
        <v>3.3190666666666662</v>
      </c>
      <c r="D217" s="5">
        <v>34.5</v>
      </c>
      <c r="E217" s="5">
        <v>22.5</v>
      </c>
      <c r="F217" s="5">
        <v>1.8136751999999999E-2</v>
      </c>
      <c r="G217" s="5">
        <f t="shared" si="38"/>
        <v>8.4803099999999996E-3</v>
      </c>
      <c r="H217" s="5">
        <f t="shared" si="35"/>
        <v>49.06908159999999</v>
      </c>
      <c r="I217" s="14">
        <f t="shared" si="36"/>
        <v>96.151124282399991</v>
      </c>
      <c r="L217" s="28" t="s">
        <v>313</v>
      </c>
      <c r="M217">
        <v>2</v>
      </c>
      <c r="N217">
        <f t="shared" si="31"/>
        <v>0</v>
      </c>
      <c r="O217">
        <v>34.5</v>
      </c>
      <c r="P217" s="28">
        <v>22.5</v>
      </c>
      <c r="Q217" s="57">
        <v>1.813675E-2</v>
      </c>
      <c r="R217" s="28">
        <f t="shared" si="39"/>
        <v>8.4803099999999996E-3</v>
      </c>
      <c r="S217">
        <f t="shared" si="32"/>
        <v>0</v>
      </c>
      <c r="T217">
        <f t="shared" si="33"/>
        <v>0</v>
      </c>
    </row>
    <row r="218" spans="1:22" ht="15" thickBot="1" x14ac:dyDescent="0.4">
      <c r="A218" s="7"/>
      <c r="B218" s="5"/>
      <c r="C218" s="5"/>
      <c r="D218" s="5"/>
      <c r="E218" s="5"/>
      <c r="F218" s="5"/>
      <c r="G218" s="5"/>
      <c r="H218" s="5"/>
      <c r="I218" s="14"/>
      <c r="L218" s="57"/>
      <c r="N218">
        <f t="shared" si="31"/>
        <v>0</v>
      </c>
      <c r="O218">
        <v>34.5</v>
      </c>
      <c r="P218" s="57"/>
      <c r="Q218" s="57">
        <v>1.813675E-2</v>
      </c>
      <c r="R218" s="57"/>
      <c r="S218">
        <f t="shared" si="32"/>
        <v>0</v>
      </c>
      <c r="T218">
        <f t="shared" si="33"/>
        <v>0</v>
      </c>
    </row>
    <row r="219" spans="1:22" ht="15" thickBot="1" x14ac:dyDescent="0.4">
      <c r="A219" s="7" t="s">
        <v>314</v>
      </c>
      <c r="B219" s="5">
        <f>References!AE59*4</f>
        <v>53.233199999999997</v>
      </c>
      <c r="C219" s="5">
        <f>(References!AD59*B219)/3.6</f>
        <v>3.9037679999999999</v>
      </c>
      <c r="D219" s="5">
        <v>34.5</v>
      </c>
      <c r="E219" s="5">
        <v>22.5</v>
      </c>
      <c r="F219" s="5">
        <v>1.8136751999999999E-2</v>
      </c>
      <c r="G219" s="5">
        <f t="shared" si="38"/>
        <v>8.4803099999999996E-3</v>
      </c>
      <c r="H219" s="5">
        <f t="shared" si="35"/>
        <v>57.713306111999991</v>
      </c>
      <c r="I219" s="14">
        <f t="shared" si="36"/>
        <v>113.08952782036799</v>
      </c>
      <c r="L219" s="28" t="s">
        <v>314</v>
      </c>
      <c r="M219">
        <v>2</v>
      </c>
      <c r="N219">
        <f t="shared" si="31"/>
        <v>5</v>
      </c>
      <c r="O219">
        <v>34.5</v>
      </c>
      <c r="P219" s="28">
        <v>22.5</v>
      </c>
      <c r="Q219" s="57">
        <v>1.813675E-2</v>
      </c>
      <c r="R219" s="28">
        <f t="shared" si="39"/>
        <v>8.4803099999999996E-3</v>
      </c>
      <c r="S219">
        <f t="shared" si="32"/>
        <v>73.92</v>
      </c>
      <c r="T219">
        <f t="shared" si="33"/>
        <v>144.8466</v>
      </c>
      <c r="V219" s="50">
        <v>2.5</v>
      </c>
    </row>
    <row r="220" spans="1:22" ht="15" thickBot="1" x14ac:dyDescent="0.4">
      <c r="A220" s="7" t="s">
        <v>315</v>
      </c>
      <c r="B220" s="5">
        <f>References!AE60*4</f>
        <v>44.348799999999997</v>
      </c>
      <c r="C220" s="5">
        <f>(References!AD60*B220)/3.6</f>
        <v>3.2522453333333328</v>
      </c>
      <c r="D220" s="5">
        <v>34.5</v>
      </c>
      <c r="E220" s="5">
        <v>22.5</v>
      </c>
      <c r="F220" s="5">
        <v>1.8136751999999999E-2</v>
      </c>
      <c r="G220" s="5">
        <f t="shared" si="38"/>
        <v>8.4803099999999996E-3</v>
      </c>
      <c r="H220" s="5">
        <f t="shared" si="35"/>
        <v>48.081195007999987</v>
      </c>
      <c r="I220" s="14">
        <f t="shared" si="36"/>
        <v>94.215355293311987</v>
      </c>
      <c r="L220" s="57" t="s">
        <v>315</v>
      </c>
      <c r="N220">
        <f t="shared" si="31"/>
        <v>0</v>
      </c>
      <c r="O220">
        <v>34.5</v>
      </c>
      <c r="P220" s="57">
        <v>22.5</v>
      </c>
      <c r="Q220" s="57">
        <v>1.813675E-2</v>
      </c>
      <c r="R220" s="57">
        <f t="shared" si="39"/>
        <v>8.4803099999999996E-3</v>
      </c>
      <c r="S220">
        <f t="shared" si="32"/>
        <v>0</v>
      </c>
      <c r="T220">
        <f t="shared" si="33"/>
        <v>0</v>
      </c>
    </row>
    <row r="221" spans="1:22" ht="15" thickBot="1" x14ac:dyDescent="0.4">
      <c r="A221" s="7" t="s">
        <v>316</v>
      </c>
      <c r="B221" s="5">
        <f>References!AE61*4</f>
        <v>33.1</v>
      </c>
      <c r="C221" s="5">
        <f>(References!AD61*B221)/3.6</f>
        <v>2.4273333333333333</v>
      </c>
      <c r="D221" s="5">
        <v>34.5</v>
      </c>
      <c r="E221" s="5">
        <v>22.5</v>
      </c>
      <c r="F221" s="5">
        <v>1.8136751999999999E-2</v>
      </c>
      <c r="G221" s="5">
        <f t="shared" si="38"/>
        <v>8.4803099999999996E-3</v>
      </c>
      <c r="H221" s="5">
        <f t="shared" si="35"/>
        <v>35.885695999999996</v>
      </c>
      <c r="I221" s="14">
        <f t="shared" si="36"/>
        <v>70.31821064399999</v>
      </c>
      <c r="L221" s="28" t="s">
        <v>316</v>
      </c>
      <c r="N221">
        <f t="shared" si="31"/>
        <v>0</v>
      </c>
      <c r="O221">
        <v>34.5</v>
      </c>
      <c r="P221" s="28">
        <v>22.5</v>
      </c>
      <c r="Q221" s="57">
        <v>1.813675E-2</v>
      </c>
      <c r="R221" s="28">
        <f t="shared" si="39"/>
        <v>8.4803099999999996E-3</v>
      </c>
      <c r="S221">
        <f t="shared" si="32"/>
        <v>0</v>
      </c>
      <c r="T221">
        <f t="shared" si="33"/>
        <v>0</v>
      </c>
    </row>
    <row r="222" spans="1:22" ht="15" thickBot="1" x14ac:dyDescent="0.4">
      <c r="A222" s="7" t="s">
        <v>317</v>
      </c>
      <c r="B222" s="5">
        <f>References!AE62*4</f>
        <v>53.87</v>
      </c>
      <c r="C222" s="5">
        <f>(References!AD62*B222)/3.6</f>
        <v>3.9504666666666663</v>
      </c>
      <c r="D222" s="5">
        <v>34.5</v>
      </c>
      <c r="E222" s="5">
        <v>22.5</v>
      </c>
      <c r="F222" s="5">
        <v>1.8136751999999999E-2</v>
      </c>
      <c r="G222" s="5">
        <f t="shared" si="38"/>
        <v>8.4803099999999996E-3</v>
      </c>
      <c r="H222" s="5">
        <f t="shared" si="35"/>
        <v>58.403699199999991</v>
      </c>
      <c r="I222" s="14">
        <f t="shared" si="36"/>
        <v>114.44235671879999</v>
      </c>
      <c r="L222" s="57" t="s">
        <v>317</v>
      </c>
      <c r="M222">
        <v>2</v>
      </c>
      <c r="N222">
        <f t="shared" si="31"/>
        <v>5</v>
      </c>
      <c r="O222">
        <v>34.5</v>
      </c>
      <c r="P222" s="57">
        <v>22.5</v>
      </c>
      <c r="Q222" s="57">
        <v>1.813675E-2</v>
      </c>
      <c r="R222" s="57">
        <f t="shared" si="39"/>
        <v>8.4803099999999996E-3</v>
      </c>
      <c r="S222">
        <f t="shared" si="32"/>
        <v>73.92</v>
      </c>
      <c r="T222">
        <f t="shared" si="33"/>
        <v>144.8466</v>
      </c>
      <c r="V222" s="50">
        <v>2.5</v>
      </c>
    </row>
    <row r="223" spans="1:22" ht="15" thickBot="1" x14ac:dyDescent="0.4">
      <c r="A223" s="7" t="s">
        <v>318</v>
      </c>
      <c r="B223" s="5">
        <f>References!AE63*4</f>
        <v>735.77520000000004</v>
      </c>
      <c r="C223" s="5">
        <f>(References!AD63*B223)/3.6</f>
        <v>53.956848000000001</v>
      </c>
      <c r="D223" s="5">
        <v>34.5</v>
      </c>
      <c r="E223" s="5">
        <v>22.5</v>
      </c>
      <c r="F223" s="5">
        <v>1.8136751999999999E-2</v>
      </c>
      <c r="G223" s="5">
        <f t="shared" si="38"/>
        <v>8.4803099999999996E-3</v>
      </c>
      <c r="H223" s="5">
        <f t="shared" si="35"/>
        <v>797.69804083199995</v>
      </c>
      <c r="I223" s="14">
        <f t="shared" si="36"/>
        <v>1563.093519644448</v>
      </c>
      <c r="L223" s="28" t="s">
        <v>318</v>
      </c>
      <c r="N223">
        <f t="shared" si="31"/>
        <v>0</v>
      </c>
      <c r="O223">
        <v>34.5</v>
      </c>
      <c r="P223" s="28">
        <v>22.5</v>
      </c>
      <c r="Q223" s="57">
        <v>1.813675E-2</v>
      </c>
      <c r="R223" s="28">
        <f t="shared" si="39"/>
        <v>8.4803099999999996E-3</v>
      </c>
      <c r="S223">
        <f t="shared" si="32"/>
        <v>0</v>
      </c>
      <c r="T223">
        <f t="shared" si="33"/>
        <v>0</v>
      </c>
    </row>
    <row r="224" spans="1:22" ht="15" thickBot="1" x14ac:dyDescent="0.4">
      <c r="A224" s="7" t="s">
        <v>319</v>
      </c>
      <c r="B224" s="5">
        <f>References!AE64*4</f>
        <v>235.44040000000001</v>
      </c>
      <c r="C224" s="5">
        <f>(References!AD64*B224)/3.6</f>
        <v>17.265629333333333</v>
      </c>
      <c r="D224" s="5">
        <v>34.5</v>
      </c>
      <c r="E224" s="5">
        <v>22.5</v>
      </c>
      <c r="F224" s="5">
        <v>1.8136751999999999E-2</v>
      </c>
      <c r="G224" s="5">
        <f t="shared" si="38"/>
        <v>8.4803099999999996E-3</v>
      </c>
      <c r="H224" s="5">
        <f t="shared" si="35"/>
        <v>255.25506406399998</v>
      </c>
      <c r="I224" s="14">
        <f t="shared" si="36"/>
        <v>500.17364475249599</v>
      </c>
      <c r="L224" s="57" t="s">
        <v>319</v>
      </c>
      <c r="N224">
        <f t="shared" si="31"/>
        <v>0</v>
      </c>
      <c r="O224">
        <v>34.5</v>
      </c>
      <c r="P224" s="57">
        <v>22.5</v>
      </c>
      <c r="Q224" s="57">
        <v>1.813675E-2</v>
      </c>
      <c r="R224" s="57">
        <f t="shared" si="39"/>
        <v>8.4803099999999996E-3</v>
      </c>
      <c r="S224">
        <f t="shared" si="32"/>
        <v>0</v>
      </c>
      <c r="T224">
        <f t="shared" si="33"/>
        <v>0</v>
      </c>
    </row>
    <row r="225" spans="1:22" ht="15" thickBot="1" x14ac:dyDescent="0.4">
      <c r="A225" s="7" t="s">
        <v>59</v>
      </c>
      <c r="B225" s="5">
        <f>References!AE65*4</f>
        <v>69.780799999999999</v>
      </c>
      <c r="C225" s="5">
        <f>(References!AD65*B225)/3.6</f>
        <v>4.9137313333333328</v>
      </c>
      <c r="D225" s="5">
        <v>34.5</v>
      </c>
      <c r="E225" s="5">
        <v>24</v>
      </c>
      <c r="F225" s="5">
        <v>1.8136751999999999E-2</v>
      </c>
      <c r="G225" s="5">
        <f t="shared" si="38"/>
        <v>9.2932350000000004E-3</v>
      </c>
      <c r="H225" s="5">
        <f t="shared" si="35"/>
        <v>63.564028527999994</v>
      </c>
      <c r="I225" s="14">
        <f t="shared" si="36"/>
        <v>130.36399973929795</v>
      </c>
      <c r="L225" s="28" t="s">
        <v>59</v>
      </c>
      <c r="N225">
        <f t="shared" si="31"/>
        <v>0</v>
      </c>
      <c r="O225">
        <v>34.5</v>
      </c>
      <c r="P225" s="28">
        <v>24</v>
      </c>
      <c r="Q225" s="57">
        <v>1.813675E-2</v>
      </c>
      <c r="R225" s="28">
        <f t="shared" si="39"/>
        <v>9.2932350000000004E-3</v>
      </c>
      <c r="S225">
        <f t="shared" si="32"/>
        <v>0</v>
      </c>
      <c r="T225">
        <f t="shared" si="33"/>
        <v>0</v>
      </c>
    </row>
    <row r="226" spans="1:22" ht="15" thickBot="1" x14ac:dyDescent="0.4">
      <c r="A226" s="7" t="s">
        <v>58</v>
      </c>
      <c r="B226" s="5">
        <f>References!AE66*4</f>
        <v>69.922399999999996</v>
      </c>
      <c r="C226" s="5">
        <f>(References!AD66*B226)/3.6</f>
        <v>4.923702333333333</v>
      </c>
      <c r="D226" s="5">
        <v>34.5</v>
      </c>
      <c r="E226" s="5">
        <v>24</v>
      </c>
      <c r="F226" s="5">
        <v>1.8136751999999999E-2</v>
      </c>
      <c r="G226" s="5">
        <f t="shared" si="38"/>
        <v>9.2932350000000004E-3</v>
      </c>
      <c r="H226" s="5">
        <f t="shared" si="35"/>
        <v>63.693013383999997</v>
      </c>
      <c r="I226" s="14">
        <f t="shared" si="36"/>
        <v>130.62853586331897</v>
      </c>
      <c r="L226" s="57" t="s">
        <v>58</v>
      </c>
      <c r="N226">
        <f>M226*V226</f>
        <v>0</v>
      </c>
      <c r="O226">
        <v>34.5</v>
      </c>
      <c r="P226" s="57">
        <v>24</v>
      </c>
      <c r="Q226" s="57">
        <v>1.813675E-2</v>
      </c>
      <c r="R226" s="57">
        <f t="shared" si="39"/>
        <v>9.2932350000000004E-3</v>
      </c>
      <c r="S226">
        <f t="shared" si="32"/>
        <v>0</v>
      </c>
      <c r="T226">
        <f t="shared" si="33"/>
        <v>0</v>
      </c>
    </row>
    <row r="227" spans="1:22" ht="15" thickBot="1" x14ac:dyDescent="0.4">
      <c r="A227" s="7" t="s">
        <v>311</v>
      </c>
      <c r="B227" s="5">
        <f>References!AE67*4</f>
        <v>174.3656</v>
      </c>
      <c r="C227" s="5">
        <f>(References!AD67*B227)/3.6</f>
        <v>12.786810666666666</v>
      </c>
      <c r="D227" s="5">
        <v>34.5</v>
      </c>
      <c r="E227" s="5">
        <v>22.5</v>
      </c>
      <c r="F227" s="5">
        <v>1.8136751999999999E-2</v>
      </c>
      <c r="G227" s="5">
        <f>_xlfn.IFS(E227=22.5,0.00848031,E227=24,0.009293235,E227=22,0.00821976)</f>
        <v>8.4803099999999996E-3</v>
      </c>
      <c r="H227" s="5">
        <f t="shared" si="35"/>
        <v>189.04020889599997</v>
      </c>
      <c r="I227" s="14">
        <f t="shared" si="36"/>
        <v>370.42528670294399</v>
      </c>
      <c r="L227" s="28" t="s">
        <v>311</v>
      </c>
      <c r="N227">
        <f t="shared" si="31"/>
        <v>0</v>
      </c>
      <c r="O227">
        <v>34.5</v>
      </c>
      <c r="P227" s="28">
        <v>22.5</v>
      </c>
      <c r="Q227" s="57">
        <v>1.813675E-2</v>
      </c>
      <c r="R227" s="28">
        <f>_xlfn.IFS(P227=22.5,0.00848031,P227=24,0.009293235,P227=22,0.00821976)</f>
        <v>8.4803099999999996E-3</v>
      </c>
      <c r="S227">
        <f t="shared" si="32"/>
        <v>0</v>
      </c>
      <c r="T227">
        <f t="shared" si="33"/>
        <v>0</v>
      </c>
    </row>
    <row r="228" spans="1:22" ht="15" thickBot="1" x14ac:dyDescent="0.4">
      <c r="A228" s="7" t="s">
        <v>73</v>
      </c>
      <c r="B228" s="5">
        <f>References!AE68*4</f>
        <v>43.602400000000003</v>
      </c>
      <c r="C228" s="5">
        <f>(References!AD68*B228)/3.6</f>
        <v>3.1975093333333335</v>
      </c>
      <c r="D228" s="5">
        <v>34.5</v>
      </c>
      <c r="E228" s="5">
        <v>22.5</v>
      </c>
      <c r="F228" s="5">
        <v>1.8136751999999999E-2</v>
      </c>
      <c r="G228" s="5">
        <f t="shared" si="38"/>
        <v>8.4803099999999996E-3</v>
      </c>
      <c r="H228" s="5">
        <f t="shared" si="35"/>
        <v>47.271977984000003</v>
      </c>
      <c r="I228" s="14">
        <f t="shared" si="36"/>
        <v>92.629690265375999</v>
      </c>
      <c r="L228" s="57" t="s">
        <v>73</v>
      </c>
      <c r="M228">
        <v>1</v>
      </c>
      <c r="N228">
        <f t="shared" si="31"/>
        <v>2.5</v>
      </c>
      <c r="O228">
        <v>34.5</v>
      </c>
      <c r="P228" s="57">
        <v>22.5</v>
      </c>
      <c r="Q228" s="57">
        <v>1.813675E-2</v>
      </c>
      <c r="R228" s="57">
        <f t="shared" si="39"/>
        <v>8.4803099999999996E-3</v>
      </c>
      <c r="S228">
        <f t="shared" si="32"/>
        <v>36.96</v>
      </c>
      <c r="T228">
        <f t="shared" si="33"/>
        <v>72.423299999999998</v>
      </c>
      <c r="V228" s="50">
        <v>2.5</v>
      </c>
    </row>
    <row r="229" spans="1:22" ht="15" thickBot="1" x14ac:dyDescent="0.4">
      <c r="A229" s="7" t="s">
        <v>76</v>
      </c>
      <c r="B229" s="5">
        <f>References!AE69*4</f>
        <v>43.132399999999997</v>
      </c>
      <c r="C229" s="5">
        <f>(References!AD69*B229)/3.6</f>
        <v>3.1630426666666667</v>
      </c>
      <c r="D229" s="5">
        <v>34.5</v>
      </c>
      <c r="E229" s="5">
        <v>22.5</v>
      </c>
      <c r="F229" s="5">
        <v>1.8136751999999999E-2</v>
      </c>
      <c r="G229" s="5">
        <f t="shared" si="38"/>
        <v>8.4803099999999996E-3</v>
      </c>
      <c r="H229" s="5">
        <f t="shared" ref="H229:H231" si="40">1.232*(D229-E229)*C229</f>
        <v>46.762422783999995</v>
      </c>
      <c r="I229" s="14">
        <f t="shared" ref="I229:I233" si="41">3000*C229*(F229-G229)</f>
        <v>91.631214162576001</v>
      </c>
      <c r="L229" s="28" t="s">
        <v>76</v>
      </c>
      <c r="M229">
        <v>1</v>
      </c>
      <c r="N229">
        <f t="shared" ref="N229:N232" si="42">M229*V229</f>
        <v>2.5</v>
      </c>
      <c r="O229">
        <v>34.5</v>
      </c>
      <c r="P229" s="28">
        <v>22.5</v>
      </c>
      <c r="Q229" s="57">
        <v>1.813675E-2</v>
      </c>
      <c r="R229" s="28">
        <f t="shared" si="39"/>
        <v>8.4803099999999996E-3</v>
      </c>
      <c r="S229">
        <f t="shared" ref="S229:S233" si="43">1.232*N229*(O229-P229)</f>
        <v>36.96</v>
      </c>
      <c r="T229">
        <f t="shared" ref="T229:T233" si="44">3000*N229*(Q229-R229)</f>
        <v>72.423299999999998</v>
      </c>
      <c r="V229" s="50">
        <v>2.5</v>
      </c>
    </row>
    <row r="230" spans="1:22" ht="15" thickBot="1" x14ac:dyDescent="0.4">
      <c r="A230" s="7" t="s">
        <v>77</v>
      </c>
      <c r="B230" s="5">
        <f>References!AE70*4</f>
        <v>37.665199999999999</v>
      </c>
      <c r="C230" s="5">
        <f>(References!AD70*B230)/3.6</f>
        <v>2.7621146666666667</v>
      </c>
      <c r="D230" s="5">
        <v>34.5</v>
      </c>
      <c r="E230" s="5">
        <v>22.5</v>
      </c>
      <c r="F230" s="5">
        <v>1.8136751999999999E-2</v>
      </c>
      <c r="G230" s="5">
        <f t="shared" si="38"/>
        <v>8.4803099999999996E-3</v>
      </c>
      <c r="H230" s="5">
        <f t="shared" si="40"/>
        <v>40.835103231999994</v>
      </c>
      <c r="I230" s="14">
        <f t="shared" si="41"/>
        <v>80.016600228048006</v>
      </c>
      <c r="L230" s="57" t="s">
        <v>77</v>
      </c>
      <c r="M230">
        <v>1</v>
      </c>
      <c r="N230">
        <f t="shared" si="42"/>
        <v>2.5</v>
      </c>
      <c r="O230">
        <v>34.5</v>
      </c>
      <c r="P230" s="57">
        <v>22.5</v>
      </c>
      <c r="Q230" s="57">
        <v>1.813675E-2</v>
      </c>
      <c r="R230" s="57">
        <f t="shared" si="39"/>
        <v>8.4803099999999996E-3</v>
      </c>
      <c r="S230">
        <f t="shared" si="43"/>
        <v>36.96</v>
      </c>
      <c r="T230">
        <f t="shared" si="44"/>
        <v>72.423299999999998</v>
      </c>
      <c r="V230" s="50">
        <v>2.5</v>
      </c>
    </row>
    <row r="231" spans="1:22" ht="15" thickBot="1" x14ac:dyDescent="0.4">
      <c r="A231" s="7" t="s">
        <v>320</v>
      </c>
      <c r="B231" s="5">
        <f>References!AE71*4</f>
        <v>107.9832</v>
      </c>
      <c r="C231" s="5">
        <f>(References!AD71*B231)/3.6</f>
        <v>7.918768</v>
      </c>
      <c r="D231" s="5">
        <v>34.5</v>
      </c>
      <c r="E231" s="5">
        <v>22.5</v>
      </c>
      <c r="F231" s="5">
        <v>1.8136751999999999E-2</v>
      </c>
      <c r="G231" s="5">
        <f t="shared" si="38"/>
        <v>8.4803099999999996E-3</v>
      </c>
      <c r="H231" s="5">
        <f t="shared" si="40"/>
        <v>117.071066112</v>
      </c>
      <c r="I231" s="14">
        <f t="shared" si="41"/>
        <v>229.40137171036798</v>
      </c>
      <c r="L231" s="28" t="s">
        <v>320</v>
      </c>
      <c r="M231">
        <v>10</v>
      </c>
      <c r="N231">
        <f t="shared" si="42"/>
        <v>80</v>
      </c>
      <c r="O231">
        <v>34.5</v>
      </c>
      <c r="P231" s="28">
        <v>22.5</v>
      </c>
      <c r="Q231" s="57">
        <v>1.813675E-2</v>
      </c>
      <c r="R231" s="28">
        <f t="shared" si="39"/>
        <v>8.4803099999999996E-3</v>
      </c>
      <c r="S231">
        <f t="shared" si="43"/>
        <v>1182.72</v>
      </c>
      <c r="T231">
        <f t="shared" si="44"/>
        <v>2317.5455999999999</v>
      </c>
      <c r="V231" s="50">
        <v>8</v>
      </c>
    </row>
    <row r="232" spans="1:22" ht="15" thickBot="1" x14ac:dyDescent="0.4">
      <c r="A232" s="7"/>
      <c r="B232" s="5"/>
      <c r="C232" s="5"/>
      <c r="D232" s="5"/>
      <c r="E232" s="5"/>
      <c r="F232" s="5"/>
      <c r="G232" s="5"/>
      <c r="H232" s="5"/>
      <c r="I232" s="14"/>
      <c r="L232" s="57"/>
      <c r="N232">
        <f t="shared" si="42"/>
        <v>0</v>
      </c>
      <c r="O232">
        <v>34.5</v>
      </c>
      <c r="P232" s="57"/>
      <c r="Q232" s="57">
        <v>1.813675E-2</v>
      </c>
      <c r="R232" s="57"/>
      <c r="S232">
        <f t="shared" si="43"/>
        <v>0</v>
      </c>
      <c r="T232">
        <f t="shared" si="44"/>
        <v>0</v>
      </c>
    </row>
    <row r="233" spans="1:22" ht="15" thickBot="1" x14ac:dyDescent="0.4">
      <c r="A233" s="22" t="s">
        <v>29</v>
      </c>
      <c r="B233" s="20">
        <f>References!AE73*4</f>
        <v>2512.0731999999998</v>
      </c>
      <c r="C233" s="20">
        <f>(References!AD73*B233)/3.6</f>
        <v>184.21870133333331</v>
      </c>
      <c r="D233" s="20">
        <v>34.5</v>
      </c>
      <c r="E233" s="20">
        <v>22.5</v>
      </c>
      <c r="F233" s="20">
        <v>1.8136751999999999E-2</v>
      </c>
      <c r="G233" s="20">
        <f t="shared" si="38"/>
        <v>8.4803099999999996E-3</v>
      </c>
      <c r="H233" s="20">
        <f>1.232*(D233-E233)*C233</f>
        <v>2723.4892805119994</v>
      </c>
      <c r="I233" s="21">
        <f t="shared" si="41"/>
        <v>5336.691614221967</v>
      </c>
      <c r="L233" s="28" t="s">
        <v>29</v>
      </c>
      <c r="N233">
        <f>M233*V233</f>
        <v>0</v>
      </c>
      <c r="O233">
        <v>34.5</v>
      </c>
      <c r="P233" s="28">
        <v>22.5</v>
      </c>
      <c r="Q233" s="57">
        <v>1.813675E-2</v>
      </c>
      <c r="R233" s="28">
        <f t="shared" si="39"/>
        <v>8.4803099999999996E-3</v>
      </c>
      <c r="S233">
        <f t="shared" si="43"/>
        <v>0</v>
      </c>
      <c r="T233">
        <f t="shared" si="44"/>
        <v>0</v>
      </c>
    </row>
    <row r="234" spans="1:22" ht="15" thickBot="1" x14ac:dyDescent="0.4">
      <c r="F234" s="62" t="s">
        <v>329</v>
      </c>
      <c r="G234" s="62"/>
      <c r="H234" s="43">
        <f>SUM(H164:H233)</f>
        <v>7095.5421016479995</v>
      </c>
      <c r="I234" s="43">
        <f>SUM(I164:I233)</f>
        <v>13917.796749890043</v>
      </c>
    </row>
    <row r="235" spans="1:22" ht="15" thickBot="1" x14ac:dyDescent="0.4">
      <c r="F235" s="62" t="s">
        <v>162</v>
      </c>
      <c r="G235" s="62"/>
      <c r="H235" s="53">
        <f>I234+H234</f>
        <v>21013.338851538043</v>
      </c>
      <c r="I235" s="53"/>
      <c r="S235" s="68">
        <f>SUM(S164:S233)</f>
        <v>13091.231999999996</v>
      </c>
      <c r="T235" s="68">
        <f>SUM(T164:T233)</f>
        <v>25652.332860000002</v>
      </c>
    </row>
  </sheetData>
  <mergeCells count="9">
    <mergeCell ref="L1:T1"/>
    <mergeCell ref="F235:G235"/>
    <mergeCell ref="F234:G234"/>
    <mergeCell ref="F74:G74"/>
    <mergeCell ref="A1:I1"/>
    <mergeCell ref="A77:I77"/>
    <mergeCell ref="F160:G160"/>
    <mergeCell ref="F159:G159"/>
    <mergeCell ref="F75:G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4227-81A0-490C-9A07-1D49455C5DFE}">
  <dimension ref="A2:C5"/>
  <sheetViews>
    <sheetView workbookViewId="0">
      <selection activeCell="C5" sqref="C5"/>
    </sheetView>
  </sheetViews>
  <sheetFormatPr defaultRowHeight="14.5" x14ac:dyDescent="0.35"/>
  <sheetData>
    <row r="2" spans="1:3" x14ac:dyDescent="0.35">
      <c r="A2" t="s">
        <v>330</v>
      </c>
    </row>
    <row r="3" spans="1:3" x14ac:dyDescent="0.35">
      <c r="A3" t="s">
        <v>331</v>
      </c>
      <c r="C3">
        <f>'EXTERNAL WALL LOAD'!K38+'EXTERNAL WALL LOAD'!K85+'EXTERNAL WALL LOAD'!K131</f>
        <v>118466.481958812</v>
      </c>
    </row>
    <row r="4" spans="1:3" x14ac:dyDescent="0.35">
      <c r="A4" t="s">
        <v>332</v>
      </c>
      <c r="C4">
        <f>'GLASS LOAD'!J101+'GLASS LOAD'!J69+'GLASS LOAD'!J35</f>
        <v>43794.877766999998</v>
      </c>
    </row>
    <row r="5" spans="1:3" x14ac:dyDescent="0.35">
      <c r="A5" t="s">
        <v>333</v>
      </c>
      <c r="C5">
        <f>'INFILTRATION LOAD'!H75+'INFILTRATION LOAD'!H160+'INFILTRATION LOAD'!H235</f>
        <v>66918.866341083194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70C7-7115-4A9F-9073-89D742BC78DB}">
  <sheetPr codeName="Sheet4"/>
  <dimension ref="A1:AE83"/>
  <sheetViews>
    <sheetView zoomScale="70" zoomScaleNormal="70" workbookViewId="0">
      <selection activeCell="AB83" sqref="AB83"/>
    </sheetView>
  </sheetViews>
  <sheetFormatPr defaultRowHeight="14.5" x14ac:dyDescent="0.35"/>
  <cols>
    <col min="1" max="1" width="11.453125" customWidth="1"/>
    <col min="2" max="2" width="10.7265625" customWidth="1"/>
  </cols>
  <sheetData>
    <row r="1" spans="1:31" x14ac:dyDescent="0.35">
      <c r="A1" t="s">
        <v>95</v>
      </c>
      <c r="J1" t="s">
        <v>100</v>
      </c>
      <c r="L1">
        <v>2.8721999999999999</v>
      </c>
    </row>
    <row r="2" spans="1:31" x14ac:dyDescent="0.35">
      <c r="A2" t="s">
        <v>96</v>
      </c>
      <c r="J2" t="s">
        <v>101</v>
      </c>
      <c r="L2">
        <v>2.8210999999999999</v>
      </c>
      <c r="S2" s="4" t="s">
        <v>44</v>
      </c>
      <c r="T2" s="2"/>
      <c r="Y2" s="66" t="s">
        <v>300</v>
      </c>
      <c r="Z2" s="66"/>
      <c r="AB2" t="s">
        <v>301</v>
      </c>
      <c r="AD2" s="66" t="s">
        <v>321</v>
      </c>
      <c r="AE2" s="66"/>
    </row>
    <row r="3" spans="1:31" x14ac:dyDescent="0.35">
      <c r="A3" s="66" t="s">
        <v>97</v>
      </c>
      <c r="B3" s="66"/>
      <c r="S3" s="2" t="s">
        <v>45</v>
      </c>
      <c r="T3" s="2">
        <v>8.1</v>
      </c>
      <c r="Y3" s="48" t="s">
        <v>236</v>
      </c>
      <c r="Z3" s="1" t="s">
        <v>237</v>
      </c>
      <c r="AB3" s="1" t="s">
        <v>54</v>
      </c>
      <c r="AD3" s="4" t="s">
        <v>304</v>
      </c>
      <c r="AE3" s="4" t="s">
        <v>237</v>
      </c>
    </row>
    <row r="4" spans="1:31" x14ac:dyDescent="0.35">
      <c r="A4" s="4" t="s">
        <v>53</v>
      </c>
      <c r="B4" s="4" t="s">
        <v>54</v>
      </c>
      <c r="E4" t="s">
        <v>122</v>
      </c>
      <c r="F4" t="s">
        <v>53</v>
      </c>
      <c r="S4" s="2" t="s">
        <v>46</v>
      </c>
      <c r="T4" s="2">
        <v>34.5</v>
      </c>
      <c r="Y4" s="49">
        <f>0.15+0.01*3+0.007*('INFILTRATION LOAD'!D4-'INFILTRATION LOAD'!E4)</f>
        <v>0.26400000000000001</v>
      </c>
      <c r="Z4">
        <v>37.438600000000001</v>
      </c>
      <c r="AB4" s="45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x14ac:dyDescent="0.35">
      <c r="A5">
        <v>4</v>
      </c>
      <c r="B5">
        <f>A5*1</f>
        <v>4</v>
      </c>
      <c r="E5">
        <v>2</v>
      </c>
      <c r="F5">
        <v>1</v>
      </c>
      <c r="Y5" s="49">
        <f>0.15+0.01*3+0.007*('INFILTRATION LOAD'!D5-'INFILTRATION LOAD'!E5)</f>
        <v>0.26400000000000001</v>
      </c>
      <c r="Z5">
        <v>9.6511999999999993</v>
      </c>
      <c r="AB5" s="45">
        <v>2.6175000000000002</v>
      </c>
      <c r="AD5">
        <f>0.15+3*0.01+0.007*('INFILTRATION LOAD'!D165-'INFILTRATION LOAD'!E165)</f>
        <v>0.18</v>
      </c>
      <c r="AE5">
        <v>2.6175000000000002</v>
      </c>
    </row>
    <row r="6" spans="1:31" x14ac:dyDescent="0.35">
      <c r="B6">
        <f>A6*1</f>
        <v>0</v>
      </c>
      <c r="E6">
        <v>1.2</v>
      </c>
      <c r="F6">
        <v>1</v>
      </c>
      <c r="Y6" s="49">
        <f>0.15+0.01*3+0.007*('INFILTRATION LOAD'!D6-'INFILTRATION LOAD'!E6)</f>
        <v>0.2535</v>
      </c>
      <c r="Z6">
        <v>7.8174999999999999</v>
      </c>
      <c r="AB6" s="45">
        <v>34.26</v>
      </c>
      <c r="AD6">
        <f>0.15+3*0.01+0.007*('INFILTRATION LOAD'!D166-'INFILTRATION LOAD'!E166)</f>
        <v>0.26400000000000001</v>
      </c>
      <c r="AE6">
        <v>34.26</v>
      </c>
    </row>
    <row r="7" spans="1:31" x14ac:dyDescent="0.35">
      <c r="A7">
        <v>1.2</v>
      </c>
      <c r="B7">
        <f>A7*1</f>
        <v>1.2</v>
      </c>
      <c r="E7">
        <v>0.6</v>
      </c>
      <c r="F7">
        <v>0.6</v>
      </c>
      <c r="Y7" s="49">
        <f>0.15+0.01*3+0.007*('INFILTRATION LOAD'!D7-'INFILTRATION LOAD'!E7)</f>
        <v>0.26400000000000001</v>
      </c>
      <c r="Z7">
        <v>16.3095</v>
      </c>
      <c r="AB7" s="45">
        <v>2.6175000000000002</v>
      </c>
      <c r="AD7">
        <f>0.15+3*0.01+0.007*('INFILTRATION LOAD'!D167-'INFILTRATION LOAD'!E167)</f>
        <v>0.18</v>
      </c>
      <c r="AE7">
        <v>2.6175000000000002</v>
      </c>
    </row>
    <row r="8" spans="1:31" x14ac:dyDescent="0.35">
      <c r="A8">
        <v>0.6</v>
      </c>
      <c r="B8">
        <f>A8*0.6</f>
        <v>0.36</v>
      </c>
      <c r="E8">
        <v>1.2</v>
      </c>
      <c r="F8">
        <v>0.6</v>
      </c>
      <c r="Y8" s="49">
        <f>0.15+0.01*3+0.007*('INFILTRATION LOAD'!D8-'INFILTRATION LOAD'!E8)</f>
        <v>0.2535</v>
      </c>
      <c r="Z8" s="50">
        <v>2.8374999999999999</v>
      </c>
      <c r="AB8" s="46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x14ac:dyDescent="0.35">
      <c r="A9">
        <v>1.2</v>
      </c>
      <c r="B9">
        <f>A9*0.6</f>
        <v>0.72</v>
      </c>
      <c r="E9">
        <v>1.2</v>
      </c>
      <c r="F9">
        <v>0.6</v>
      </c>
      <c r="Y9" s="49">
        <f>0.15+0.01*3+0.007*('INFILTRATION LOAD'!D9-'INFILTRATION LOAD'!E9)</f>
        <v>0.2535</v>
      </c>
      <c r="Z9">
        <v>18.299099999999999</v>
      </c>
      <c r="AB9" s="46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x14ac:dyDescent="0.35">
      <c r="A10">
        <v>1.2</v>
      </c>
      <c r="B10">
        <f>A10*0.6</f>
        <v>0.72</v>
      </c>
      <c r="E10">
        <v>1.6</v>
      </c>
      <c r="F10">
        <v>1</v>
      </c>
      <c r="Y10" s="49">
        <f>0.15+0.01*3+0.007*('INFILTRATION LOAD'!D10-'INFILTRATION LOAD'!E10)</f>
        <v>0.2535</v>
      </c>
      <c r="Z10">
        <v>18.346399999999999</v>
      </c>
      <c r="AB10" s="46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x14ac:dyDescent="0.35">
      <c r="A11">
        <v>1.6</v>
      </c>
      <c r="B11">
        <f>A11*1</f>
        <v>1.6</v>
      </c>
      <c r="E11">
        <v>2.2000000000000002</v>
      </c>
      <c r="F11">
        <v>1</v>
      </c>
      <c r="Y11" s="49">
        <f>0.15+0.01*3+0.007*('INFILTRATION LOAD'!D11-'INFILTRATION LOAD'!E11)</f>
        <v>0.26750000000000002</v>
      </c>
      <c r="Z11">
        <v>23.3886</v>
      </c>
      <c r="AB11" s="46">
        <v>99.654700000000005</v>
      </c>
      <c r="AD11">
        <f>0.15+3*0.01+0.007*('INFILTRATION LOAD'!D171-'INFILTRATION LOAD'!E171)</f>
        <v>0.18</v>
      </c>
      <c r="AE11">
        <v>2.6175000000000002</v>
      </c>
    </row>
    <row r="12" spans="1:31" x14ac:dyDescent="0.35">
      <c r="A12">
        <v>4.4000000000000004</v>
      </c>
      <c r="B12">
        <f>A12*1</f>
        <v>4.4000000000000004</v>
      </c>
      <c r="E12">
        <v>1.2</v>
      </c>
      <c r="F12">
        <v>0.6</v>
      </c>
      <c r="Y12" s="49">
        <f>0.15+0.01*3+0.007*('INFILTRATION LOAD'!D12-'INFILTRATION LOAD'!E12)</f>
        <v>0.2535</v>
      </c>
      <c r="Z12">
        <v>5.61</v>
      </c>
      <c r="AB12" s="46">
        <v>142.8801</v>
      </c>
      <c r="AD12">
        <f>0.15+3*0.01+0.007*('INFILTRATION LOAD'!D172-'INFILTRATION LOAD'!E172)</f>
        <v>0.26400000000000001</v>
      </c>
      <c r="AE12">
        <v>34.26</v>
      </c>
    </row>
    <row r="13" spans="1:31" x14ac:dyDescent="0.35">
      <c r="B13">
        <f>A13*1</f>
        <v>0</v>
      </c>
      <c r="E13">
        <v>2</v>
      </c>
      <c r="F13">
        <v>1</v>
      </c>
      <c r="Y13" s="49">
        <f>0.15+0.01*3+0.007*('INFILTRATION LOAD'!D13-'INFILTRATION LOAD'!E13)</f>
        <v>0.26400000000000001</v>
      </c>
      <c r="Z13">
        <v>42.192500000000003</v>
      </c>
      <c r="AB13" s="45">
        <v>34.29</v>
      </c>
      <c r="AD13">
        <f>0.15+3*0.01+0.007*('INFILTRATION LOAD'!D173-'INFILTRATION LOAD'!E173)</f>
        <v>0.18</v>
      </c>
      <c r="AE13">
        <v>2.6175000000000002</v>
      </c>
    </row>
    <row r="14" spans="1:31" x14ac:dyDescent="0.35">
      <c r="A14">
        <v>1.2</v>
      </c>
      <c r="B14">
        <f>A14*0.6</f>
        <v>0.72</v>
      </c>
      <c r="E14">
        <v>2.75</v>
      </c>
      <c r="F14">
        <v>1</v>
      </c>
      <c r="Y14" s="49">
        <f>0.15+0.01*3+0.007*('INFILTRATION LOAD'!D14-'INFILTRATION LOAD'!E14)</f>
        <v>0.2535</v>
      </c>
      <c r="Z14" s="50">
        <v>3.7086999999999999</v>
      </c>
      <c r="AB14" s="45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x14ac:dyDescent="0.35">
      <c r="A15">
        <v>1.6</v>
      </c>
      <c r="B15">
        <f>A15*1</f>
        <v>1.6</v>
      </c>
      <c r="E15">
        <v>3.6</v>
      </c>
      <c r="F15">
        <v>2.5</v>
      </c>
      <c r="Y15" s="49">
        <f>0.15+0.01*3+0.007*('INFILTRATION LOAD'!D15-'INFILTRATION LOAD'!E15)</f>
        <v>0.26400000000000001</v>
      </c>
      <c r="Z15">
        <v>19.637799999999999</v>
      </c>
      <c r="AB15" s="45">
        <v>34.1175</v>
      </c>
      <c r="AD15">
        <f>0.15+3*0.01+0.007*('INFILTRATION LOAD'!D175-'INFILTRATION LOAD'!E175)</f>
        <v>0.18</v>
      </c>
      <c r="AE15">
        <v>2.6221999999999999</v>
      </c>
    </row>
    <row r="16" spans="1:31" x14ac:dyDescent="0.35">
      <c r="A16">
        <v>4.4000000000000004</v>
      </c>
      <c r="B16">
        <f>A16*1</f>
        <v>4.4000000000000004</v>
      </c>
      <c r="E16">
        <v>0.6</v>
      </c>
      <c r="F16">
        <v>1</v>
      </c>
      <c r="Y16" s="49">
        <f>0.15+0.01*3+0.007*('INFILTRATION LOAD'!D16-'INFILTRATION LOAD'!E16)</f>
        <v>0.26400000000000001</v>
      </c>
      <c r="Z16">
        <v>31.289300000000001</v>
      </c>
      <c r="AB16" s="45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x14ac:dyDescent="0.35">
      <c r="A17">
        <v>8.15</v>
      </c>
      <c r="B17">
        <f>A17*1</f>
        <v>8.15</v>
      </c>
      <c r="E17">
        <v>4.2</v>
      </c>
      <c r="F17">
        <v>1</v>
      </c>
      <c r="Y17" s="49">
        <f>0.15+0.01*3+0.007*('INFILTRATION LOAD'!D17-'INFILTRATION LOAD'!E17)</f>
        <v>0.2535</v>
      </c>
      <c r="Z17">
        <v>3.9771999999999998</v>
      </c>
      <c r="AB17" s="45">
        <v>13.6738</v>
      </c>
      <c r="AD17">
        <f>0.15+3*0.01+0.007*('INFILTRATION LOAD'!D177-'INFILTRATION LOAD'!E177)</f>
        <v>0.18</v>
      </c>
      <c r="AE17">
        <v>2.6154999999999999</v>
      </c>
    </row>
    <row r="18" spans="1:31" x14ac:dyDescent="0.35">
      <c r="A18">
        <v>2.4</v>
      </c>
      <c r="B18">
        <f>A18*1</f>
        <v>2.4</v>
      </c>
      <c r="E18">
        <v>0.6</v>
      </c>
      <c r="F18">
        <v>0.6</v>
      </c>
      <c r="Y18" s="49">
        <f>0.15+0.01*3+0.007*('INFILTRATION LOAD'!D18-'INFILTRATION LOAD'!E18)</f>
        <v>0.26400000000000001</v>
      </c>
      <c r="Z18">
        <v>20.748699999999999</v>
      </c>
      <c r="AB18" s="46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x14ac:dyDescent="0.35">
      <c r="A19">
        <v>0.6</v>
      </c>
      <c r="B19">
        <f>A19*0.6</f>
        <v>0.36</v>
      </c>
      <c r="E19">
        <v>0.6</v>
      </c>
      <c r="F19">
        <v>1</v>
      </c>
      <c r="Y19" s="49">
        <f>0.15+0.01*3+0.007*('INFILTRATION LOAD'!D19-'INFILTRATION LOAD'!E19)</f>
        <v>0.26400000000000001</v>
      </c>
      <c r="Z19">
        <v>17.9512</v>
      </c>
      <c r="AB19" s="45">
        <v>13.9206</v>
      </c>
      <c r="AD19">
        <f>0.15+3*0.01+0.007*('INFILTRATION LOAD'!D179-'INFILTRATION LOAD'!E179)</f>
        <v>0.18</v>
      </c>
      <c r="AE19">
        <v>2.6185999999999998</v>
      </c>
    </row>
    <row r="20" spans="1:31" x14ac:dyDescent="0.35">
      <c r="A20">
        <v>0.6</v>
      </c>
      <c r="B20">
        <f>A20*0.6</f>
        <v>0.36</v>
      </c>
      <c r="E20">
        <v>1.6</v>
      </c>
      <c r="F20">
        <v>1</v>
      </c>
      <c r="Y20" s="49">
        <f>0.15+0.01*3+0.007*('INFILTRATION LOAD'!D20-'INFILTRATION LOAD'!E20)</f>
        <v>0.26400000000000001</v>
      </c>
      <c r="Z20">
        <v>18.630800000000001</v>
      </c>
      <c r="AB20" s="46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x14ac:dyDescent="0.35">
      <c r="A21">
        <v>2</v>
      </c>
      <c r="B21">
        <f>A21*1</f>
        <v>2</v>
      </c>
      <c r="E21">
        <v>0.6</v>
      </c>
      <c r="F21">
        <v>0.6</v>
      </c>
      <c r="Y21" s="49">
        <f>0.15+0.01*3+0.007*('INFILTRATION LOAD'!D21-'INFILTRATION LOAD'!E21)</f>
        <v>0.26400000000000001</v>
      </c>
      <c r="Z21">
        <v>17.137799999999999</v>
      </c>
      <c r="AB21" s="45">
        <v>13.875400000000001</v>
      </c>
      <c r="AD21">
        <f>0.15+3*0.01+0.007*('INFILTRATION LOAD'!D181-'INFILTRATION LOAD'!E181)</f>
        <v>0.18</v>
      </c>
      <c r="AE21">
        <v>2.6374</v>
      </c>
    </row>
    <row r="22" spans="1:31" x14ac:dyDescent="0.35">
      <c r="A22">
        <v>4.8</v>
      </c>
      <c r="B22">
        <f>A22*1</f>
        <v>4.8</v>
      </c>
      <c r="E22">
        <v>4.2</v>
      </c>
      <c r="F22">
        <v>1</v>
      </c>
      <c r="Y22" s="49">
        <f>0.15+0.01*3+0.007*('INFILTRATION LOAD'!D22-'INFILTRATION LOAD'!E22)</f>
        <v>0.26400000000000001</v>
      </c>
      <c r="Z22">
        <v>11.606199999999999</v>
      </c>
      <c r="AB22" s="46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x14ac:dyDescent="0.35">
      <c r="A23">
        <v>0.6</v>
      </c>
      <c r="B23">
        <f>A23*0.6</f>
        <v>0.36</v>
      </c>
      <c r="E23">
        <v>8.4</v>
      </c>
      <c r="F23">
        <v>1</v>
      </c>
      <c r="Y23" s="49">
        <f>0.15+0.01*3+0.007*('INFILTRATION LOAD'!D23-'INFILTRATION LOAD'!E23)</f>
        <v>0.26400000000000001</v>
      </c>
      <c r="Z23">
        <v>130.9682</v>
      </c>
      <c r="AB23" s="45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x14ac:dyDescent="0.35">
      <c r="B24">
        <f>A24*1</f>
        <v>0</v>
      </c>
      <c r="E24">
        <v>1.4</v>
      </c>
      <c r="F24">
        <v>1</v>
      </c>
      <c r="Y24" s="49">
        <f>0.15+0.01*3+0.007*('INFILTRATION LOAD'!D24-'INFILTRATION LOAD'!E24)</f>
        <v>0.2535</v>
      </c>
      <c r="Z24" s="50">
        <v>2.9773000000000001</v>
      </c>
      <c r="AB24" s="46">
        <v>2.6374</v>
      </c>
      <c r="AD24">
        <f>0.15+3*0.01+0.007*('INFILTRATION LOAD'!D184-'INFILTRATION LOAD'!E184)</f>
        <v>0.18</v>
      </c>
      <c r="AE24">
        <v>2.415</v>
      </c>
    </row>
    <row r="25" spans="1:31" x14ac:dyDescent="0.35">
      <c r="A25">
        <v>4.2</v>
      </c>
      <c r="B25">
        <f>A25*1</f>
        <v>4.2</v>
      </c>
      <c r="E25">
        <v>2.4</v>
      </c>
      <c r="F25">
        <v>1</v>
      </c>
      <c r="Y25" s="49">
        <f>0.15+0.01*3+0.007*('INFILTRATION LOAD'!D25-'INFILTRATION LOAD'!E25)</f>
        <v>0.26400000000000001</v>
      </c>
      <c r="Z25" s="50">
        <v>656.17899999999997</v>
      </c>
      <c r="AB25" s="45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x14ac:dyDescent="0.35">
      <c r="A26">
        <v>2.8</v>
      </c>
      <c r="B26">
        <f>A26*1</f>
        <v>2.8</v>
      </c>
      <c r="E26">
        <v>2.8</v>
      </c>
      <c r="F26">
        <v>1</v>
      </c>
      <c r="Y26" s="49">
        <f>0.15+0.01*3+0.007*('INFILTRATION LOAD'!D26-'INFILTRATION LOAD'!E26)</f>
        <v>0.26750000000000002</v>
      </c>
      <c r="Z26">
        <v>32.86</v>
      </c>
      <c r="AB26" s="45">
        <v>22.829000000000001</v>
      </c>
      <c r="AD26">
        <f>0.15+3*0.01+0.007*('INFILTRATION LOAD'!D186-'INFILTRATION LOAD'!E186)</f>
        <v>0.2535</v>
      </c>
      <c r="AE26">
        <v>2.4581</v>
      </c>
    </row>
    <row r="27" spans="1:31" x14ac:dyDescent="0.35">
      <c r="A27">
        <v>2.8</v>
      </c>
      <c r="B27">
        <f>A27*0.6</f>
        <v>1.68</v>
      </c>
      <c r="E27">
        <v>1.8</v>
      </c>
      <c r="F27">
        <v>1</v>
      </c>
      <c r="Y27" s="49">
        <f>0.15+0.01*3+0.007*('INFILTRATION LOAD'!D27-'INFILTRATION LOAD'!E27)</f>
        <v>0.26400000000000001</v>
      </c>
      <c r="Z27">
        <v>12.6775</v>
      </c>
      <c r="AB27" s="46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x14ac:dyDescent="0.35">
      <c r="A28">
        <v>2.4</v>
      </c>
      <c r="B28">
        <f>A28*1</f>
        <v>2.4</v>
      </c>
      <c r="E28">
        <v>2.4</v>
      </c>
      <c r="F28">
        <v>1</v>
      </c>
      <c r="Y28" s="49">
        <f>0.15+0.01*3+0.007*('INFILTRATION LOAD'!D28-'INFILTRATION LOAD'!E28)</f>
        <v>0.2535</v>
      </c>
      <c r="Z28" s="50">
        <v>3.2363</v>
      </c>
      <c r="AB28" s="45">
        <v>4.7869000000000002</v>
      </c>
      <c r="AD28">
        <f>0.15+3*0.01+0.007*('INFILTRATION LOAD'!D188-'INFILTRATION LOAD'!E188)</f>
        <v>0.18</v>
      </c>
      <c r="AE28">
        <v>2.6175000000000002</v>
      </c>
    </row>
    <row r="29" spans="1:31" x14ac:dyDescent="0.35">
      <c r="B29">
        <f>A29*1</f>
        <v>0</v>
      </c>
      <c r="E29">
        <v>1.73</v>
      </c>
      <c r="F29">
        <v>1</v>
      </c>
      <c r="Y29" s="49">
        <f>0.15+0.01*3+0.007*('INFILTRATION LOAD'!D29-'INFILTRATION LOAD'!E29)</f>
        <v>0.26400000000000001</v>
      </c>
      <c r="Z29">
        <v>14.3811</v>
      </c>
      <c r="AB29" s="45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x14ac:dyDescent="0.35">
      <c r="A30">
        <v>2.2000000000000002</v>
      </c>
      <c r="B30">
        <f>A30*1</f>
        <v>2.2000000000000002</v>
      </c>
      <c r="E30">
        <v>2</v>
      </c>
      <c r="F30">
        <v>1</v>
      </c>
      <c r="Y30" s="49">
        <f>0.15+0.01*3+0.007*('INFILTRATION LOAD'!D30-'INFILTRATION LOAD'!E30)</f>
        <v>0.26400000000000001</v>
      </c>
      <c r="Z30">
        <v>14.3811</v>
      </c>
      <c r="AB30" s="45">
        <v>13.8735</v>
      </c>
      <c r="AD30">
        <f>0.15+3*0.01+0.007*('INFILTRATION LOAD'!D190-'INFILTRATION LOAD'!E190)</f>
        <v>0.18</v>
      </c>
      <c r="AE30">
        <v>2.6175000000000002</v>
      </c>
    </row>
    <row r="31" spans="1:31" x14ac:dyDescent="0.35">
      <c r="B31">
        <f>A31*0.6</f>
        <v>0</v>
      </c>
      <c r="E31">
        <v>0.6</v>
      </c>
      <c r="F31">
        <v>0.6</v>
      </c>
      <c r="Y31" s="49">
        <f>0.15+0.01*3+0.007*('INFILTRATION LOAD'!D31-'INFILTRATION LOAD'!E31)</f>
        <v>0.26400000000000001</v>
      </c>
      <c r="Z31">
        <v>8.9650999999999996</v>
      </c>
      <c r="AB31" s="46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x14ac:dyDescent="0.35">
      <c r="A32">
        <v>0.6</v>
      </c>
      <c r="B32">
        <f>A32*0.6</f>
        <v>0.36</v>
      </c>
      <c r="E32">
        <v>0.6</v>
      </c>
      <c r="F32">
        <v>0.6</v>
      </c>
      <c r="Y32" s="49">
        <f>0.15+0.01*3+0.007*('INFILTRATION LOAD'!D32-'INFILTRATION LOAD'!E32)</f>
        <v>0.26400000000000001</v>
      </c>
      <c r="Z32">
        <v>14.435600000000001</v>
      </c>
      <c r="AB32" s="45">
        <v>13.892799999999999</v>
      </c>
      <c r="AD32">
        <f>0.15+3*0.01+0.007*('INFILTRATION LOAD'!D192-'INFILTRATION LOAD'!E192)</f>
        <v>0.18</v>
      </c>
      <c r="AE32">
        <v>2.6213000000000002</v>
      </c>
    </row>
    <row r="33" spans="1:31" x14ac:dyDescent="0.35">
      <c r="B33">
        <f>A33*1</f>
        <v>0</v>
      </c>
      <c r="E33">
        <v>2.4</v>
      </c>
      <c r="F33">
        <v>1</v>
      </c>
      <c r="Y33" s="49">
        <f>0.15+0.01*3+0.007*('INFILTRATION LOAD'!D33-'INFILTRATION LOAD'!E33)</f>
        <v>0.26400000000000001</v>
      </c>
      <c r="Z33">
        <v>14.435600000000001</v>
      </c>
      <c r="AB33" s="46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x14ac:dyDescent="0.35">
      <c r="B34">
        <f>A34*1</f>
        <v>0</v>
      </c>
      <c r="E34">
        <v>1.6</v>
      </c>
      <c r="F34">
        <v>1</v>
      </c>
      <c r="Y34" s="49">
        <f>0.15+0.01*3+0.007*('INFILTRATION LOAD'!D34-'INFILTRATION LOAD'!E34)</f>
        <v>0.26400000000000001</v>
      </c>
      <c r="Z34">
        <v>5.4874999999999998</v>
      </c>
      <c r="AB34" s="45">
        <v>13.7066</v>
      </c>
      <c r="AD34">
        <f>0.15+3*0.01+0.007*('INFILTRATION LOAD'!D194-'INFILTRATION LOAD'!E194)</f>
        <v>0.18</v>
      </c>
      <c r="AE34">
        <v>2.64</v>
      </c>
    </row>
    <row r="35" spans="1:31" x14ac:dyDescent="0.35">
      <c r="A35">
        <v>14</v>
      </c>
      <c r="B35">
        <f>A35*1</f>
        <v>14</v>
      </c>
      <c r="Y35" s="49">
        <f>0.15+0.01*3+0.007*('INFILTRATION LOAD'!D35-'INFILTRATION LOAD'!E35)</f>
        <v>0.26400000000000001</v>
      </c>
      <c r="Z35">
        <v>5.51</v>
      </c>
      <c r="AB35" s="46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x14ac:dyDescent="0.35">
      <c r="B36">
        <f>A36*1</f>
        <v>0</v>
      </c>
      <c r="Y36" s="49">
        <f>0.15+0.01*3+0.007*('INFILTRATION LOAD'!D36-'INFILTRATION LOAD'!E36)</f>
        <v>0.26400000000000001</v>
      </c>
      <c r="Z36">
        <v>5.6363000000000003</v>
      </c>
      <c r="AB36" s="45">
        <v>11.052199999999999</v>
      </c>
      <c r="AD36">
        <f>0.15+3*0.01+0.007*('INFILTRATION LOAD'!D196-'INFILTRATION LOAD'!E196)</f>
        <v>0.18</v>
      </c>
      <c r="AE36">
        <v>2.64</v>
      </c>
    </row>
    <row r="37" spans="1:31" x14ac:dyDescent="0.35">
      <c r="Y37" s="49">
        <f>0.15+0.01*3+0.007*('INFILTRATION LOAD'!D37-'INFILTRATION LOAD'!E37)</f>
        <v>0.2535</v>
      </c>
      <c r="Z37">
        <v>5.5202999999999998</v>
      </c>
      <c r="AB37" s="45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x14ac:dyDescent="0.35">
      <c r="A38" s="66" t="s">
        <v>99</v>
      </c>
      <c r="B38" s="66"/>
      <c r="C38" s="66"/>
      <c r="Y38" s="49">
        <f>0.15+0.01*3+0.007*('INFILTRATION LOAD'!D38-'INFILTRATION LOAD'!E38)</f>
        <v>0.26400000000000001</v>
      </c>
      <c r="Z38">
        <v>9.1492000000000004</v>
      </c>
      <c r="AB38" s="46">
        <v>2.64</v>
      </c>
      <c r="AD38">
        <f>0.15+3*0.01+0.007*('INFILTRATION LOAD'!D198-'INFILTRATION LOAD'!E198)</f>
        <v>0.18</v>
      </c>
      <c r="AE38">
        <v>2.64</v>
      </c>
    </row>
    <row r="39" spans="1:31" x14ac:dyDescent="0.35">
      <c r="A39" s="66" t="s">
        <v>98</v>
      </c>
      <c r="B39" s="66"/>
      <c r="C39" s="66"/>
      <c r="Y39" s="49">
        <f>0.15+0.01*3+0.007*('INFILTRATION LOAD'!D39-'INFILTRATION LOAD'!E39)</f>
        <v>0.26400000000000001</v>
      </c>
      <c r="Z39">
        <v>4.9522000000000004</v>
      </c>
      <c r="AB39" s="45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35">
      <c r="A40" s="26" t="s">
        <v>87</v>
      </c>
      <c r="B40" s="26" t="s">
        <v>88</v>
      </c>
      <c r="C40" s="26" t="s">
        <v>94</v>
      </c>
      <c r="E40" t="s">
        <v>122</v>
      </c>
      <c r="F40" t="s">
        <v>53</v>
      </c>
      <c r="Y40" s="49">
        <f>0.15+0.01*3+0.007*('INFILTRATION LOAD'!D40-'INFILTRATION LOAD'!E40)</f>
        <v>0.26400000000000001</v>
      </c>
      <c r="Z40">
        <v>25.253799999999998</v>
      </c>
      <c r="AB40" s="46">
        <v>6.9295999999999998</v>
      </c>
      <c r="AD40">
        <f>0.15+3*0.01+0.007*('INFILTRATION LOAD'!D200-'INFILTRATION LOAD'!E200)</f>
        <v>0.18</v>
      </c>
      <c r="AE40">
        <v>2.64</v>
      </c>
    </row>
    <row r="41" spans="1:31" x14ac:dyDescent="0.35">
      <c r="A41">
        <v>0</v>
      </c>
      <c r="B41">
        <v>0</v>
      </c>
      <c r="C41">
        <v>6.5</v>
      </c>
      <c r="E41">
        <v>2.31</v>
      </c>
      <c r="F41">
        <v>1</v>
      </c>
      <c r="Y41" s="49">
        <f>0.15+0.01*3+0.007*('INFILTRATION LOAD'!D41-'INFILTRATION LOAD'!E41)</f>
        <v>0.26400000000000001</v>
      </c>
      <c r="Z41">
        <v>14.3811</v>
      </c>
      <c r="AB41" s="45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3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9">
        <f>0.15+0.01*3+0.007*('INFILTRATION LOAD'!D42-'INFILTRATION LOAD'!E42)</f>
        <v>0.26400000000000001</v>
      </c>
      <c r="Z42">
        <v>14.3811</v>
      </c>
      <c r="AB42" s="46">
        <v>2.6086999999999998</v>
      </c>
      <c r="AD42">
        <f>0.15+3*0.01+0.007*('INFILTRATION LOAD'!D202-'INFILTRATION LOAD'!E202)</f>
        <v>0.18</v>
      </c>
      <c r="AE42">
        <v>2.64</v>
      </c>
    </row>
    <row r="43" spans="1:31" x14ac:dyDescent="0.3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9">
        <f>0.15+0.01*3+0.007*('INFILTRATION LOAD'!D43-'INFILTRATION LOAD'!E43)</f>
        <v>0.26400000000000001</v>
      </c>
      <c r="Z43">
        <v>10.417999999999999</v>
      </c>
      <c r="AB43" s="46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35">
      <c r="A44">
        <v>0</v>
      </c>
      <c r="B44">
        <v>0</v>
      </c>
      <c r="C44">
        <v>10.23</v>
      </c>
      <c r="E44">
        <v>2.31</v>
      </c>
      <c r="F44">
        <v>1</v>
      </c>
      <c r="Y44" s="49">
        <f>0.15+0.01*3+0.007*('INFILTRATION LOAD'!D44-'INFILTRATION LOAD'!E44)</f>
        <v>0.26400000000000001</v>
      </c>
      <c r="Z44">
        <v>9.9804999999999993</v>
      </c>
      <c r="AB44" s="45">
        <v>25.48</v>
      </c>
      <c r="AD44">
        <f>0.15+3*0.01+0.007*('INFILTRATION LOAD'!D204-'INFILTRATION LOAD'!E204)</f>
        <v>0.18</v>
      </c>
      <c r="AE44">
        <v>2.64</v>
      </c>
    </row>
    <row r="45" spans="1:31" x14ac:dyDescent="0.35">
      <c r="A45">
        <v>0</v>
      </c>
      <c r="B45">
        <v>0</v>
      </c>
      <c r="C45">
        <v>17</v>
      </c>
      <c r="E45">
        <v>2.7</v>
      </c>
      <c r="F45">
        <v>1</v>
      </c>
      <c r="Y45" s="49">
        <f>0.15+0.01*3+0.007*('INFILTRATION LOAD'!D45-'INFILTRATION LOAD'!E45)</f>
        <v>0.26400000000000001</v>
      </c>
      <c r="Z45">
        <v>14.435600000000001</v>
      </c>
      <c r="AB45" s="46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35">
      <c r="A46">
        <v>0</v>
      </c>
      <c r="B46">
        <v>0</v>
      </c>
      <c r="C46">
        <v>10.23</v>
      </c>
      <c r="E46">
        <v>1.4</v>
      </c>
      <c r="F46">
        <v>1</v>
      </c>
      <c r="Y46" s="49">
        <f>0.15+0.01*3+0.007*('INFILTRATION LOAD'!D46-'INFILTRATION LOAD'!E46)</f>
        <v>0.26400000000000001</v>
      </c>
      <c r="Z46">
        <v>14.435600000000001</v>
      </c>
      <c r="AB46" s="45">
        <v>13.751200000000001</v>
      </c>
      <c r="AD46">
        <f>0.15+3*0.01+0.007*('INFILTRATION LOAD'!D206-'INFILTRATION LOAD'!E206)</f>
        <v>0.18</v>
      </c>
      <c r="AE46">
        <v>2.64</v>
      </c>
    </row>
    <row r="47" spans="1:31" x14ac:dyDescent="0.3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9">
        <f>0.15+0.01*3+0.007*('INFILTRATION LOAD'!D47-'INFILTRATION LOAD'!E47)</f>
        <v>0.26400000000000001</v>
      </c>
      <c r="Z47">
        <v>14.363899999999999</v>
      </c>
      <c r="AB47" s="46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3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9">
        <f>0.15+0.01*3+0.007*('INFILTRATION LOAD'!D48-'INFILTRATION LOAD'!E48)</f>
        <v>0.26400000000000001</v>
      </c>
      <c r="Z48">
        <v>8.4309999999999992</v>
      </c>
      <c r="AB48" s="45">
        <v>38.453699999999998</v>
      </c>
      <c r="AD48">
        <f>0.15+3*0.01+0.007*('INFILTRATION LOAD'!D208-'INFILTRATION LOAD'!E208)</f>
        <v>0.18</v>
      </c>
      <c r="AE48">
        <v>2.64</v>
      </c>
    </row>
    <row r="49" spans="1:31" x14ac:dyDescent="0.35">
      <c r="A49">
        <v>0</v>
      </c>
      <c r="B49">
        <v>0</v>
      </c>
      <c r="C49">
        <v>6.5</v>
      </c>
      <c r="E49">
        <v>1.4</v>
      </c>
      <c r="F49">
        <v>1</v>
      </c>
      <c r="Y49" s="49">
        <f>0.15+0.01*3+0.007*('INFILTRATION LOAD'!D49-'INFILTRATION LOAD'!E49)</f>
        <v>0.2535</v>
      </c>
      <c r="Z49">
        <v>8.3137000000000008</v>
      </c>
      <c r="AB49" s="45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35">
      <c r="A50">
        <v>0</v>
      </c>
      <c r="B50">
        <v>2.7</v>
      </c>
      <c r="C50">
        <v>3.1</v>
      </c>
      <c r="E50">
        <v>1.4</v>
      </c>
      <c r="F50">
        <v>1</v>
      </c>
      <c r="Y50" s="49">
        <f>0.15+0.01*3+0.007*('INFILTRATION LOAD'!D50-'INFILTRATION LOAD'!E50)</f>
        <v>0.26400000000000001</v>
      </c>
      <c r="Z50">
        <v>8.4375</v>
      </c>
      <c r="AB50" s="46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35">
      <c r="A51">
        <v>0</v>
      </c>
      <c r="B51">
        <v>1.4</v>
      </c>
      <c r="C51">
        <v>3.7</v>
      </c>
      <c r="E51">
        <v>3.35</v>
      </c>
      <c r="F51">
        <v>1</v>
      </c>
      <c r="Y51" s="49">
        <f>0.15+0.01*3+0.007*('INFILTRATION LOAD'!D51-'INFILTRATION LOAD'!E51)</f>
        <v>0.26400000000000001</v>
      </c>
      <c r="Z51">
        <v>13.606999999999999</v>
      </c>
      <c r="AB51" s="45">
        <v>25.48</v>
      </c>
      <c r="AD51">
        <f>0.15+3*0.01+0.007*('INFILTRATION LOAD'!D211-'INFILTRATION LOAD'!E211)</f>
        <v>0.18</v>
      </c>
      <c r="AE51">
        <v>2.64</v>
      </c>
    </row>
    <row r="52" spans="1:31" x14ac:dyDescent="0.35">
      <c r="A52">
        <v>0</v>
      </c>
      <c r="B52">
        <v>1.4</v>
      </c>
      <c r="C52">
        <v>2.35</v>
      </c>
      <c r="E52">
        <v>2.4</v>
      </c>
      <c r="F52">
        <v>1</v>
      </c>
      <c r="Y52" s="49">
        <f>0.15+0.01*3+0.007*('INFILTRATION LOAD'!D52-'INFILTRATION LOAD'!E52)</f>
        <v>0.2535</v>
      </c>
      <c r="Z52">
        <v>17.259899999999998</v>
      </c>
      <c r="AB52" s="46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35">
      <c r="A53">
        <v>0</v>
      </c>
      <c r="B53">
        <v>0</v>
      </c>
      <c r="C53">
        <v>3</v>
      </c>
      <c r="E53">
        <v>2.4</v>
      </c>
      <c r="F53">
        <v>1</v>
      </c>
      <c r="Y53" s="49">
        <f>0.15+0.01*3+0.007*('INFILTRATION LOAD'!D53-'INFILTRATION LOAD'!E53)</f>
        <v>0.26400000000000001</v>
      </c>
      <c r="Z53">
        <v>17.1267</v>
      </c>
      <c r="AB53" s="45">
        <v>13.751200000000001</v>
      </c>
      <c r="AD53">
        <f>0.15+3*0.01+0.007*('INFILTRATION LOAD'!D213-'INFILTRATION LOAD'!E213)</f>
        <v>0.18</v>
      </c>
      <c r="AE53">
        <v>2.64</v>
      </c>
    </row>
    <row r="54" spans="1:31" x14ac:dyDescent="0.35">
      <c r="A54">
        <v>0</v>
      </c>
      <c r="B54">
        <v>1.4</v>
      </c>
      <c r="C54">
        <v>3</v>
      </c>
      <c r="E54">
        <v>2.4</v>
      </c>
      <c r="F54">
        <v>1</v>
      </c>
      <c r="Y54" s="49">
        <f>0.15+0.01*3+0.007*('INFILTRATION LOAD'!D54-'INFILTRATION LOAD'!E54)</f>
        <v>0.26400000000000001</v>
      </c>
      <c r="Z54">
        <v>8.5710999999999995</v>
      </c>
      <c r="AB54" s="46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35">
      <c r="A55">
        <v>0</v>
      </c>
      <c r="B55">
        <v>1.4</v>
      </c>
      <c r="C55">
        <v>3</v>
      </c>
      <c r="E55">
        <v>2.23</v>
      </c>
      <c r="F55">
        <v>1</v>
      </c>
      <c r="Y55" s="49">
        <f>0.15+0.01*3+0.007*('INFILTRATION LOAD'!D55-'INFILTRATION LOAD'!E55)</f>
        <v>0.26400000000000001</v>
      </c>
      <c r="Z55">
        <v>35.317700000000002</v>
      </c>
      <c r="AB55" s="45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35">
      <c r="A56">
        <v>0</v>
      </c>
      <c r="B56">
        <v>1.4</v>
      </c>
      <c r="C56">
        <v>3</v>
      </c>
      <c r="E56">
        <v>0.6</v>
      </c>
      <c r="F56">
        <v>0.6</v>
      </c>
      <c r="Y56" s="49">
        <f>0.15+0.01*3+0.007*('INFILTRATION LOAD'!D56-'INFILTRATION LOAD'!E56)</f>
        <v>0.26400000000000001</v>
      </c>
      <c r="Z56">
        <v>13.5984</v>
      </c>
      <c r="AB56" s="46">
        <v>2.64</v>
      </c>
      <c r="AD56">
        <f>0.15+3*0.01+0.007*('INFILTRATION LOAD'!D216-'INFILTRATION LOAD'!E216)</f>
        <v>0.18</v>
      </c>
      <c r="AE56">
        <v>2.64</v>
      </c>
    </row>
    <row r="57" spans="1:31" x14ac:dyDescent="0.35">
      <c r="A57">
        <v>0</v>
      </c>
      <c r="B57">
        <v>1.4</v>
      </c>
      <c r="C57">
        <v>3</v>
      </c>
      <c r="E57">
        <v>2.4</v>
      </c>
      <c r="F57">
        <v>1</v>
      </c>
      <c r="Y57" s="49">
        <f>0.15+0.01*3+0.007*('INFILTRATION LOAD'!D57-'INFILTRATION LOAD'!E57)</f>
        <v>0.2535</v>
      </c>
      <c r="Z57">
        <v>17.0428</v>
      </c>
      <c r="AB57" s="45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35">
      <c r="A58">
        <v>0</v>
      </c>
      <c r="B58">
        <v>3.35</v>
      </c>
      <c r="C58">
        <v>3.75</v>
      </c>
      <c r="E58">
        <v>1.2</v>
      </c>
      <c r="F58">
        <v>0.6</v>
      </c>
      <c r="Y58" s="49">
        <f>0.15+0.01*3+0.007*('INFILTRATION LOAD'!D58-'INFILTRATION LOAD'!E58)</f>
        <v>0.26400000000000001</v>
      </c>
      <c r="Z58">
        <v>10.441700000000001</v>
      </c>
      <c r="AB58" s="46">
        <v>1.6646000000000001</v>
      </c>
      <c r="AD58">
        <f>0.15+3*0.01+0.007*('INFILTRATION LOAD'!D218-'INFILTRATION LOAD'!E218)</f>
        <v>0.18</v>
      </c>
      <c r="AE58">
        <v>2.64</v>
      </c>
    </row>
    <row r="59" spans="1:31" x14ac:dyDescent="0.35">
      <c r="A59">
        <v>0</v>
      </c>
      <c r="B59">
        <v>0</v>
      </c>
      <c r="C59">
        <v>3</v>
      </c>
      <c r="E59">
        <v>1.2</v>
      </c>
      <c r="F59">
        <v>0.6</v>
      </c>
      <c r="Y59" s="49">
        <f>0.15+0.01*3+0.007*('INFILTRATION LOAD'!D59-'INFILTRATION LOAD'!E59)</f>
        <v>0.26400000000000001</v>
      </c>
      <c r="Z59">
        <v>11.591900000000001</v>
      </c>
      <c r="AB59" s="45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35">
      <c r="A60">
        <v>0</v>
      </c>
      <c r="B60">
        <v>2.4</v>
      </c>
      <c r="C60">
        <v>3.9</v>
      </c>
      <c r="Y60" s="49">
        <f>0.15+0.01*3+0.007*('INFILTRATION LOAD'!D60-'INFILTRATION LOAD'!E60)</f>
        <v>0.26400000000000001</v>
      </c>
      <c r="Z60">
        <v>19.076899999999998</v>
      </c>
      <c r="AB60" s="45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35">
      <c r="A61">
        <v>0</v>
      </c>
      <c r="B61">
        <v>2.4</v>
      </c>
      <c r="C61">
        <v>3.9</v>
      </c>
      <c r="E61">
        <v>3.35</v>
      </c>
      <c r="F61">
        <v>1</v>
      </c>
      <c r="Y61" s="49">
        <f>0.15+0.01*3+0.007*('INFILTRATION LOAD'!D61-'INFILTRATION LOAD'!E61)</f>
        <v>0.2535</v>
      </c>
      <c r="Z61" s="50">
        <v>2.5344000000000002</v>
      </c>
      <c r="AB61" s="45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35">
      <c r="A62">
        <v>0</v>
      </c>
      <c r="B62">
        <v>2.4</v>
      </c>
      <c r="C62" s="27">
        <v>3.2</v>
      </c>
      <c r="E62">
        <v>1.4</v>
      </c>
      <c r="F62">
        <v>1</v>
      </c>
      <c r="Y62" s="49">
        <f>0.15+0.01*3+0.007*('INFILTRATION LOAD'!D62-'INFILTRATION LOAD'!E62)</f>
        <v>0.2535</v>
      </c>
      <c r="Z62">
        <v>34.215200000000003</v>
      </c>
      <c r="AB62" s="45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35">
      <c r="A63">
        <v>0</v>
      </c>
      <c r="B63">
        <v>2.23</v>
      </c>
      <c r="C63" s="27">
        <v>2.48</v>
      </c>
      <c r="E63">
        <v>1.4</v>
      </c>
      <c r="F63">
        <v>1</v>
      </c>
      <c r="Y63" s="49">
        <f>0.15+0.01*3+0.007*('INFILTRATION LOAD'!D63-'INFILTRATION LOAD'!E63)</f>
        <v>0.2535</v>
      </c>
      <c r="Z63">
        <v>2.5941000000000001</v>
      </c>
      <c r="AB63" s="46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35">
      <c r="A64">
        <v>0</v>
      </c>
      <c r="B64">
        <v>0.6</v>
      </c>
      <c r="C64" s="27">
        <v>1.88</v>
      </c>
      <c r="E64">
        <v>1.4</v>
      </c>
      <c r="F64">
        <v>1</v>
      </c>
      <c r="Y64" s="49">
        <f>0.15+0.01*3+0.007*('INFILTRATION LOAD'!D64-'INFILTRATION LOAD'!E64)</f>
        <v>0.2535</v>
      </c>
      <c r="Z64">
        <v>1.9624999999999999</v>
      </c>
      <c r="AB64" s="45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35">
      <c r="A65">
        <v>0</v>
      </c>
      <c r="B65">
        <v>0.6</v>
      </c>
      <c r="C65" s="27">
        <v>1.5</v>
      </c>
      <c r="E65">
        <v>1.4</v>
      </c>
      <c r="F65">
        <v>1</v>
      </c>
      <c r="Y65" s="49">
        <f>0.15+0.01*3+0.007*('INFILTRATION LOAD'!D65-'INFILTRATION LOAD'!E65)</f>
        <v>0.26400000000000001</v>
      </c>
      <c r="Z65">
        <v>5.7183999999999999</v>
      </c>
      <c r="AB65" s="45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35">
      <c r="A66">
        <v>0</v>
      </c>
      <c r="B66">
        <v>2.4</v>
      </c>
      <c r="C66">
        <v>5.7</v>
      </c>
      <c r="E66">
        <v>1.4</v>
      </c>
      <c r="F66">
        <v>1</v>
      </c>
      <c r="Y66" s="49">
        <f>0.15+0.01*3+0.007*('INFILTRATION LOAD'!D66-'INFILTRATION LOAD'!E66)</f>
        <v>0.26400000000000001</v>
      </c>
      <c r="Z66">
        <v>9.2249999999999996</v>
      </c>
      <c r="AB66" s="45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35">
      <c r="A67">
        <v>0</v>
      </c>
      <c r="B67">
        <v>0</v>
      </c>
      <c r="C67">
        <v>4.8</v>
      </c>
      <c r="E67">
        <v>0.6</v>
      </c>
      <c r="F67">
        <v>0.6</v>
      </c>
      <c r="Y67" s="49">
        <f>0.15+0.01*3+0.007*('INFILTRATION LOAD'!D67-'INFILTRATION LOAD'!E67)</f>
        <v>0.2535</v>
      </c>
      <c r="Z67" s="50">
        <v>1.9450000000000001</v>
      </c>
      <c r="AB67" s="45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35">
      <c r="A68">
        <v>0</v>
      </c>
      <c r="B68">
        <v>1.2</v>
      </c>
      <c r="C68">
        <v>3</v>
      </c>
      <c r="Y68" s="49">
        <f>0.15+0.01*3+0.007*('INFILTRATION LOAD'!D68-'INFILTRATION LOAD'!E68)</f>
        <v>0.26400000000000001</v>
      </c>
      <c r="Z68">
        <v>38.032499999999999</v>
      </c>
      <c r="AB68" s="45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35">
      <c r="A69">
        <v>0</v>
      </c>
      <c r="B69">
        <v>1.2</v>
      </c>
      <c r="C69">
        <v>3</v>
      </c>
      <c r="Y69" s="49">
        <f>0.15+0.01*3+0.007*('INFILTRATION LOAD'!D69-'INFILTRATION LOAD'!E69)</f>
        <v>0.26400000000000001</v>
      </c>
      <c r="Z69">
        <v>50.888100000000001</v>
      </c>
      <c r="AB69" s="46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35">
      <c r="A70">
        <v>0</v>
      </c>
      <c r="C70">
        <v>6</v>
      </c>
      <c r="Y70" s="49">
        <f>0.15+0.01*3+0.007*('INFILTRATION LOAD'!D70-'INFILTRATION LOAD'!E70)</f>
        <v>0.26400000000000001</v>
      </c>
      <c r="Z70">
        <v>27.005600000000001</v>
      </c>
      <c r="AB70" s="45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35">
      <c r="A71">
        <v>0</v>
      </c>
      <c r="B71">
        <v>0</v>
      </c>
      <c r="C71">
        <v>12</v>
      </c>
      <c r="Y71" s="49">
        <f>0.15+0.01*3+0.007*('INFILTRATION LOAD'!D71-'INFILTRATION LOAD'!E71)</f>
        <v>0.2535</v>
      </c>
      <c r="Z71" s="50">
        <v>2.5344000000000002</v>
      </c>
      <c r="AB71" s="45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35">
      <c r="A72">
        <v>0</v>
      </c>
      <c r="B72">
        <v>0</v>
      </c>
      <c r="C72">
        <v>15.4</v>
      </c>
      <c r="Y72" s="49">
        <f>0.15+0.01*3+0.007*('INFILTRATION LOAD'!D72-'INFILTRATION LOAD'!E72)</f>
        <v>0.26400000000000001</v>
      </c>
      <c r="Z72">
        <v>2.2799999999999998</v>
      </c>
      <c r="AB72" s="45">
        <v>35.042499999999997</v>
      </c>
      <c r="AD72">
        <f>0.15+3*0.01+0.007*('INFILTRATION LOAD'!D232-'INFILTRATION LOAD'!E232)</f>
        <v>0.18</v>
      </c>
      <c r="AE72">
        <v>2.64</v>
      </c>
    </row>
    <row r="73" spans="1:31" x14ac:dyDescent="0.35">
      <c r="A73">
        <v>0</v>
      </c>
      <c r="B73">
        <v>0</v>
      </c>
      <c r="C73">
        <v>2.2200000000000002</v>
      </c>
      <c r="Y73" s="49">
        <f>0.15+0.01*3+0.007*('INFILTRATION LOAD'!D73-'INFILTRATION LOAD'!E73)</f>
        <v>0.2535</v>
      </c>
      <c r="Z73">
        <v>181.69919999999999</v>
      </c>
      <c r="AB73" s="45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35">
      <c r="A74">
        <v>0</v>
      </c>
      <c r="B74">
        <v>3.33</v>
      </c>
      <c r="C74">
        <v>3.75</v>
      </c>
      <c r="AB74" s="45">
        <v>4.1337999999999999</v>
      </c>
    </row>
    <row r="75" spans="1:31" x14ac:dyDescent="0.35">
      <c r="A75">
        <v>0</v>
      </c>
      <c r="B75">
        <v>1.4</v>
      </c>
      <c r="C75">
        <v>3</v>
      </c>
      <c r="AB75" s="45">
        <v>12.91</v>
      </c>
    </row>
    <row r="76" spans="1:31" x14ac:dyDescent="0.35">
      <c r="A76">
        <v>0</v>
      </c>
      <c r="B76">
        <v>1.4</v>
      </c>
      <c r="C76">
        <v>3</v>
      </c>
      <c r="AB76" s="45">
        <v>7.4783999999999997</v>
      </c>
    </row>
    <row r="77" spans="1:31" x14ac:dyDescent="0.35">
      <c r="A77">
        <v>0</v>
      </c>
      <c r="B77">
        <v>1.4</v>
      </c>
      <c r="C77">
        <v>3</v>
      </c>
      <c r="AB77" s="45">
        <v>17.520700000000001</v>
      </c>
    </row>
    <row r="78" spans="1:31" x14ac:dyDescent="0.35">
      <c r="A78">
        <v>0</v>
      </c>
      <c r="B78">
        <v>1.4</v>
      </c>
      <c r="C78">
        <v>3</v>
      </c>
      <c r="AB78" s="45">
        <v>2.8</v>
      </c>
    </row>
    <row r="79" spans="1:31" x14ac:dyDescent="0.35">
      <c r="A79">
        <v>0</v>
      </c>
      <c r="B79">
        <v>0</v>
      </c>
      <c r="C79">
        <v>2.2200000000000002</v>
      </c>
      <c r="AB79" s="45">
        <v>2.8</v>
      </c>
    </row>
    <row r="80" spans="1:31" x14ac:dyDescent="0.35">
      <c r="A80">
        <v>0</v>
      </c>
      <c r="B80">
        <v>1.4</v>
      </c>
      <c r="C80">
        <v>3.7</v>
      </c>
      <c r="AB80" s="45">
        <v>2.8</v>
      </c>
    </row>
    <row r="81" spans="1:28" x14ac:dyDescent="0.35">
      <c r="A81">
        <v>0</v>
      </c>
      <c r="B81">
        <v>0.6</v>
      </c>
      <c r="C81">
        <v>2.35</v>
      </c>
      <c r="AB81" s="46">
        <v>41.302100000000003</v>
      </c>
    </row>
    <row r="82" spans="1:28" x14ac:dyDescent="0.35">
      <c r="A82">
        <f>2.5*2</f>
        <v>5</v>
      </c>
      <c r="B82">
        <v>0</v>
      </c>
      <c r="C82">
        <v>3.1</v>
      </c>
      <c r="AB82" s="45">
        <v>46.974200000000003</v>
      </c>
    </row>
    <row r="83" spans="1:28" x14ac:dyDescent="0.35">
      <c r="AB83" s="46">
        <v>2.0901000000000001</v>
      </c>
    </row>
  </sheetData>
  <autoFilter ref="A4:B36" xr:uid="{5821D4A2-BED0-476A-A330-8DF346E6798E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1" priority="2" operator="equal">
      <formula>$T$1</formula>
    </cfRule>
  </conditionalFormatting>
  <conditionalFormatting sqref="AB4:AB83">
    <cfRule type="cellIs" dxfId="0" priority="1" operator="equal">
      <formula>$K$1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EXTERNAL WALL LOAD</vt:lpstr>
      <vt:lpstr>GLASS LOAD</vt:lpstr>
      <vt:lpstr>INFILTRATION LOAD</vt:lpstr>
      <vt:lpstr>Sheet1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Mark Kervin</cp:lastModifiedBy>
  <cp:lastPrinted>2019-11-02T15:48:31Z</cp:lastPrinted>
  <dcterms:created xsi:type="dcterms:W3CDTF">2019-11-02T03:45:14Z</dcterms:created>
  <dcterms:modified xsi:type="dcterms:W3CDTF">2019-11-04T02:17:53Z</dcterms:modified>
</cp:coreProperties>
</file>