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E1F5B203-B27C-4C88-AC2A-481DEB43D21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5" i="8" l="1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K227" i="3"/>
  <c r="C208" i="3"/>
  <c r="C192" i="3"/>
  <c r="C147" i="3"/>
  <c r="K133" i="3"/>
  <c r="C120" i="3"/>
  <c r="C89" i="3"/>
  <c r="C70" i="3"/>
  <c r="L121" i="5"/>
  <c r="K121" i="5"/>
  <c r="K43" i="5"/>
  <c r="J43" i="5"/>
  <c r="G39" i="5"/>
  <c r="K12" i="5"/>
  <c r="J12" i="5"/>
  <c r="H160" i="10"/>
  <c r="H94" i="10"/>
  <c r="F92" i="10"/>
  <c r="F79" i="10"/>
  <c r="H54" i="10"/>
  <c r="H48" i="10"/>
  <c r="H44" i="10"/>
  <c r="H21" i="10"/>
  <c r="F8" i="10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B166" i="10" l="1"/>
  <c r="F166" i="10" s="1"/>
  <c r="B165" i="10"/>
  <c r="F165" i="10" s="1"/>
  <c r="G126" i="9"/>
  <c r="I126" i="9" s="1"/>
  <c r="H126" i="9"/>
  <c r="J126" i="9" s="1"/>
  <c r="G125" i="9"/>
  <c r="I125" i="9" s="1"/>
  <c r="H125" i="9"/>
  <c r="J125" i="9" s="1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8" i="12"/>
  <c r="B8" i="12"/>
  <c r="D6" i="12"/>
  <c r="C6" i="12"/>
  <c r="B6" i="12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O6" i="6"/>
  <c r="P7" i="5"/>
  <c r="P6" i="5"/>
  <c r="P5" i="5"/>
  <c r="O7" i="5"/>
  <c r="O6" i="5"/>
  <c r="O5" i="5"/>
  <c r="Q7" i="5"/>
  <c r="Q6" i="5"/>
  <c r="P8" i="5"/>
  <c r="O8" i="5"/>
  <c r="B164" i="10"/>
  <c r="Q5" i="5" l="1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J124" i="9" s="1"/>
  <c r="G124" i="9"/>
  <c r="I124" i="9" s="1"/>
  <c r="H123" i="9"/>
  <c r="J123" i="9" s="1"/>
  <c r="G123" i="9"/>
  <c r="I123" i="9" s="1"/>
  <c r="H122" i="9"/>
  <c r="J122" i="9" s="1"/>
  <c r="G122" i="9"/>
  <c r="I122" i="9" s="1"/>
  <c r="H121" i="9"/>
  <c r="J121" i="9" s="1"/>
  <c r="G121" i="9"/>
  <c r="I121" i="9" s="1"/>
  <c r="H120" i="9"/>
  <c r="J120" i="9" s="1"/>
  <c r="G120" i="9"/>
  <c r="I120" i="9" s="1"/>
  <c r="H119" i="9"/>
  <c r="J119" i="9" s="1"/>
  <c r="G119" i="9"/>
  <c r="I119" i="9" s="1"/>
  <c r="H118" i="9"/>
  <c r="J118" i="9" s="1"/>
  <c r="G118" i="9"/>
  <c r="I118" i="9" s="1"/>
  <c r="H117" i="9"/>
  <c r="J117" i="9" s="1"/>
  <c r="G117" i="9"/>
  <c r="I117" i="9" s="1"/>
  <c r="H116" i="9"/>
  <c r="J116" i="9" s="1"/>
  <c r="G116" i="9"/>
  <c r="I116" i="9" s="1"/>
  <c r="H115" i="9"/>
  <c r="J115" i="9" s="1"/>
  <c r="G115" i="9"/>
  <c r="I115" i="9" s="1"/>
  <c r="H114" i="9"/>
  <c r="J114" i="9" s="1"/>
  <c r="G114" i="9"/>
  <c r="I114" i="9" s="1"/>
  <c r="H113" i="9"/>
  <c r="J113" i="9" s="1"/>
  <c r="G113" i="9"/>
  <c r="I113" i="9" s="1"/>
  <c r="H112" i="9"/>
  <c r="J112" i="9" s="1"/>
  <c r="G112" i="9"/>
  <c r="I112" i="9" s="1"/>
  <c r="H111" i="9"/>
  <c r="J111" i="9" s="1"/>
  <c r="G111" i="9"/>
  <c r="I111" i="9" s="1"/>
  <c r="H110" i="9"/>
  <c r="J110" i="9" s="1"/>
  <c r="G110" i="9"/>
  <c r="I110" i="9" s="1"/>
  <c r="H109" i="9"/>
  <c r="J109" i="9" s="1"/>
  <c r="G109" i="9"/>
  <c r="I109" i="9" s="1"/>
  <c r="H108" i="9"/>
  <c r="J108" i="9" s="1"/>
  <c r="G108" i="9"/>
  <c r="I108" i="9" s="1"/>
  <c r="H107" i="9"/>
  <c r="J107" i="9" s="1"/>
  <c r="G107" i="9"/>
  <c r="I107" i="9" s="1"/>
  <c r="H106" i="9"/>
  <c r="J106" i="9" s="1"/>
  <c r="G106" i="9"/>
  <c r="I106" i="9" s="1"/>
  <c r="H105" i="9"/>
  <c r="J105" i="9" s="1"/>
  <c r="G105" i="9"/>
  <c r="I105" i="9" s="1"/>
  <c r="H104" i="9"/>
  <c r="J104" i="9" s="1"/>
  <c r="G104" i="9"/>
  <c r="I104" i="9" s="1"/>
  <c r="H103" i="9"/>
  <c r="J103" i="9" s="1"/>
  <c r="G103" i="9"/>
  <c r="I103" i="9" s="1"/>
  <c r="H102" i="9"/>
  <c r="J102" i="9" s="1"/>
  <c r="G102" i="9"/>
  <c r="I102" i="9" s="1"/>
  <c r="H101" i="9"/>
  <c r="J101" i="9" s="1"/>
  <c r="G101" i="9"/>
  <c r="I101" i="9" s="1"/>
  <c r="H100" i="9"/>
  <c r="J100" i="9" s="1"/>
  <c r="G100" i="9"/>
  <c r="I100" i="9" s="1"/>
  <c r="H99" i="9"/>
  <c r="J99" i="9" s="1"/>
  <c r="G99" i="9"/>
  <c r="I99" i="9" s="1"/>
  <c r="H98" i="9"/>
  <c r="J98" i="9" s="1"/>
  <c r="G98" i="9"/>
  <c r="I98" i="9" s="1"/>
  <c r="H97" i="9"/>
  <c r="J97" i="9" s="1"/>
  <c r="G97" i="9"/>
  <c r="I97" i="9" s="1"/>
  <c r="H96" i="9"/>
  <c r="J96" i="9" s="1"/>
  <c r="G96" i="9"/>
  <c r="I96" i="9" s="1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J40" i="9" s="1"/>
  <c r="G40" i="9"/>
  <c r="I40" i="9" s="1"/>
  <c r="H39" i="9"/>
  <c r="J39" i="9" s="1"/>
  <c r="G39" i="9"/>
  <c r="I39" i="9" s="1"/>
  <c r="H38" i="9"/>
  <c r="J38" i="9" s="1"/>
  <c r="G38" i="9"/>
  <c r="I38" i="9" s="1"/>
  <c r="H37" i="9"/>
  <c r="J37" i="9" s="1"/>
  <c r="G37" i="9"/>
  <c r="I37" i="9" s="1"/>
  <c r="H36" i="9"/>
  <c r="J36" i="9" s="1"/>
  <c r="G36" i="9"/>
  <c r="I36" i="9" s="1"/>
  <c r="H35" i="9"/>
  <c r="J35" i="9" s="1"/>
  <c r="G35" i="9"/>
  <c r="I35" i="9" s="1"/>
  <c r="H34" i="9"/>
  <c r="J34" i="9" s="1"/>
  <c r="G34" i="9"/>
  <c r="I34" i="9" s="1"/>
  <c r="H33" i="9"/>
  <c r="J33" i="9" s="1"/>
  <c r="G33" i="9"/>
  <c r="I33" i="9" s="1"/>
  <c r="H32" i="9"/>
  <c r="J32" i="9" s="1"/>
  <c r="G32" i="9"/>
  <c r="I32" i="9" s="1"/>
  <c r="H31" i="9"/>
  <c r="J31" i="9" s="1"/>
  <c r="G31" i="9"/>
  <c r="I31" i="9" s="1"/>
  <c r="H30" i="9"/>
  <c r="J30" i="9" s="1"/>
  <c r="G30" i="9"/>
  <c r="I30" i="9" s="1"/>
  <c r="H29" i="9"/>
  <c r="J29" i="9" s="1"/>
  <c r="G29" i="9"/>
  <c r="I29" i="9" s="1"/>
  <c r="H28" i="9"/>
  <c r="J28" i="9" s="1"/>
  <c r="G28" i="9"/>
  <c r="I28" i="9" s="1"/>
  <c r="H27" i="9"/>
  <c r="J27" i="9" s="1"/>
  <c r="G27" i="9"/>
  <c r="I27" i="9" s="1"/>
  <c r="H26" i="9"/>
  <c r="J26" i="9" s="1"/>
  <c r="G26" i="9"/>
  <c r="I26" i="9" s="1"/>
  <c r="H25" i="9"/>
  <c r="J25" i="9" s="1"/>
  <c r="G25" i="9"/>
  <c r="I25" i="9" s="1"/>
  <c r="H24" i="9"/>
  <c r="J24" i="9" s="1"/>
  <c r="G24" i="9"/>
  <c r="I24" i="9" s="1"/>
  <c r="H23" i="9"/>
  <c r="J23" i="9" s="1"/>
  <c r="G23" i="9"/>
  <c r="I23" i="9" s="1"/>
  <c r="H22" i="9"/>
  <c r="J22" i="9" s="1"/>
  <c r="G22" i="9"/>
  <c r="I22" i="9" s="1"/>
  <c r="H21" i="9"/>
  <c r="J21" i="9" s="1"/>
  <c r="G21" i="9"/>
  <c r="I21" i="9" s="1"/>
  <c r="H20" i="9"/>
  <c r="J20" i="9" s="1"/>
  <c r="G20" i="9"/>
  <c r="I20" i="9" s="1"/>
  <c r="H19" i="9"/>
  <c r="J19" i="9" s="1"/>
  <c r="G19" i="9"/>
  <c r="I19" i="9" s="1"/>
  <c r="H18" i="9"/>
  <c r="J18" i="9" s="1"/>
  <c r="G18" i="9"/>
  <c r="I18" i="9" s="1"/>
  <c r="H17" i="9"/>
  <c r="J17" i="9" s="1"/>
  <c r="G17" i="9"/>
  <c r="I17" i="9" s="1"/>
  <c r="H16" i="9"/>
  <c r="J16" i="9" s="1"/>
  <c r="G16" i="9"/>
  <c r="I16" i="9" s="1"/>
  <c r="H15" i="9"/>
  <c r="J15" i="9" s="1"/>
  <c r="G15" i="9"/>
  <c r="I15" i="9" s="1"/>
  <c r="H14" i="9"/>
  <c r="J14" i="9" s="1"/>
  <c r="G14" i="9"/>
  <c r="I14" i="9" s="1"/>
  <c r="H13" i="9"/>
  <c r="J13" i="9" s="1"/>
  <c r="G13" i="9"/>
  <c r="I13" i="9" s="1"/>
  <c r="H12" i="9"/>
  <c r="J12" i="9" s="1"/>
  <c r="G12" i="9"/>
  <c r="I12" i="9" s="1"/>
  <c r="H11" i="9"/>
  <c r="J11" i="9" s="1"/>
  <c r="G11" i="9"/>
  <c r="I11" i="9" s="1"/>
  <c r="H10" i="9"/>
  <c r="J10" i="9" s="1"/>
  <c r="G10" i="9"/>
  <c r="I10" i="9" s="1"/>
  <c r="H9" i="9"/>
  <c r="J9" i="9" s="1"/>
  <c r="G9" i="9"/>
  <c r="I9" i="9" s="1"/>
  <c r="H8" i="9"/>
  <c r="J8" i="9" s="1"/>
  <c r="G8" i="9"/>
  <c r="I8" i="9" s="1"/>
  <c r="H7" i="9"/>
  <c r="J7" i="9" s="1"/>
  <c r="G7" i="9"/>
  <c r="I7" i="9" s="1"/>
  <c r="H6" i="9"/>
  <c r="J6" i="9" s="1"/>
  <c r="G6" i="9"/>
  <c r="I6" i="9" s="1"/>
  <c r="H5" i="9"/>
  <c r="J5" i="9" s="1"/>
  <c r="G5" i="9"/>
  <c r="I5" i="9" s="1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5" i="10" l="1"/>
  <c r="M8" i="10" s="1"/>
  <c r="B12" i="12" s="1"/>
  <c r="D12" i="12" s="1"/>
  <c r="I95" i="9"/>
  <c r="G127" i="9"/>
  <c r="J4" i="9"/>
  <c r="H41" i="9"/>
  <c r="R5" i="9" s="1"/>
  <c r="I4" i="9"/>
  <c r="G41" i="9"/>
  <c r="H90" i="9"/>
  <c r="R6" i="9" s="1"/>
  <c r="G90" i="9"/>
  <c r="J95" i="9"/>
  <c r="H127" i="9"/>
  <c r="R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H127" i="8" s="1"/>
  <c r="R7" i="8" s="1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R8" i="9" l="1"/>
  <c r="C10" i="12" s="1"/>
  <c r="Q7" i="9"/>
  <c r="S7" i="9" s="1"/>
  <c r="H128" i="9"/>
  <c r="Q5" i="9"/>
  <c r="H42" i="9"/>
  <c r="Q6" i="9"/>
  <c r="S6" i="9" s="1"/>
  <c r="H91" i="9"/>
  <c r="H90" i="8"/>
  <c r="I91" i="8" s="1"/>
  <c r="I90" i="8"/>
  <c r="S6" i="8" s="1"/>
  <c r="H41" i="8"/>
  <c r="R5" i="8" s="1"/>
  <c r="I127" i="8"/>
  <c r="S7" i="8" s="1"/>
  <c r="T7" i="8" s="1"/>
  <c r="S5" i="8"/>
  <c r="G296" i="7"/>
  <c r="N7" i="7" s="1"/>
  <c r="D107" i="7"/>
  <c r="G107" i="7" s="1"/>
  <c r="D108" i="7"/>
  <c r="G108" i="7" s="1"/>
  <c r="D130" i="7"/>
  <c r="G130" i="7" s="1"/>
  <c r="D131" i="7"/>
  <c r="G131" i="7" s="1"/>
  <c r="S5" i="9" l="1"/>
  <c r="Q8" i="9"/>
  <c r="B10" i="12" s="1"/>
  <c r="D10" i="12" s="1"/>
  <c r="S8" i="9"/>
  <c r="R8" i="8"/>
  <c r="B9" i="12" s="1"/>
  <c r="I42" i="8"/>
  <c r="T5" i="8"/>
  <c r="R6" i="8"/>
  <c r="T6" i="8" s="1"/>
  <c r="I128" i="8"/>
  <c r="S8" i="8"/>
  <c r="C9" i="12" s="1"/>
  <c r="T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9" i="12" l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I237" i="3" l="1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<sst xmlns="http://schemas.openxmlformats.org/spreadsheetml/2006/main" count="2525" uniqueCount="559">
  <si>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</si>
  <si>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</si>
  <si>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</si>
  <si>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</si>
  <si>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</si>
  <si>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</si>
  <si>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</si>
  <si>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</si>
  <si>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</si>
  <si>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</si>
  <si>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</si>
  <si>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</si>
  <si>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</si>
  <si>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</si>
  <si>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</si>
  <si>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</si>
  <si>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</si>
  <si>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</si>
  <si>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</si>
  <si>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</si>
  <si>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</si>
  <si>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</si>
  <si>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</si>
  <si>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</si>
  <si>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</si>
  <si>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</si>
  <si>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</si>
  <si>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</si>
  <si>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</si>
  <si>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</si>
  <si>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</si>
  <si>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</si>
  <si>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</si>
  <si>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</si>
  <si>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</si>
  <si>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</si>
  <si>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</si>
  <si>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</si>
  <si>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</si>
  <si>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</si>
  <si>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</si>
  <si>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</si>
  <si>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</si>
  <si>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</si>
  <si>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</si>
  <si>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</si>
  <si>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</si>
  <si>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</si>
  <si>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</si>
  <si>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</si>
  <si>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</si>
  <si>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</si>
  <si>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</si>
  <si>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</si>
  <si>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</si>
  <si>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</si>
  <si>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</si>
  <si>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</si>
  <si>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</si>
  <si>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</si>
  <si>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</si>
  <si>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</si>
  <si>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</si>
  <si>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</si>
  <si>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</si>
  <si>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</si>
  <si>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</si>
  <si>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</si>
  <si>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</si>
  <si>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</si>
  <si>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</si>
  <si>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</si>
  <si>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</si>
  <si>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</si>
  <si>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</si>
  <si>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</si>
  <si>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</si>
  <si>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</si>
  <si>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</si>
  <si>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</si>
  <si>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</si>
  <si>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</si>
  <si>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</si>
  <si>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</si>
  <si>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</si>
  <si>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</si>
  <si>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</si>
  <si>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</si>
  <si>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</si>
  <si>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</si>
  <si>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</si>
  <si>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</si>
  <si>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</si>
  <si>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</si>
  <si>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</si>
  <si>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</si>
  <si>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</si>
  <si>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</si>
  <si>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</si>
  <si>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</si>
  <si>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</si>
  <si>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</si>
  <si>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</si>
  <si>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</si>
  <si>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</si>
  <si>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</si>
  <si>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</si>
  <si>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</si>
  <si>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</si>
  <si>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</si>
  <si>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</si>
  <si>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</si>
  <si>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</si>
  <si>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</si>
  <si>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</si>
  <si>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</si>
  <si>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</si>
  <si>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</si>
  <si>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</si>
  <si>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</si>
  <si>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</si>
  <si>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</si>
  <si>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</si>
  <si>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</si>
  <si>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</si>
  <si>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</si>
  <si>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</si>
  <si>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</si>
  <si>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</si>
  <si>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</si>
  <si>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</si>
  <si>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</si>
  <si>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</si>
  <si>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</si>
  <si>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</si>
  <si>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</si>
  <si>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</si>
  <si>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</si>
  <si>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</si>
  <si>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</si>
  <si>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</si>
  <si>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</si>
  <si>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</si>
  <si>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</si>
  <si>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</si>
  <si>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</si>
  <si>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</si>
  <si>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</si>
  <si>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</si>
  <si>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</si>
  <si>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</si>
  <si>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</si>
  <si>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</si>
  <si>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</si>
  <si>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</si>
  <si>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</si>
  <si>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</si>
  <si>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</si>
  <si>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</si>
  <si>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</si>
  <si>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</si>
  <si>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</si>
  <si>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</si>
  <si>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</si>
  <si>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</si>
  <si>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</si>
  <si>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</si>
  <si>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</si>
  <si>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</si>
  <si>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</si>
  <si>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</si>
  <si>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</si>
  <si>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</si>
  <si>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</si>
  <si>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</si>
  <si>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</si>
  <si>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</si>
  <si>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</si>
  <si>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</si>
  <si>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</si>
  <si>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</si>
  <si>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</si>
  <si>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</si>
  <si>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</si>
  <si>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</si>
  <si>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</si>
  <si>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</si>
  <si>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</si>
  <si>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</si>
  <si>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</si>
  <si>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</si>
  <si>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</si>
  <si>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</si>
  <si>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</si>
  <si>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</si>
  <si>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</si>
  <si>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</si>
  <si>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</si>
  <si>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</si>
  <si>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</si>
  <si>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</si>
  <si>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</si>
  <si>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</si>
  <si>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</si>
  <si>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</si>
  <si>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</si>
  <si>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</si>
  <si>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</si>
  <si>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</si>
  <si>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</si>
  <si>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</si>
  <si>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</si>
  <si>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</si>
  <si>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</si>
  <si>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</si>
  <si>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</si>
  <si>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</si>
  <si>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</si>
  <si>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</si>
  <si>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</si>
  <si>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</si>
  <si>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</si>
  <si>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</si>
  <si>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</si>
  <si>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</si>
  <si>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</si>
  <si>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</si>
  <si>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</si>
  <si>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</si>
  <si>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</si>
  <si>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</si>
  <si>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</si>
  <si>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</si>
  <si>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</si>
  <si>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</si>
  <si>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</si>
  <si>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</si>
  <si>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</si>
  <si>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</si>
  <si>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</si>
  <si>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</si>
  <si>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</si>
  <si>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</si>
  <si>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</si>
  <si>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</si>
  <si>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</si>
  <si>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</si>
  <si>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</si>
  <si>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</si>
  <si>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</si>
  <si>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</si>
  <si>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</si>
  <si>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</si>
  <si>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</si>
  <si>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</si>
  <si>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</si>
  <si>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</si>
  <si>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</si>
  <si>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</si>
  <si>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</si>
  <si>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</si>
  <si>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</si>
  <si>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</si>
  <si>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</si>
  <si>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</si>
  <si>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</si>
  <si>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</si>
  <si>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</si>
  <si>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</si>
  <si>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</si>
  <si>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</si>
  <si>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</si>
  <si>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</si>
  <si>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</si>
  <si>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</si>
  <si>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</si>
  <si>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</si>
  <si>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</si>
  <si>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</si>
  <si>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</si>
  <si>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</si>
  <si>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</si>
  <si>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</si>
  <si>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</si>
  <si>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</si>
  <si>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</si>
  <si>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</si>
  <si>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</si>
  <si>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</si>
  <si>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</si>
  <si>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</si>
  <si>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</si>
  <si>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</si>
  <si>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</si>
  <si>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</si>
  <si>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</si>
  <si>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</si>
  <si>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</si>
  <si>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</si>
  <si>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</si>
  <si>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</si>
  <si>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</si>
  <si>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</si>
  <si>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</si>
  <si>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</si>
  <si>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</si>
  <si>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</si>
  <si>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</si>
  <si>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</si>
  <si>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</si>
  <si>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</si>
  <si>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</si>
  <si>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</si>
  <si>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</si>
  <si>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</si>
  <si>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</si>
  <si>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</si>
  <si>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</si>
  <si>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</si>
  <si>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</si>
  <si>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</si>
  <si>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</si>
  <si>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</si>
  <si>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</si>
  <si>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</si>
  <si>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</si>
  <si>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</si>
  <si>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</si>
  <si>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</si>
  <si>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</si>
  <si>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</si>
  <si>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</si>
  <si>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</si>
  <si>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</si>
  <si>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</si>
  <si>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</si>
  <si>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</si>
  <si>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</si>
  <si>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</si>
  <si>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</si>
  <si>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</si>
  <si>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</si>
  <si>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</si>
  <si>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</si>
  <si>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</si>
  <si>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</si>
  <si>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</si>
  <si>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</si>
  <si>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</si>
  <si>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</si>
  <si>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</si>
  <si>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</si>
  <si>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</si>
  <si>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</si>
  <si>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</si>
  <si>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</si>
  <si>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</si>
  <si>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</si>
  <si>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</si>
  <si>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</si>
  <si>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</si>
  <si>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</si>
  <si>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</si>
  <si>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</si>
  <si>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</si>
  <si>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</si>
  <si>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</si>
  <si>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</si>
  <si>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</si>
  <si>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</si>
  <si>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</si>
  <si>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</si>
  <si>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</si>
  <si>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</si>
  <si>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</si>
  <si>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</si>
  <si>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</si>
  <si>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</si>
  <si>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</si>
  <si>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</si>
  <si>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</si>
  <si>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</si>
  <si>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</si>
  <si>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</si>
  <si>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</si>
  <si>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</si>
  <si>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</si>
  <si>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</si>
  <si>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</si>
  <si>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</si>
  <si>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</si>
  <si>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</si>
  <si>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</si>
  <si>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</si>
  <si>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</si>
  <si>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</si>
  <si>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</si>
  <si>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</si>
  <si>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</si>
  <si>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</si>
  <si>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</si>
  <si>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</si>
  <si>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</si>
  <si>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</si>
  <si>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</si>
  <si>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</si>
  <si>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</si>
  <si>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</si>
  <si>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</si>
  <si>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</si>
  <si>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</si>
  <si>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</si>
  <si>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</si>
  <si>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</si>
  <si>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</si>
  <si>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</si>
  <si>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</si>
  <si>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</si>
  <si>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</si>
  <si>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</si>
  <si>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</si>
  <si>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</si>
  <si>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</si>
  <si>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</si>
  <si>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</si>
  <si>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</si>
  <si>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</si>
  <si>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</si>
  <si>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</si>
  <si>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</si>
  <si>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</si>
  <si>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</si>
  <si>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</si>
  <si>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</si>
  <si>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</si>
  <si>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</si>
  <si>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</si>
  <si>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</si>
  <si>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</si>
  <si>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</si>
  <si>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</si>
  <si>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</si>
  <si>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</si>
  <si>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</si>
  <si>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</si>
  <si>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</si>
  <si>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</si>
  <si>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</si>
  <si>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</si>
  <si>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</si>
  <si>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</si>
  <si>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</si>
  <si>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</si>
  <si>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</si>
  <si>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</si>
  <si>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</si>
  <si>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</si>
  <si>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</si>
  <si>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</si>
  <si>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</si>
  <si>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</si>
  <si>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</si>
  <si>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</si>
  <si>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</si>
  <si>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</si>
  <si>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</si>
  <si>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</si>
  <si>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</si>
  <si>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</si>
  <si>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</si>
  <si>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</si>
  <si>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</si>
  <si>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</si>
  <si>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</si>
  <si>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</si>
  <si>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</si>
  <si>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</si>
  <si>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</si>
  <si>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</si>
  <si>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</si>
  <si>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</si>
  <si>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</si>
  <si>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</si>
  <si>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</si>
  <si>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</si>
  <si>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</si>
  <si>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</si>
  <si>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</si>
  <si>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</si>
  <si>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</si>
  <si>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</si>
  <si>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</si>
  <si>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</si>
  <si>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</si>
  <si>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</si>
  <si>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</si>
  <si>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</si>
  <si>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</si>
  <si>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</si>
  <si>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</si>
  <si>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</si>
  <si>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</si>
  <si>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</si>
  <si>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</si>
  <si>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</si>
  <si>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</si>
  <si>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</si>
  <si>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</si>
  <si>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</si>
  <si>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</si>
  <si>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</si>
  <si>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</si>
  <si>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</si>
  <si>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</si>
  <si>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</si>
  <si>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</si>
  <si>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</si>
  <si>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</si>
  <si>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</si>
  <si>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</si>
  <si>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</si>
  <si>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</si>
  <si>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</si>
  <si>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</si>
  <si>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</si>
  <si>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</si>
  <si>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</si>
  <si>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</si>
  <si>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</si>
  <si>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</si>
  <si>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</si>
  <si>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</si>
  <si>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</si>
  <si>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</si>
  <si>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</si>
  <si>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</si>
  <si>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</si>
  <si>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</si>
  <si>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</si>
  <si>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</si>
  <si>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</si>
  <si>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</si>
  <si>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</si>
  <si>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</si>
  <si>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</si>
  <si>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</si>
  <si>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</si>
  <si>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</si>
  <si>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</si>
  <si>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</si>
  <si>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</si>
  <si>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</si>
  <si>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</si>
  <si>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</si>
  <si>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</si>
  <si>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</si>
  <si>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Column1</t>
  </si>
  <si>
    <t>Qs/p</t>
  </si>
  <si>
    <t>Ql/p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</si>
</sst>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0" fillId="0" borderId="5" xfId="0" applyFill="1" applyBorder="1"/>
    <xf numFmtId="0" fontId="2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94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93" headerRowBorderDxfId="392" tableBorderDxfId="391" totalsRowBorderDxfId="390">
  <tableColumns count="11">
    <tableColumn id="1" xr3:uid="{00000000-0010-0000-0000-000001000000}" name="Space" dataDxfId="389"/>
    <tableColumn id="2" xr3:uid="{00000000-0010-0000-0000-000002000000}" name="Orientation" dataDxfId="388"/>
    <tableColumn id="3" xr3:uid="{00000000-0010-0000-0000-000003000000}" name="U" dataDxfId="387"/>
    <tableColumn id="4" xr3:uid="{00000000-0010-0000-0000-000004000000}" name="A(m^2)" dataDxfId="386"/>
    <tableColumn id="5" xr3:uid="{00000000-0010-0000-0000-000005000000}" name="CLTDsel" dataDxfId="385"/>
    <tableColumn id="6" xr3:uid="{00000000-0010-0000-0000-000006000000}" name="LM" dataDxfId="384"/>
    <tableColumn id="7" xr3:uid="{00000000-0010-0000-0000-000007000000}" name="k" dataDxfId="383"/>
    <tableColumn id="8" xr3:uid="{00000000-0010-0000-0000-000008000000}" name="Ti" dataDxfId="382"/>
    <tableColumn id="9" xr3:uid="{00000000-0010-0000-0000-000009000000}" name="Tave" dataDxfId="381">
      <calculatedColumnFormula>(References!T$4)-(References!T$3/2)</calculatedColumnFormula>
    </tableColumn>
    <tableColumn id="10" xr3:uid="{00000000-0010-0000-0000-00000A000000}" name="CLTD adj" dataDxfId="380">
      <calculatedColumnFormula>(E4+F4)*G4+(25-H4)+(I4-29)</calculatedColumnFormula>
    </tableColumn>
    <tableColumn id="11" xr3:uid="{00000000-0010-0000-0000-00000B000000}" name="Q(W)" dataDxfId="37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63" dataDxfId="261" headerRowBorderDxfId="262" tableBorderDxfId="260" totalsRowBorderDxfId="259">
  <tableColumns count="8">
    <tableColumn id="1" xr3:uid="{00000000-0010-0000-0900-000001000000}" name="SPACE" dataDxfId="258"/>
    <tableColumn id="2" xr3:uid="{00000000-0010-0000-0900-000002000000}" name="Equipment" dataDxfId="257"/>
    <tableColumn id="3" xr3:uid="{00000000-0010-0000-0900-000003000000}" name="WATTAGE" dataDxfId="256"/>
    <tableColumn id="4" xr3:uid="{00000000-0010-0000-0900-000004000000}" name="Cs" dataDxfId="255"/>
    <tableColumn id="5" xr3:uid="{00000000-0010-0000-0900-000005000000}" name="Cl" dataDxfId="254"/>
    <tableColumn id="6" xr3:uid="{00000000-0010-0000-0900-000006000000}" name="CLF" dataDxfId="253"/>
    <tableColumn id="7" xr3:uid="{00000000-0010-0000-0900-000007000000}" name="Qs (W)" dataDxfId="252">
      <calculatedColumnFormula>D4*C4*F4</calculatedColumnFormula>
    </tableColumn>
    <tableColumn id="8" xr3:uid="{00000000-0010-0000-0900-000008000000}" name="Ql (W)" dataDxfId="251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50" headerRowBorderDxfId="249" tableBorderDxfId="248" totalsRowBorderDxfId="247">
  <tableColumns count="8">
    <tableColumn id="1" xr3:uid="{00000000-0010-0000-0A00-000001000000}" name="SPACE" dataDxfId="246"/>
    <tableColumn id="2" xr3:uid="{00000000-0010-0000-0A00-000002000000}" name="Equipment" dataDxfId="245"/>
    <tableColumn id="3" xr3:uid="{00000000-0010-0000-0A00-000003000000}" name="Wattage" dataDxfId="244"/>
    <tableColumn id="4" xr3:uid="{00000000-0010-0000-0A00-000004000000}" name="CS" dataDxfId="243"/>
    <tableColumn id="5" xr3:uid="{00000000-0010-0000-0A00-000005000000}" name="Cl" dataDxfId="242"/>
    <tableColumn id="6" xr3:uid="{00000000-0010-0000-0A00-000006000000}" name="CLF" dataDxfId="241"/>
    <tableColumn id="7" xr3:uid="{00000000-0010-0000-0A00-000007000000}" name="Qs (W)" dataDxfId="240">
      <calculatedColumnFormula>D50*C50*F50</calculatedColumnFormula>
    </tableColumn>
    <tableColumn id="8" xr3:uid="{00000000-0010-0000-0A00-000008000000}" name="Ql (W)" dataDxfId="239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38" headerRowBorderDxfId="237" tableBorderDxfId="236" totalsRowBorderDxfId="235">
  <tableColumns count="8">
    <tableColumn id="1" xr3:uid="{00000000-0010-0000-0B00-000001000000}" name="SPACE" dataDxfId="234"/>
    <tableColumn id="2" xr3:uid="{00000000-0010-0000-0B00-000002000000}" name="Equipment" dataDxfId="233"/>
    <tableColumn id="3" xr3:uid="{00000000-0010-0000-0B00-000003000000}" name="Wattage" dataDxfId="232"/>
    <tableColumn id="4" xr3:uid="{00000000-0010-0000-0B00-000004000000}" name="Cs" dataDxfId="231"/>
    <tableColumn id="5" xr3:uid="{00000000-0010-0000-0B00-000005000000}" name="Cl" dataDxfId="230"/>
    <tableColumn id="6" xr3:uid="{00000000-0010-0000-0B00-000006000000}" name="CLF" dataDxfId="229"/>
    <tableColumn id="7" xr3:uid="{00000000-0010-0000-0B00-000007000000}" name="Qs (W)" dataDxfId="228">
      <calculatedColumnFormula>C95*D95*F95</calculatedColumnFormula>
    </tableColumn>
    <tableColumn id="8" xr3:uid="{00000000-0010-0000-0B00-000008000000}" name="Qw (W)" dataDxfId="227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26" headerRowBorderDxfId="225" tableBorderDxfId="224" totalsRowBorderDxfId="223">
  <tableColumns count="8">
    <tableColumn id="1" xr3:uid="{00000000-0010-0000-0C00-000001000000}" name="SPACE" dataDxfId="222"/>
    <tableColumn id="2" xr3:uid="{00000000-0010-0000-0C00-000002000000}" name="U" dataDxfId="221"/>
    <tableColumn id="3" xr3:uid="{00000000-0010-0000-0C00-000003000000}" name="Area (m2)" dataDxfId="220"/>
    <tableColumn id="4" xr3:uid="{00000000-0010-0000-0C00-000004000000}" name="CLTDmax" dataDxfId="219"/>
    <tableColumn id="5" xr3:uid="{00000000-0010-0000-0C00-000005000000}" name="Ti" dataDxfId="218"/>
    <tableColumn id="6" xr3:uid="{00000000-0010-0000-0C00-000006000000}" name="Tave" dataDxfId="217"/>
    <tableColumn id="7" xr3:uid="{00000000-0010-0000-0C00-000007000000}" name="CLTDadj" dataDxfId="216">
      <calculatedColumnFormula>((D5*0.75)+(25-E5)+(F5-29))*0.75</calculatedColumnFormula>
    </tableColumn>
    <tableColumn id="8" xr3:uid="{00000000-0010-0000-0C00-000008000000}" name="Q(W)" dataDxfId="215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14" headerRowBorderDxfId="213" tableBorderDxfId="212" totalsRowBorderDxfId="211">
  <tableColumns count="7">
    <tableColumn id="1" xr3:uid="{00000000-0010-0000-0E00-000001000000}" name="Space" dataDxfId="210"/>
    <tableColumn id="2" xr3:uid="{00000000-0010-0000-0E00-000002000000}" name="Spaces" dataDxfId="209"/>
    <tableColumn id="3" xr3:uid="{00000000-0010-0000-0E00-000003000000}" name="U" dataDxfId="208"/>
    <tableColumn id="4" xr3:uid="{00000000-0010-0000-0E00-000004000000}" name="A" dataDxfId="207">
      <calculatedColumnFormula>References!AM4-References!AL4-References!AK4</calculatedColumnFormula>
    </tableColumn>
    <tableColumn id="5" xr3:uid="{00000000-0010-0000-0E00-000005000000}" name="Ti" dataDxfId="206"/>
    <tableColumn id="6" xr3:uid="{00000000-0010-0000-0E00-000006000000}" name="Ti2" dataDxfId="205"/>
    <tableColumn id="7" xr3:uid="{00000000-0010-0000-0E00-000007000000}" name="Q" dataDxfId="204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03" headerRowBorderDxfId="202" tableBorderDxfId="201" totalsRowBorderDxfId="200">
  <tableColumns count="7">
    <tableColumn id="1" xr3:uid="{00000000-0010-0000-0F00-000001000000}" name="Space" dataDxfId="199"/>
    <tableColumn id="2" xr3:uid="{00000000-0010-0000-0F00-000002000000}" name="Spaces" dataDxfId="198"/>
    <tableColumn id="3" xr3:uid="{00000000-0010-0000-0F00-000003000000}" name="U" dataDxfId="197"/>
    <tableColumn id="4" xr3:uid="{00000000-0010-0000-0F00-000004000000}" name="A" dataDxfId="196">
      <calculatedColumnFormula>References!AQ4-References!AP4-References!AO4</calculatedColumnFormula>
    </tableColumn>
    <tableColumn id="5" xr3:uid="{00000000-0010-0000-0F00-000005000000}" name="Ti" dataDxfId="195"/>
    <tableColumn id="6" xr3:uid="{00000000-0010-0000-0F00-000006000000}" name="Ti2" dataDxfId="194"/>
    <tableColumn id="7" xr3:uid="{00000000-0010-0000-0F00-000007000000}" name="Q" dataDxfId="193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92" headerRowBorderDxfId="191" tableBorderDxfId="190" totalsRowBorderDxfId="189">
  <tableColumns count="7">
    <tableColumn id="1" xr3:uid="{00000000-0010-0000-0D00-000001000000}" name="Space" dataDxfId="188"/>
    <tableColumn id="2" xr3:uid="{00000000-0010-0000-0D00-000002000000}" name="Spaces" dataDxfId="187"/>
    <tableColumn id="3" xr3:uid="{00000000-0010-0000-0D00-000003000000}" name="U" dataDxfId="186"/>
    <tableColumn id="4" xr3:uid="{00000000-0010-0000-0D00-000004000000}" name="A" dataDxfId="185">
      <calculatedColumnFormula>References!AI4-References!AH4-References!AG4</calculatedColumnFormula>
    </tableColumn>
    <tableColumn id="5" xr3:uid="{00000000-0010-0000-0D00-000005000000}" name="Ti" dataDxfId="184"/>
    <tableColumn id="6" xr3:uid="{00000000-0010-0000-0D00-000006000000}" name="Ti2" dataDxfId="183"/>
    <tableColumn id="7" xr3:uid="{00000000-0010-0000-0D00-000007000000}" name="Q" dataDxfId="182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J40" totalsRowShown="0" headerRowDxfId="181" dataDxfId="179" headerRowBorderDxfId="180" tableBorderDxfId="178" totalsRowBorderDxfId="177">
  <tableColumns count="10">
    <tableColumn id="1" xr3:uid="{00000000-0010-0000-1000-000001000000}" name="SPACE" dataDxfId="176" totalsRowDxfId="175"/>
    <tableColumn id="2" xr3:uid="{00000000-0010-0000-1000-000002000000}" name="Occ" dataDxfId="174" totalsRowDxfId="173"/>
    <tableColumn id="3" xr3:uid="{00000000-0010-0000-1000-000003000000}" name="L/s" dataDxfId="172" totalsRowDxfId="171">
      <calculatedColumnFormula>B4*References!AS4</calculatedColumnFormula>
    </tableColumn>
    <tableColumn id="4" xr3:uid="{00000000-0010-0000-1000-000004000000}" name="To" dataDxfId="170" totalsRowDxfId="169"/>
    <tableColumn id="5" xr3:uid="{00000000-0010-0000-1000-000005000000}" name="Ti" dataDxfId="168" totalsRowDxfId="167"/>
    <tableColumn id="6" xr3:uid="{00000000-0010-0000-1000-000006000000}" name="Wo" dataDxfId="166" totalsRowDxfId="165"/>
    <tableColumn id="7" xr3:uid="{00000000-0010-0000-1000-000007000000}" name="Wi" dataDxfId="164" totalsRowDxfId="163"/>
    <tableColumn id="8" xr3:uid="{00000000-0010-0000-1000-000008000000}" name="Qs (W)" dataDxfId="162" totalsRowDxfId="161">
      <calculatedColumnFormula>ABS(1.232*C4*(D4-E4))</calculatedColumnFormula>
    </tableColumn>
    <tableColumn id="9" xr3:uid="{00000000-0010-0000-1000-000009000000}" name="Qw (W)" dataDxfId="160">
      <calculatedColumnFormula>ABS(3000*C4*(F4-G4))</calculatedColumnFormula>
    </tableColumn>
    <tableColumn id="10" xr3:uid="{50A509FF-7BEA-4816-AC71-6803F2154597}" name="Column1" dataDxfId="2" totalsRowDxfId="3">
      <calculatedColumnFormula>Table17[[#This Row],[L/s]]/Table17[[#This Row],[Occ]]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J89" totalsRowShown="0" headerRowDxfId="159" dataDxfId="157" headerRowBorderDxfId="158" tableBorderDxfId="156" totalsRowBorderDxfId="155">
  <tableColumns count="10">
    <tableColumn id="1" xr3:uid="{00000000-0010-0000-1100-000001000000}" name="SPACE" dataDxfId="154"/>
    <tableColumn id="2" xr3:uid="{00000000-0010-0000-1100-000002000000}" name="Occ." dataDxfId="153"/>
    <tableColumn id="3" xr3:uid="{00000000-0010-0000-1100-000003000000}" name="L/s" dataDxfId="152">
      <calculatedColumnFormula>B46*References!AT4</calculatedColumnFormula>
    </tableColumn>
    <tableColumn id="4" xr3:uid="{00000000-0010-0000-1100-000004000000}" name="To" dataDxfId="151"/>
    <tableColumn id="5" xr3:uid="{00000000-0010-0000-1100-000005000000}" name="Ti" dataDxfId="150"/>
    <tableColumn id="6" xr3:uid="{00000000-0010-0000-1100-000006000000}" name="Wo" dataDxfId="149"/>
    <tableColumn id="7" xr3:uid="{00000000-0010-0000-1100-000007000000}" name="Wi" dataDxfId="148">
      <calculatedColumnFormula>_xlfn.IFS(E46=22.5,0.00848061,E46=22,0.00821976,E46=24,0.00929323)</calculatedColumnFormula>
    </tableColumn>
    <tableColumn id="8" xr3:uid="{00000000-0010-0000-1100-000008000000}" name="Qs(W)" dataDxfId="147">
      <calculatedColumnFormula>ABS(1.232*C46*(D46-E46))</calculatedColumnFormula>
    </tableColumn>
    <tableColumn id="9" xr3:uid="{00000000-0010-0000-1100-000009000000}" name="Ql(W)" dataDxfId="146">
      <calculatedColumnFormula>ABS(3000*C46*(F46-G46))</calculatedColumnFormula>
    </tableColumn>
    <tableColumn id="10" xr3:uid="{1C4326E1-2CFD-41B1-9A69-1696EA1A9ECF}" name="Column1" dataDxfId="1">
      <calculatedColumnFormula>Table18[[#This Row],[L/s]]/Table18[[#This Row],[Occ.]]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J126" totalsRowShown="0" headerRowDxfId="145" dataDxfId="143" headerRowBorderDxfId="144" tableBorderDxfId="142" totalsRowBorderDxfId="141">
  <tableColumns count="10">
    <tableColumn id="1" xr3:uid="{00000000-0010-0000-1200-000001000000}" name="Space" dataDxfId="140"/>
    <tableColumn id="2" xr3:uid="{00000000-0010-0000-1200-000002000000}" name="Occ." dataDxfId="139"/>
    <tableColumn id="3" xr3:uid="{00000000-0010-0000-1200-000003000000}" name="L/s" dataDxfId="138">
      <calculatedColumnFormula>B95*References!AU4</calculatedColumnFormula>
    </tableColumn>
    <tableColumn id="4" xr3:uid="{00000000-0010-0000-1200-000004000000}" name="To" dataDxfId="137"/>
    <tableColumn id="5" xr3:uid="{00000000-0010-0000-1200-000005000000}" name="Ti" dataDxfId="136"/>
    <tableColumn id="6" xr3:uid="{00000000-0010-0000-1200-000006000000}" name="Wo" dataDxfId="135"/>
    <tableColumn id="7" xr3:uid="{00000000-0010-0000-1200-000007000000}" name="Wi" dataDxfId="134">
      <calculatedColumnFormula>_xlfn.IFS(E95=22.5,0.00848031,E95=24,0.009293235,E95=22,0.00821976)</calculatedColumnFormula>
    </tableColumn>
    <tableColumn id="8" xr3:uid="{00000000-0010-0000-1200-000008000000}" name="Qs(W)" dataDxfId="133">
      <calculatedColumnFormula>ABS(1.232*C95*(D95-E95))</calculatedColumnFormula>
    </tableColumn>
    <tableColumn id="9" xr3:uid="{00000000-0010-0000-1200-000009000000}" name="Ql(W)" dataDxfId="132">
      <calculatedColumnFormula>ABS(3000*C95*(F95-G95))</calculatedColumnFormula>
    </tableColumn>
    <tableColumn id="10" xr3:uid="{2CF665D1-4AA0-4D3B-843D-424EC0815E5C}" name="Column1" dataDxfId="0">
      <calculatedColumnFormula>Table19[[#This Row],[L/s]]/Table19[[#This Row],[Occ.]]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78" headerRowBorderDxfId="377" tableBorderDxfId="376" totalsRowBorderDxfId="375">
  <tableColumns count="11">
    <tableColumn id="1" xr3:uid="{00000000-0010-0000-0100-000001000000}" name="Space" dataDxfId="374"/>
    <tableColumn id="2" xr3:uid="{00000000-0010-0000-0100-000002000000}" name="Orientation" dataDxfId="373"/>
    <tableColumn id="3" xr3:uid="{00000000-0010-0000-0100-000003000000}" name="U" dataDxfId="372"/>
    <tableColumn id="4" xr3:uid="{00000000-0010-0000-0100-000004000000}" name="A(m^2)" dataDxfId="371">
      <calculatedColumnFormula>(References!C41*4)-(References!B41*1)-(References!A41*2)</calculatedColumnFormula>
    </tableColumn>
    <tableColumn id="5" xr3:uid="{00000000-0010-0000-0100-000005000000}" name="CLTDsel" dataDxfId="370">
      <calculatedColumnFormula>_xlfn.IFS(B89="E",25,B89="N",13,B89="W",33,B89="S",22)</calculatedColumnFormula>
    </tableColumn>
    <tableColumn id="6" xr3:uid="{00000000-0010-0000-0100-000006000000}" name="LM" dataDxfId="369">
      <calculatedColumnFormula>_xlfn.IFS(B89="E",-0.55,B89="N",2.22,B89="W",-0.55,B89="S",-3.88)</calculatedColumnFormula>
    </tableColumn>
    <tableColumn id="7" xr3:uid="{00000000-0010-0000-0100-000007000000}" name="k" dataDxfId="368"/>
    <tableColumn id="8" xr3:uid="{00000000-0010-0000-0100-000008000000}" name="Ti" dataDxfId="367"/>
    <tableColumn id="9" xr3:uid="{00000000-0010-0000-0100-000009000000}" name="Tave" dataDxfId="366">
      <calculatedColumnFormula>(References!T$4)-(References!T$3/2)</calculatedColumnFormula>
    </tableColumn>
    <tableColumn id="10" xr3:uid="{00000000-0010-0000-0100-00000A000000}" name="CLTD adj" dataDxfId="365">
      <calculatedColumnFormula>(E89+F89)*G89+(25-H89)+(I89-29)</calculatedColumnFormula>
    </tableColumn>
    <tableColumn id="11" xr3:uid="{00000000-0010-0000-0100-00000B000000}" name="Q(W)" dataDxfId="36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J126" totalsRowShown="0" headerRowDxfId="131" dataDxfId="129" headerRowBorderDxfId="130" tableBorderDxfId="128" totalsRowBorderDxfId="127">
  <tableColumns count="10">
    <tableColumn id="1" xr3:uid="{00000000-0010-0000-1300-000001000000}" name="SPACE" dataDxfId="126"/>
    <tableColumn id="2" xr3:uid="{00000000-0010-0000-1300-000002000000}" name="Occ" dataDxfId="125"/>
    <tableColumn id="3" xr3:uid="{00000000-0010-0000-1300-000003000000}" name="Gain/person" dataDxfId="124"/>
    <tableColumn id="4" xr3:uid="{00000000-0010-0000-1300-000004000000}" name="Sensible" dataDxfId="123"/>
    <tableColumn id="5" xr3:uid="{00000000-0010-0000-1300-000005000000}" name="Latent" dataDxfId="122"/>
    <tableColumn id="6" xr3:uid="{00000000-0010-0000-1300-000006000000}" name="CLF" dataDxfId="121"/>
    <tableColumn id="7" xr3:uid="{00000000-0010-0000-1300-000007000000}" name="Qs (W)" dataDxfId="120">
      <calculatedColumnFormula>B95*C95*D95*F95</calculatedColumnFormula>
    </tableColumn>
    <tableColumn id="8" xr3:uid="{00000000-0010-0000-1300-000008000000}" name="Ql (W)" dataDxfId="119">
      <calculatedColumnFormula>B95*C95*E95*F95</calculatedColumnFormula>
    </tableColumn>
    <tableColumn id="9" xr3:uid="{C7270352-DCB9-45F2-96C6-7CD764B68BF1}" name="Qs/p" dataDxfId="48">
      <calculatedColumnFormula>Table20[[#This Row],[Qs (W)]]/Table20[[#This Row],[Occ]]</calculatedColumnFormula>
    </tableColumn>
    <tableColumn id="10" xr3:uid="{A6408986-3097-491D-A3C3-E925273CB26C}" name="Ql/p" dataDxfId="47">
      <calculatedColumnFormula>Table20[[#This Row],[Ql (W)]]/Table20[[#This Row],[Occ]]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J89" totalsRowShown="0" headerRowDxfId="118" dataDxfId="116" headerRowBorderDxfId="117" tableBorderDxfId="115" totalsRowBorderDxfId="114">
  <tableColumns count="10">
    <tableColumn id="1" xr3:uid="{00000000-0010-0000-1400-000001000000}" name="SPACE" dataDxfId="113"/>
    <tableColumn id="2" xr3:uid="{00000000-0010-0000-1400-000002000000}" name="Occ" dataDxfId="112"/>
    <tableColumn id="3" xr3:uid="{00000000-0010-0000-1400-000003000000}" name="Gain/person" dataDxfId="111"/>
    <tableColumn id="4" xr3:uid="{00000000-0010-0000-1400-000004000000}" name="Sensible" dataDxfId="110"/>
    <tableColumn id="5" xr3:uid="{00000000-0010-0000-1400-000005000000}" name="Latent" dataDxfId="109"/>
    <tableColumn id="6" xr3:uid="{00000000-0010-0000-1400-000006000000}" name="CLF" dataDxfId="108"/>
    <tableColumn id="7" xr3:uid="{00000000-0010-0000-1400-000007000000}" name="Qs (W)" dataDxfId="107">
      <calculatedColumnFormula>B46*C46*D46*F46</calculatedColumnFormula>
    </tableColumn>
    <tableColumn id="8" xr3:uid="{00000000-0010-0000-1400-000008000000}" name="Ql (W)" dataDxfId="106">
      <calculatedColumnFormula>B46*C46*E46</calculatedColumnFormula>
    </tableColumn>
    <tableColumn id="9" xr3:uid="{9C156E53-3836-4E11-AE25-61319BB9C97D}" name="Qs/p" dataDxfId="16">
      <calculatedColumnFormula>Table21[[#This Row],[Qs (W)]]/Table21[[#This Row],[Occ]]</calculatedColumnFormula>
    </tableColumn>
    <tableColumn id="10" xr3:uid="{BECB2526-6C56-4872-A9D8-7F5203A93240}" name="Ql/p" dataDxfId="15">
      <calculatedColumnFormula>Table21[[#This Row],[Ql (W)]]/Table21[[#This Row],[Occ]]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J40" totalsRowShown="0" headerRowDxfId="46" dataDxfId="45" headerRowBorderDxfId="43" tableBorderDxfId="44" totalsRowBorderDxfId="42">
  <tableColumns count="10">
    <tableColumn id="1" xr3:uid="{00000000-0010-0000-1500-000001000000}" name="SPACE" dataDxfId="41"/>
    <tableColumn id="2" xr3:uid="{00000000-0010-0000-1500-000002000000}" name="Occ" dataDxfId="40"/>
    <tableColumn id="3" xr3:uid="{00000000-0010-0000-1500-000003000000}" name="Gain/person" dataDxfId="39"/>
    <tableColumn id="4" xr3:uid="{00000000-0010-0000-1500-000004000000}" name="Sensible" dataDxfId="38"/>
    <tableColumn id="5" xr3:uid="{00000000-0010-0000-1500-000005000000}" name="Latent" dataDxfId="37"/>
    <tableColumn id="6" xr3:uid="{00000000-0010-0000-1500-000006000000}" name="CLF" dataDxfId="36"/>
    <tableColumn id="7" xr3:uid="{00000000-0010-0000-1500-000007000000}" name="Qs (W)" dataDxfId="35">
      <calculatedColumnFormula>B4*C4*D4*F4</calculatedColumnFormula>
    </tableColumn>
    <tableColumn id="8" xr3:uid="{00000000-0010-0000-1500-000008000000}" name="Ql (W)" dataDxfId="34">
      <calculatedColumnFormula>C4*E4*F4</calculatedColumnFormula>
    </tableColumn>
    <tableColumn id="9" xr3:uid="{81A2A970-A71D-4369-BF27-74645C3525D3}" name="Qs/p" dataDxfId="33">
      <calculatedColumnFormula>Table22[[#This Row],[Qs (W)]]/Table22[[#This Row],[Occ]]</calculatedColumnFormula>
    </tableColumn>
    <tableColumn id="10" xr3:uid="{00B2EC34-FEC5-40F4-8C34-2A32011D0D59}" name="Ql/p" dataDxfId="32">
      <calculatedColumnFormula>Table22[[#This Row],[Ql (W)]]/Table22[[#This Row],[Occ]]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105" dataDxfId="103" headerRowBorderDxfId="104" tableBorderDxfId="102" totalsRowBorderDxfId="101">
  <tableColumns count="7">
    <tableColumn id="1" xr3:uid="{3D15F0BA-E56A-48AD-8475-8EDB97578663}" name="Space 1" dataDxfId="100"/>
    <tableColumn id="2" xr3:uid="{E6499B88-C35B-459A-B806-100CCDCDCA2B}" name="Space 2" dataDxfId="99"/>
    <tableColumn id="3" xr3:uid="{D2D2D7C6-259A-4E15-80D5-76BCB5F2755C}" name="U" dataDxfId="98"/>
    <tableColumn id="4" xr3:uid="{0764F60A-9AFF-45C7-9B37-2675DAC3354B}" name="Area" dataDxfId="97">
      <calculatedColumnFormula>References!AW4*2</calculatedColumnFormula>
    </tableColumn>
    <tableColumn id="5" xr3:uid="{089F04A6-59E5-4D01-9963-34848ABB08D8}" name="Ti" dataDxfId="96"/>
    <tableColumn id="6" xr3:uid="{6D9BF11B-E4DD-49A6-BD0B-97AA2C4E05C7}" name="To" dataDxfId="95"/>
    <tableColumn id="7" xr3:uid="{5A992B19-DB89-40D9-A7B7-A2A63D74CAB2}" name="Qs (W)" dataDxfId="94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93" dataDxfId="91" headerRowBorderDxfId="92" tableBorderDxfId="90" totalsRowBorderDxfId="89">
  <tableColumns count="7">
    <tableColumn id="1" xr3:uid="{69C0A91B-A3FC-4753-82E6-7AD406608DA3}" name="Space 1" dataDxfId="88"/>
    <tableColumn id="2" xr3:uid="{AEE5E517-E89F-4369-AB32-02BDCE5550D6}" name="Space 2" dataDxfId="87"/>
    <tableColumn id="3" xr3:uid="{534EF880-A31A-4F02-8D63-58BC01851CB2}" name="U" dataDxfId="86"/>
    <tableColumn id="4" xr3:uid="{ADBF381F-28C0-4B1C-A4BB-4EC3FA91953E}" name="Area" dataDxfId="85">
      <calculatedColumnFormula>2*References!AX4</calculatedColumnFormula>
    </tableColumn>
    <tableColumn id="5" xr3:uid="{08AF1E93-1E3D-45EA-A5CD-31D81BB6DB0E}" name="Ti" dataDxfId="84"/>
    <tableColumn id="6" xr3:uid="{83FA9F78-25A4-454A-8AD3-5A7975FA8352}" name="To" dataDxfId="83"/>
    <tableColumn id="7" xr3:uid="{F7BB9612-AFD7-41F9-9A2B-39116DFCDF64}" name="Qs (W)" dataDxfId="82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81" dataDxfId="79" headerRowBorderDxfId="80" tableBorderDxfId="78">
  <tableColumns count="7">
    <tableColumn id="1" xr3:uid="{AEFCFF34-ED8A-4D1B-928C-1A4AC9803B91}" name="Space 1" dataDxfId="77"/>
    <tableColumn id="2" xr3:uid="{55781A89-E632-4F5A-B9AE-B40CDA4E25A8}" name="Space 2" dataDxfId="76"/>
    <tableColumn id="3" xr3:uid="{16E0CBE7-3940-41CE-8530-A2D6900F4684}" name="U" dataDxfId="75"/>
    <tableColumn id="4" xr3:uid="{9A5A6631-C755-4076-9BF0-63662EC62164}" name="Area" dataDxfId="74">
      <calculatedColumnFormula>2*References!AY4</calculatedColumnFormula>
    </tableColumn>
    <tableColumn id="5" xr3:uid="{31F594E5-5372-4099-AA2F-E0C7F12066AA}" name="Ti" dataDxfId="73"/>
    <tableColumn id="6" xr3:uid="{28C0F865-E043-41E8-A8E9-9B5DE187E7CF}" name="To" dataDxfId="72"/>
    <tableColumn id="7" xr3:uid="{A12774DA-FA6C-45F2-A816-9E6CC1F9185F}" name="Qs (W)" dataDxfId="71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14" dataDxfId="13" headerRowBorderDxfId="11" tableBorderDxfId="12" totalsRowBorderDxfId="10">
  <tableColumns count="6">
    <tableColumn id="1" xr3:uid="{00000000-0010-0000-1600-000001000000}" name="SPACE" dataDxfId="9"/>
    <tableColumn id="2" xr3:uid="{00000000-0010-0000-1600-000002000000}" name="W" dataDxfId="8">
      <calculatedColumnFormula>13*References!BA4</calculatedColumnFormula>
    </tableColumn>
    <tableColumn id="3" xr3:uid="{00000000-0010-0000-1600-000003000000}" name="Fu" dataDxfId="7"/>
    <tableColumn id="4" xr3:uid="{00000000-0010-0000-1600-000004000000}" name="Fb" dataDxfId="6"/>
    <tableColumn id="5" xr3:uid="{00000000-0010-0000-1600-000005000000}" name="CLF" dataDxfId="5"/>
    <tableColumn id="6" xr3:uid="{00000000-0010-0000-1600-000006000000}" name="Qs (W)" dataDxfId="4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70" dataDxfId="68" headerRowBorderDxfId="69" tableBorderDxfId="67" totalsRowBorderDxfId="66">
  <tableColumns count="6">
    <tableColumn id="1" xr3:uid="{00000000-0010-0000-1700-000001000000}" name="SPACE" dataDxfId="65"/>
    <tableColumn id="2" xr3:uid="{00000000-0010-0000-1700-000002000000}" name="W" dataDxfId="64">
      <calculatedColumnFormula>13*References!BB4</calculatedColumnFormula>
    </tableColumn>
    <tableColumn id="3" xr3:uid="{00000000-0010-0000-1700-000003000000}" name="Fu" dataDxfId="63"/>
    <tableColumn id="4" xr3:uid="{00000000-0010-0000-1700-000004000000}" name="Fb" dataDxfId="62"/>
    <tableColumn id="5" xr3:uid="{00000000-0010-0000-1700-000005000000}" name="CLF" dataDxfId="61"/>
    <tableColumn id="6" xr3:uid="{00000000-0010-0000-1700-000006000000}" name="Qs (W)" dataDxfId="6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59" dataDxfId="57" headerRowBorderDxfId="58" tableBorderDxfId="56" totalsRowBorderDxfId="55">
  <tableColumns count="6">
    <tableColumn id="1" xr3:uid="{00000000-0010-0000-1800-000001000000}" name="SPACE" dataDxfId="54"/>
    <tableColumn id="2" xr3:uid="{00000000-0010-0000-1800-000002000000}" name="W" dataDxfId="53"/>
    <tableColumn id="3" xr3:uid="{00000000-0010-0000-1800-000003000000}" name="Fu" dataDxfId="52"/>
    <tableColumn id="4" xr3:uid="{00000000-0010-0000-1800-000004000000}" name="Fb" dataDxfId="51"/>
    <tableColumn id="5" xr3:uid="{00000000-0010-0000-1800-000005000000}" name="CLF" dataDxfId="50"/>
    <tableColumn id="6" xr3:uid="{00000000-0010-0000-1800-000006000000}" name="Qs (W)" dataDxfId="4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63" headerRowBorderDxfId="362" tableBorderDxfId="361" totalsRowBorderDxfId="360">
  <tableColumns count="11">
    <tableColumn id="1" xr3:uid="{00000000-0010-0000-0200-000001000000}" name="Space" dataDxfId="359"/>
    <tableColumn id="2" xr3:uid="{00000000-0010-0000-0200-000002000000}" name="Orientation" dataDxfId="358"/>
    <tableColumn id="3" xr3:uid="{00000000-0010-0000-0200-000003000000}" name="U" dataDxfId="357"/>
    <tableColumn id="4" xr3:uid="{00000000-0010-0000-0200-000004000000}" name="A(m^2)" dataDxfId="356"/>
    <tableColumn id="5" xr3:uid="{00000000-0010-0000-0200-000005000000}" name="CLTDsel" dataDxfId="355"/>
    <tableColumn id="6" xr3:uid="{00000000-0010-0000-0200-000006000000}" name="LM" dataDxfId="354"/>
    <tableColumn id="7" xr3:uid="{00000000-0010-0000-0200-000007000000}" name="k" dataDxfId="353"/>
    <tableColumn id="8" xr3:uid="{00000000-0010-0000-0200-000008000000}" name="Ti" dataDxfId="352"/>
    <tableColumn id="9" xr3:uid="{00000000-0010-0000-0200-000009000000}" name="Tave" dataDxfId="351"/>
    <tableColumn id="10" xr3:uid="{00000000-0010-0000-0200-00000A000000}" name="CLTD adj" dataDxfId="350">
      <calculatedColumnFormula>(E42+F42)*G42+(25-H42)+(I42-29)</calculatedColumnFormula>
    </tableColumn>
    <tableColumn id="11" xr3:uid="{00000000-0010-0000-0200-00000B000000}" name="Q(W)" dataDxfId="34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48" headerRowBorderDxfId="347" tableBorderDxfId="346" totalsRowBorderDxfId="345">
  <tableColumns count="11">
    <tableColumn id="1" xr3:uid="{00000000-0010-0000-0300-000001000000}" name="Space" dataDxfId="344"/>
    <tableColumn id="2" xr3:uid="{00000000-0010-0000-0300-000002000000}" name="Orientation" dataDxfId="343"/>
    <tableColumn id="3" xr3:uid="{00000000-0010-0000-0300-000003000000}" name="U" dataDxfId="342"/>
    <tableColumn id="4" xr3:uid="{00000000-0010-0000-0300-000004000000}" name="To" dataDxfId="341"/>
    <tableColumn id="5" xr3:uid="{00000000-0010-0000-0300-000005000000}" name="Ti" dataDxfId="340"/>
    <tableColumn id="6" xr3:uid="{00000000-0010-0000-0300-000006000000}" name="A(m^2)" dataDxfId="339">
      <calculatedColumnFormula>References!E5*References!F5</calculatedColumnFormula>
    </tableColumn>
    <tableColumn id="7" xr3:uid="{00000000-0010-0000-0300-000007000000}" name="SHGF" dataDxfId="338">
      <calculatedColumnFormula>_xlfn.IFS(B4="E",685,B4="N",120,B4="W",685,B4="S",230)</calculatedColumnFormula>
    </tableColumn>
    <tableColumn id="8" xr3:uid="{00000000-0010-0000-0300-000008000000}" name="SCL" dataDxfId="337">
      <calculatedColumnFormula>_xlfn.IFS(B4="E",0.8,B4="N",0.91,B4="W",0.82,B4="S",0.83)</calculatedColumnFormula>
    </tableColumn>
    <tableColumn id="9" xr3:uid="{00000000-0010-0000-0300-000009000000}" name="SC" dataDxfId="336"/>
    <tableColumn id="10" xr3:uid="{00000000-0010-0000-0300-00000A000000}" name="Qsg (W)" dataDxfId="335">
      <calculatedColumnFormula>G4*H4*F4*I4</calculatedColumnFormula>
    </tableColumn>
    <tableColumn id="11" xr3:uid="{00000000-0010-0000-0300-00000B000000}" name="Qth (W)" dataDxfId="334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33" dataDxfId="331" headerRowBorderDxfId="332" tableBorderDxfId="330" totalsRowBorderDxfId="329">
  <tableColumns count="11">
    <tableColumn id="1" xr3:uid="{00000000-0010-0000-0400-000001000000}" name="Space" dataDxfId="328"/>
    <tableColumn id="2" xr3:uid="{00000000-0010-0000-0400-000002000000}" name="Orientation" dataDxfId="327"/>
    <tableColumn id="3" xr3:uid="{00000000-0010-0000-0400-000003000000}" name="U" dataDxfId="326"/>
    <tableColumn id="4" xr3:uid="{00000000-0010-0000-0400-000004000000}" name="To" dataDxfId="325"/>
    <tableColumn id="5" xr3:uid="{00000000-0010-0000-0400-000005000000}" name="Ti" dataDxfId="324"/>
    <tableColumn id="6" xr3:uid="{00000000-0010-0000-0400-000006000000}" name="A(m^2)" dataDxfId="323">
      <calculatedColumnFormula>References!E41*References!F41</calculatedColumnFormula>
    </tableColumn>
    <tableColumn id="7" xr3:uid="{00000000-0010-0000-0400-000007000000}" name="SHGF" dataDxfId="322">
      <calculatedColumnFormula>_xlfn.IFS(B74="E",685,B74="N",120,B74="W",685,B74="S",230)</calculatedColumnFormula>
    </tableColumn>
    <tableColumn id="8" xr3:uid="{00000000-0010-0000-0400-000008000000}" name="SCL" dataDxfId="321">
      <calculatedColumnFormula>_xlfn.IFS(B74="E",0.8,B74="N",0.91,B74="W",0.82,B74="S",0.83)</calculatedColumnFormula>
    </tableColumn>
    <tableColumn id="9" xr3:uid="{00000000-0010-0000-0400-000009000000}" name="SC" dataDxfId="320"/>
    <tableColumn id="10" xr3:uid="{00000000-0010-0000-0400-00000A000000}" name="Qsg (W)" dataDxfId="319">
      <calculatedColumnFormula>G74*H74*F74*I74</calculatedColumnFormula>
    </tableColumn>
    <tableColumn id="11" xr3:uid="{00000000-0010-0000-0400-00000B000000}" name="Qth (W)" dataDxfId="318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17" headerRowBorderDxfId="316" tableBorderDxfId="315" totalsRowBorderDxfId="314">
  <tableColumns count="11">
    <tableColumn id="1" xr3:uid="{00000000-0010-0000-0500-000001000000}" name="Space" dataDxfId="313"/>
    <tableColumn id="2" xr3:uid="{00000000-0010-0000-0500-000002000000}" name="Orientation" dataDxfId="312"/>
    <tableColumn id="3" xr3:uid="{00000000-0010-0000-0500-000003000000}" name="U" dataDxfId="311"/>
    <tableColumn id="4" xr3:uid="{00000000-0010-0000-0500-000004000000}" name="To" dataDxfId="310"/>
    <tableColumn id="5" xr3:uid="{00000000-0010-0000-0500-000005000000}" name="Ti" dataDxfId="309"/>
    <tableColumn id="6" xr3:uid="{00000000-0010-0000-0500-000006000000}" name="A(m^2)" dataDxfId="308"/>
    <tableColumn id="7" xr3:uid="{00000000-0010-0000-0500-000007000000}" name="SHGF" dataDxfId="307">
      <calculatedColumnFormula>_xlfn.IFS(B40="N",120,B40="E",685,B40="S",230,B40="W",685)</calculatedColumnFormula>
    </tableColumn>
    <tableColumn id="8" xr3:uid="{00000000-0010-0000-0500-000008000000}" name="SCL" dataDxfId="306">
      <calculatedColumnFormula>_xlfn.IFS(B40="N",0.91,B40="E",0.8,B40="S",0.83,B40="W",0.82)</calculatedColumnFormula>
    </tableColumn>
    <tableColumn id="9" xr3:uid="{00000000-0010-0000-0500-000009000000}" name="SC" dataDxfId="305"/>
    <tableColumn id="10" xr3:uid="{00000000-0010-0000-0500-00000A000000}" name="Qsg (W)" dataDxfId="304">
      <calculatedColumnFormula>I40*H40*G40*F40</calculatedColumnFormula>
    </tableColumn>
    <tableColumn id="11" xr3:uid="{00000000-0010-0000-0500-00000B000000}" name="Qth (W)" dataDxfId="303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302" headerRowBorderDxfId="301" tableBorderDxfId="300" totalsRowBorderDxfId="299">
  <tableColumns count="9">
    <tableColumn id="1" xr3:uid="{00000000-0010-0000-0600-000001000000}" name="SPACE" dataDxfId="298"/>
    <tableColumn id="2" xr3:uid="{00000000-0010-0000-0600-000002000000}" name="Volume" dataDxfId="297">
      <calculatedColumnFormula>References!AB4*4</calculatedColumnFormula>
    </tableColumn>
    <tableColumn id="3" xr3:uid="{00000000-0010-0000-0600-000003000000}" name="L/s" dataDxfId="296">
      <calculatedColumnFormula>((0.15+0.01*3+0.007*(D78-E78))*B78)/3.6</calculatedColumnFormula>
    </tableColumn>
    <tableColumn id="4" xr3:uid="{00000000-0010-0000-0600-000004000000}" name="To" dataDxfId="295"/>
    <tableColumn id="5" xr3:uid="{00000000-0010-0000-0600-000005000000}" name="Ti" dataDxfId="294"/>
    <tableColumn id="6" xr3:uid="{00000000-0010-0000-0600-000006000000}" name="Wo" dataDxfId="293"/>
    <tableColumn id="7" xr3:uid="{00000000-0010-0000-0600-000007000000}" name="Wi" dataDxfId="292">
      <calculatedColumnFormula>_xlfn.IFS(E78=22.5,0.00848061,E78=22,0.00821976,E78=24,0.00929323,E78=28,0.0118162235)</calculatedColumnFormula>
    </tableColumn>
    <tableColumn id="8" xr3:uid="{00000000-0010-0000-0600-000008000000}" name="Qs (W)" dataDxfId="291">
      <calculatedColumnFormula>ABS(1.23*C78*(D78-E78))</calculatedColumnFormula>
    </tableColumn>
    <tableColumn id="9" xr3:uid="{00000000-0010-0000-0600-000009000000}" name="Ql (W)" dataDxfId="290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89" headerRowBorderDxfId="288" tableBorderDxfId="287" totalsRowBorderDxfId="286">
  <tableColumns count="9">
    <tableColumn id="1" xr3:uid="{00000000-0010-0000-0700-000001000000}" name="Space" dataDxfId="285"/>
    <tableColumn id="2" xr3:uid="{00000000-0010-0000-0700-000002000000}" name="Volume" dataDxfId="284">
      <calculatedColumnFormula>References!AE4*4</calculatedColumnFormula>
    </tableColumn>
    <tableColumn id="3" xr3:uid="{00000000-0010-0000-0700-000003000000}" name="L/s" dataDxfId="283">
      <calculatedColumnFormula>(References!AD4*B163)/3.6</calculatedColumnFormula>
    </tableColumn>
    <tableColumn id="4" xr3:uid="{00000000-0010-0000-0700-000004000000}" name="To" dataDxfId="282"/>
    <tableColumn id="5" xr3:uid="{00000000-0010-0000-0700-000005000000}" name="Ti" dataDxfId="281"/>
    <tableColumn id="6" xr3:uid="{00000000-0010-0000-0700-000006000000}" name="Wo" dataDxfId="280"/>
    <tableColumn id="7" xr3:uid="{00000000-0010-0000-0700-000007000000}" name="Wi" dataDxfId="279">
      <calculatedColumnFormula>_xlfn.IFS(E163=22.5,0.00848031,E163=24,0.009293235,E163=22,0.00821976,E163=28,0.0118162235)</calculatedColumnFormula>
    </tableColumn>
    <tableColumn id="8" xr3:uid="{00000000-0010-0000-0700-000008000000}" name="Qs" dataDxfId="278">
      <calculatedColumnFormula>ABS(1.232*(D163-E163)*C163)</calculatedColumnFormula>
    </tableColumn>
    <tableColumn id="9" xr3:uid="{00000000-0010-0000-0700-000009000000}" name="Ql" dataDxfId="277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76" headerRowBorderDxfId="275" tableBorderDxfId="274" totalsRowBorderDxfId="273">
  <tableColumns count="9">
    <tableColumn id="1" xr3:uid="{00000000-0010-0000-0800-000001000000}" name="SPACE" dataDxfId="272"/>
    <tableColumn id="2" xr3:uid="{00000000-0010-0000-0800-000002000000}" name="Volume" dataDxfId="271">
      <calculatedColumnFormula>References!Z4*4</calculatedColumnFormula>
    </tableColumn>
    <tableColumn id="3" xr3:uid="{00000000-0010-0000-0800-000003000000}" name="L/s" dataDxfId="270">
      <calculatedColumnFormula>(References!Y4*B4)/3.6</calculatedColumnFormula>
    </tableColumn>
    <tableColumn id="4" xr3:uid="{00000000-0010-0000-0800-000004000000}" name="To" dataDxfId="269"/>
    <tableColumn id="5" xr3:uid="{00000000-0010-0000-0800-000005000000}" name="Ti" dataDxfId="268"/>
    <tableColumn id="6" xr3:uid="{00000000-0010-0000-0800-000006000000}" name="Wo" dataDxfId="267"/>
    <tableColumn id="7" xr3:uid="{00000000-0010-0000-0800-000007000000}" name="Wi" dataDxfId="266"/>
    <tableColumn id="8" xr3:uid="{00000000-0010-0000-0800-000008000000}" name="Qs (W)" dataDxfId="265">
      <calculatedColumnFormula>ABS((1.232*(D4-E4)*C4))</calculatedColumnFormula>
    </tableColumn>
    <tableColumn id="9" xr3:uid="{00000000-0010-0000-0800-000009000000}" name="Ql (W)" dataDxfId="264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abSelected="1" topLeftCell="A112" zoomScale="85" zoomScaleNormal="85" workbookViewId="0">
      <selection activeCell="A78" sqref="A78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169" t="s">
        <v>537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9" ht="24" thickBot="1" x14ac:dyDescent="0.5">
      <c r="A2" s="167" t="s">
        <v>160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70" t="s">
        <v>539</v>
      </c>
      <c r="O3" s="170"/>
      <c r="P3" s="170"/>
      <c r="Q3" s="170"/>
      <c r="R3" s="170"/>
      <c r="S3" s="170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171"/>
      <c r="O4" s="171"/>
      <c r="P4" s="171"/>
      <c r="Q4" s="171" t="s">
        <v>430</v>
      </c>
      <c r="R4" s="171"/>
      <c r="S4" s="171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172" t="s">
        <v>160</v>
      </c>
      <c r="O5" s="172"/>
      <c r="P5" s="172"/>
      <c r="Q5" s="172">
        <f>K38</f>
        <v>39227.857343999996</v>
      </c>
      <c r="R5" s="172"/>
      <c r="S5" s="172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172" t="s">
        <v>41</v>
      </c>
      <c r="O6" s="172"/>
      <c r="P6" s="172"/>
      <c r="Q6" s="172">
        <f>K85</f>
        <v>31364.094930011994</v>
      </c>
      <c r="R6" s="172"/>
      <c r="S6" s="172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172" t="s">
        <v>59</v>
      </c>
      <c r="O7" s="172"/>
      <c r="P7" s="172"/>
      <c r="Q7" s="172">
        <f>K131</f>
        <v>48205.328184000005</v>
      </c>
      <c r="R7" s="172"/>
      <c r="S7" s="172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173" t="s">
        <v>540</v>
      </c>
      <c r="O8" s="173"/>
      <c r="P8" s="173"/>
      <c r="Q8" s="166">
        <f>Q5+Q6+Q7</f>
        <v>118797.28045801198</v>
      </c>
      <c r="R8" s="166"/>
      <c r="S8" s="166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173"/>
      <c r="O9" s="173"/>
      <c r="P9" s="173"/>
      <c r="Q9" s="166"/>
      <c r="R9" s="166"/>
      <c r="S9" s="166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167" t="s">
        <v>41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210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210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" thickBot="1" x14ac:dyDescent="0.35">
      <c r="J85" s="41" t="s">
        <v>42</v>
      </c>
      <c r="K85" s="41">
        <f>SUM(Table6[Q(W)])</f>
        <v>31364.094930011994</v>
      </c>
    </row>
    <row r="86" spans="1:13" x14ac:dyDescent="0.3">
      <c r="J86" s="1"/>
      <c r="K86" s="1"/>
    </row>
    <row r="87" spans="1:13" ht="23.4" x14ac:dyDescent="0.45">
      <c r="A87" s="168" t="s">
        <v>59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</row>
    <row r="88" spans="1:13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3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3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3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3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3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3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3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3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3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3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3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3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3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3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3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3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3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3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7"/>
  <sheetViews>
    <sheetView workbookViewId="0">
      <selection activeCell="J165" sqref="H157:J165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169" t="s">
        <v>535</v>
      </c>
      <c r="B1" s="169"/>
      <c r="C1" s="169"/>
      <c r="D1" s="169"/>
      <c r="E1" s="169"/>
      <c r="F1" s="169"/>
      <c r="G1" s="111"/>
      <c r="H1" s="111"/>
    </row>
    <row r="2" spans="1:15" ht="24" thickBot="1" x14ac:dyDescent="0.5">
      <c r="A2" s="167" t="s">
        <v>160</v>
      </c>
      <c r="B2" s="167"/>
      <c r="C2" s="167"/>
      <c r="D2" s="167"/>
      <c r="E2" s="167"/>
      <c r="F2" s="167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70" t="s">
        <v>539</v>
      </c>
      <c r="K3" s="170"/>
      <c r="L3" s="170"/>
      <c r="M3" s="170"/>
      <c r="N3" s="170"/>
      <c r="O3" s="170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71"/>
      <c r="K4" s="171"/>
      <c r="L4" s="171"/>
      <c r="M4" s="171" t="s">
        <v>430</v>
      </c>
      <c r="N4" s="171"/>
      <c r="O4" s="171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72" t="s">
        <v>160</v>
      </c>
      <c r="K5" s="172"/>
      <c r="L5" s="172"/>
      <c r="M5" s="172">
        <f>F63</f>
        <v>19883.609740799991</v>
      </c>
      <c r="N5" s="172"/>
      <c r="O5" s="172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72" t="s">
        <v>41</v>
      </c>
      <c r="K6" s="172"/>
      <c r="L6" s="172"/>
      <c r="M6" s="172">
        <f>F117</f>
        <v>16958.066184539995</v>
      </c>
      <c r="N6" s="172"/>
      <c r="O6" s="172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72" t="s">
        <v>59</v>
      </c>
      <c r="K7" s="172"/>
      <c r="L7" s="172"/>
      <c r="M7" s="172">
        <f>F167</f>
        <v>22702.400073599994</v>
      </c>
      <c r="N7" s="172"/>
      <c r="O7" s="172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173" t="s">
        <v>540</v>
      </c>
      <c r="K8" s="173"/>
      <c r="L8" s="173"/>
      <c r="M8" s="186">
        <f>M5+M6+M7</f>
        <v>59544.075998939981</v>
      </c>
      <c r="N8" s="187"/>
      <c r="O8" s="188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73"/>
      <c r="K9" s="173"/>
      <c r="L9" s="173"/>
      <c r="M9" s="189"/>
      <c r="N9" s="190"/>
      <c r="O9" s="191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8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8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8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8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8" ht="15" thickBot="1" x14ac:dyDescent="0.35">
      <c r="A21" s="199" t="s">
        <v>254</v>
      </c>
      <c r="B21" s="200">
        <f>13*References!BA21</f>
        <v>1702.5865999999999</v>
      </c>
      <c r="C21" s="200">
        <v>0.75</v>
      </c>
      <c r="D21" s="200">
        <v>1.2</v>
      </c>
      <c r="E21" s="200">
        <v>0.94</v>
      </c>
      <c r="F21" s="201">
        <f t="shared" si="0"/>
        <v>1440.3882635999998</v>
      </c>
      <c r="H21" s="86">
        <f>Table23[[#This Row],[Qs (W)]]+F12</f>
        <v>1904.4213785999998</v>
      </c>
    </row>
    <row r="22" spans="1:8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8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8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8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8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8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8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8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8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8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8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8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8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8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8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8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8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8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8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8" ht="15" thickBot="1" x14ac:dyDescent="0.35">
      <c r="A41" s="203" t="s">
        <v>507</v>
      </c>
      <c r="B41" s="200">
        <f>13*References!BA41</f>
        <v>8530.3269999999993</v>
      </c>
      <c r="C41" s="200">
        <v>1</v>
      </c>
      <c r="D41" s="200">
        <v>1.2</v>
      </c>
      <c r="E41" s="200">
        <v>0.94</v>
      </c>
      <c r="F41" s="201">
        <f t="shared" si="0"/>
        <v>9622.2088559999975</v>
      </c>
    </row>
    <row r="42" spans="1:8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8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8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  <c r="H44" s="86">
        <f>Table23[[#This Row],[Qs (W)]]+F43</f>
        <v>122.8197984</v>
      </c>
    </row>
    <row r="45" spans="1:8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8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8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8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  <c r="H48" s="86">
        <f>Table23[[#This Row],[Qs (W)]]+F47</f>
        <v>188.41626959999996</v>
      </c>
    </row>
    <row r="49" spans="1:8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8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8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8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8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8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  <c r="H54" s="86">
        <f>Table23[[#This Row],[Qs (W)]]+F59+F60</f>
        <v>1089.3874602000001</v>
      </c>
    </row>
    <row r="55" spans="1:8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8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8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8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8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8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8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8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8" ht="15" thickBot="1" x14ac:dyDescent="0.35">
      <c r="E63" s="128" t="s">
        <v>333</v>
      </c>
      <c r="F63" s="128">
        <f>SUM(Table23[Qs (W)])</f>
        <v>19883.609740799991</v>
      </c>
    </row>
    <row r="65" spans="1:8" ht="24" thickBot="1" x14ac:dyDescent="0.5">
      <c r="A65" s="167" t="s">
        <v>41</v>
      </c>
      <c r="B65" s="167"/>
      <c r="C65" s="167"/>
      <c r="D65" s="167"/>
      <c r="E65" s="167"/>
      <c r="F65" s="167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99" t="s">
        <v>175</v>
      </c>
      <c r="B76" s="200">
        <f>13*References!BB13</f>
        <v>296.77699999999999</v>
      </c>
      <c r="C76" s="200">
        <v>0.75</v>
      </c>
      <c r="D76" s="200">
        <v>1.2</v>
      </c>
      <c r="E76" s="200">
        <v>0.94</v>
      </c>
      <c r="F76" s="201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8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8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8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8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8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8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8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8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8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8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8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8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8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8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  <c r="H94" s="86">
        <f>Table24[[#This Row],[Qs (W)]]+F102</f>
        <v>340.39763160000001</v>
      </c>
    </row>
    <row r="95" spans="1:8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8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204" t="s">
        <v>64</v>
      </c>
      <c r="B116" s="205">
        <f>13*References!BB53</f>
        <v>8903.9174899999998</v>
      </c>
      <c r="C116" s="205">
        <v>0.75</v>
      </c>
      <c r="D116" s="205">
        <v>1.2</v>
      </c>
      <c r="E116" s="205">
        <v>0.94</v>
      </c>
      <c r="F116" s="206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168" t="s">
        <v>59</v>
      </c>
      <c r="B119" s="168"/>
      <c r="C119" s="168"/>
      <c r="D119" s="168"/>
      <c r="E119" s="168"/>
      <c r="F119" s="168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99" t="s">
        <v>175</v>
      </c>
      <c r="B132" s="200">
        <f>13*References!BC15</f>
        <v>296.77699999999999</v>
      </c>
      <c r="C132" s="200">
        <v>0.75</v>
      </c>
      <c r="D132" s="200">
        <v>1.2</v>
      </c>
      <c r="E132" s="200">
        <v>0.94</v>
      </c>
      <c r="F132" s="201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8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8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8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8" ht="15" thickBot="1" x14ac:dyDescent="0.35">
      <c r="A148" s="199" t="s">
        <v>308</v>
      </c>
      <c r="B148" s="200">
        <f>13*References!BC31</f>
        <v>305.27769999999998</v>
      </c>
      <c r="C148" s="200">
        <v>0.75</v>
      </c>
      <c r="D148" s="200">
        <v>1.2</v>
      </c>
      <c r="E148" s="200">
        <v>0.94</v>
      </c>
      <c r="F148" s="201">
        <f t="shared" si="2"/>
        <v>258.26493419999991</v>
      </c>
    </row>
    <row r="149" spans="1:8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8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8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8" ht="15" thickBot="1" x14ac:dyDescent="0.35">
      <c r="A152" s="199" t="s">
        <v>312</v>
      </c>
      <c r="B152" s="200">
        <f>13*References!BC35</f>
        <v>144.1336</v>
      </c>
      <c r="C152" s="200">
        <v>1</v>
      </c>
      <c r="D152" s="200">
        <v>1.2</v>
      </c>
      <c r="E152" s="200">
        <v>0.94</v>
      </c>
      <c r="F152" s="201">
        <f t="shared" si="2"/>
        <v>162.5827008</v>
      </c>
    </row>
    <row r="153" spans="1:8" ht="15" thickBot="1" x14ac:dyDescent="0.35">
      <c r="A153" s="199" t="s">
        <v>313</v>
      </c>
      <c r="B153" s="200">
        <f>13*References!BC36</f>
        <v>107.575</v>
      </c>
      <c r="C153" s="200">
        <v>1</v>
      </c>
      <c r="D153" s="200">
        <v>1.2</v>
      </c>
      <c r="E153" s="200">
        <v>0.94</v>
      </c>
      <c r="F153" s="201">
        <f t="shared" si="2"/>
        <v>121.3446</v>
      </c>
    </row>
    <row r="154" spans="1:8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8" ht="15" thickBot="1" x14ac:dyDescent="0.35">
      <c r="A155" s="199" t="s">
        <v>509</v>
      </c>
      <c r="B155" s="200">
        <f>13*References!BC38</f>
        <v>2391.2694000000001</v>
      </c>
      <c r="C155" s="200">
        <v>0.75</v>
      </c>
      <c r="D155" s="200">
        <v>1.2</v>
      </c>
      <c r="E155" s="200">
        <v>0.94</v>
      </c>
      <c r="F155" s="201">
        <f t="shared" si="2"/>
        <v>2023.0139124</v>
      </c>
    </row>
    <row r="156" spans="1:8" ht="15" thickBot="1" x14ac:dyDescent="0.35">
      <c r="A156" s="199" t="s">
        <v>316</v>
      </c>
      <c r="B156" s="200">
        <f>13*References!BC39</f>
        <v>765.18130000000008</v>
      </c>
      <c r="C156" s="200">
        <v>1</v>
      </c>
      <c r="D156" s="200">
        <v>1.2</v>
      </c>
      <c r="E156" s="200">
        <v>0.94</v>
      </c>
      <c r="F156" s="201">
        <f t="shared" si="2"/>
        <v>863.12450639999997</v>
      </c>
    </row>
    <row r="157" spans="1:8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8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8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8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  <c r="H160" s="86">
        <f>Table25[[#This Row],[Qs (W)]]+F161+F162</f>
        <v>342.03779999999995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204" t="s">
        <v>510</v>
      </c>
      <c r="B164" s="200">
        <f>13*References!BC47</f>
        <v>10504.1001</v>
      </c>
      <c r="C164" s="205">
        <v>1</v>
      </c>
      <c r="D164" s="205">
        <v>1.2</v>
      </c>
      <c r="E164" s="205">
        <v>0.94</v>
      </c>
      <c r="F164" s="206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195" t="s">
        <v>547</v>
      </c>
      <c r="B1" s="195"/>
      <c r="C1" s="195"/>
      <c r="D1" s="195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LOAD'!R8</f>
        <v>42537.572</v>
      </c>
      <c r="C9" s="82">
        <f>'VENTILATION LOAD'!S8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R1" zoomScale="70" zoomScaleNormal="70" workbookViewId="0">
      <selection activeCell="AS4" sqref="AS4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179" t="s">
        <v>297</v>
      </c>
      <c r="Z2" s="179"/>
      <c r="AB2" t="s">
        <v>298</v>
      </c>
      <c r="AD2" s="179" t="s">
        <v>318</v>
      </c>
      <c r="AE2" s="179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179" t="s">
        <v>96</v>
      </c>
      <c r="B3" s="179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179" t="s">
        <v>98</v>
      </c>
      <c r="B38" s="179"/>
      <c r="C38" s="179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179" t="s">
        <v>97</v>
      </c>
      <c r="B39" s="179"/>
      <c r="C39" s="179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25" priority="9" operator="equal">
      <formula>$T$1</formula>
    </cfRule>
  </conditionalFormatting>
  <conditionalFormatting sqref="AB4:AB83">
    <cfRule type="cellIs" dxfId="24" priority="8" operator="equal">
      <formula>$K$1</formula>
    </cfRule>
  </conditionalFormatting>
  <conditionalFormatting sqref="AG4:AI89">
    <cfRule type="cellIs" dxfId="23" priority="7" operator="equal">
      <formula>$M$4</formula>
    </cfRule>
  </conditionalFormatting>
  <conditionalFormatting sqref="AK4:AM106">
    <cfRule type="cellIs" dxfId="22" priority="6" operator="equal">
      <formula>$H$197</formula>
    </cfRule>
  </conditionalFormatting>
  <conditionalFormatting sqref="AO3:AQ3">
    <cfRule type="cellIs" dxfId="21" priority="5" operator="equal">
      <formula>$H$197</formula>
    </cfRule>
  </conditionalFormatting>
  <conditionalFormatting sqref="AO4:AQ97">
    <cfRule type="cellIs" dxfId="20" priority="4" operator="equal">
      <formula>$H$258</formula>
    </cfRule>
  </conditionalFormatting>
  <conditionalFormatting sqref="AW4:AW62">
    <cfRule type="cellIs" dxfId="19" priority="3" operator="equal">
      <formula>$J$1</formula>
    </cfRule>
  </conditionalFormatting>
  <conditionalFormatting sqref="AX4:AX73">
    <cfRule type="cellIs" dxfId="18" priority="2" operator="equal">
      <formula>$I$65</formula>
    </cfRule>
  </conditionalFormatting>
  <conditionalFormatting sqref="AY4:AY63">
    <cfRule type="cellIs" dxfId="17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opLeftCell="A73" workbookViewId="0">
      <selection activeCell="A98" sqref="A98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169" t="s">
        <v>11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20" ht="24" thickBot="1" x14ac:dyDescent="0.5">
      <c r="A2" s="168" t="s">
        <v>160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70" t="s">
        <v>539</v>
      </c>
      <c r="P3" s="170"/>
      <c r="Q3" s="170"/>
      <c r="R3" s="170"/>
      <c r="S3" s="170"/>
      <c r="T3" s="170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71"/>
      <c r="P4" s="171"/>
      <c r="Q4" s="171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72" t="s">
        <v>160</v>
      </c>
      <c r="P5" s="172"/>
      <c r="Q5" s="172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72" t="s">
        <v>41</v>
      </c>
      <c r="P6" s="172"/>
      <c r="Q6" s="172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72" t="s">
        <v>59</v>
      </c>
      <c r="P7" s="172"/>
      <c r="Q7" s="172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73" t="s">
        <v>540</v>
      </c>
      <c r="P8" s="173"/>
      <c r="Q8" s="173"/>
      <c r="R8" s="174">
        <f>SUM(R5:R7)</f>
        <v>38633.611499999999</v>
      </c>
      <c r="S8" s="174">
        <f>SUM(S5:S7)</f>
        <v>5763.8469070000001</v>
      </c>
      <c r="T8" s="174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73"/>
      <c r="P9" s="173"/>
      <c r="Q9" s="173"/>
      <c r="R9" s="175"/>
      <c r="S9" s="175"/>
      <c r="T9" s="175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 t="s">
        <v>99</v>
      </c>
      <c r="N17" s="118"/>
      <c r="O17" s="118">
        <v>2.8721999999999999</v>
      </c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 t="s">
        <v>100</v>
      </c>
      <c r="N18" s="118"/>
      <c r="O18" s="118">
        <v>2.8210999999999999</v>
      </c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176" t="s">
        <v>122</v>
      </c>
      <c r="I35" s="176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176" t="s">
        <v>166</v>
      </c>
      <c r="I36" s="176"/>
      <c r="J36" s="177">
        <f>J35+K35</f>
        <v>16506.69152</v>
      </c>
      <c r="K36" s="178"/>
    </row>
    <row r="37" spans="1:11" x14ac:dyDescent="0.3">
      <c r="H37" s="3"/>
      <c r="I37" s="3"/>
      <c r="J37" s="3"/>
      <c r="K37" s="3"/>
    </row>
    <row r="38" spans="1:11" ht="23.4" x14ac:dyDescent="0.45">
      <c r="A38" s="168" t="s">
        <v>41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176" t="s">
        <v>122</v>
      </c>
      <c r="I69" s="176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176" t="s">
        <v>167</v>
      </c>
      <c r="I70" s="176"/>
      <c r="J70" s="177">
        <f>J69+K69</f>
        <v>15097.460593000003</v>
      </c>
      <c r="K70" s="178"/>
    </row>
    <row r="72" spans="1:11" ht="23.4" x14ac:dyDescent="0.45">
      <c r="A72" s="168" t="s">
        <v>59</v>
      </c>
      <c r="B72" s="168"/>
      <c r="C72" s="168"/>
      <c r="D72" s="168"/>
      <c r="E72" s="168"/>
      <c r="F72" s="168"/>
      <c r="G72" s="168"/>
      <c r="H72" s="168"/>
      <c r="I72" s="168"/>
      <c r="J72" s="168"/>
      <c r="K72" s="168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176" t="s">
        <v>122</v>
      </c>
      <c r="I100" s="176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176" t="s">
        <v>167</v>
      </c>
      <c r="I101" s="176"/>
      <c r="J101" s="177">
        <f>J100+K100</f>
        <v>12793.306293999995</v>
      </c>
      <c r="K101" s="178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31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8"/>
  <sheetViews>
    <sheetView topLeftCell="A207" zoomScale="85" zoomScaleNormal="85" workbookViewId="0">
      <selection activeCell="K227" sqref="K227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169" t="s">
        <v>18</v>
      </c>
      <c r="B1" s="169"/>
      <c r="C1" s="169"/>
      <c r="D1" s="169"/>
      <c r="E1" s="169"/>
      <c r="F1" s="169"/>
      <c r="G1" s="169"/>
      <c r="H1" s="169"/>
      <c r="I1" s="169"/>
      <c r="J1" s="126"/>
      <c r="K1" s="126"/>
    </row>
    <row r="2" spans="1:19" ht="24" thickBot="1" x14ac:dyDescent="0.5">
      <c r="A2" s="168" t="s">
        <v>160</v>
      </c>
      <c r="B2" s="168"/>
      <c r="C2" s="168"/>
      <c r="D2" s="168"/>
      <c r="E2" s="168"/>
      <c r="F2" s="168"/>
      <c r="G2" s="168"/>
      <c r="H2" s="168"/>
      <c r="I2" s="168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70" t="s">
        <v>539</v>
      </c>
      <c r="M3" s="170"/>
      <c r="N3" s="170"/>
      <c r="O3" s="170"/>
      <c r="P3" s="170"/>
      <c r="Q3" s="170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71"/>
      <c r="M4" s="171"/>
      <c r="N4" s="171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72" t="s">
        <v>160</v>
      </c>
      <c r="M5" s="172"/>
      <c r="N5" s="172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72" t="s">
        <v>41</v>
      </c>
      <c r="M6" s="172"/>
      <c r="N6" s="172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72" t="s">
        <v>59</v>
      </c>
      <c r="M7" s="172"/>
      <c r="N7" s="172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73" t="s">
        <v>540</v>
      </c>
      <c r="M8" s="173"/>
      <c r="N8" s="173"/>
      <c r="O8" s="174">
        <f>SUM(O5:O7)</f>
        <v>17243.796313248808</v>
      </c>
      <c r="P8" s="174">
        <f>SUM(P5:P7)</f>
        <v>36486.734712379381</v>
      </c>
      <c r="Q8" s="174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73"/>
      <c r="M9" s="173"/>
      <c r="N9" s="173"/>
      <c r="O9" s="175"/>
      <c r="P9" s="175"/>
      <c r="Q9" s="175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79"/>
      <c r="Q22" s="179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176" t="s">
        <v>333</v>
      </c>
      <c r="G73" s="176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176" t="s">
        <v>161</v>
      </c>
      <c r="G74" s="176"/>
      <c r="H74" s="177">
        <f>H73+I73</f>
        <v>19798.437354162186</v>
      </c>
      <c r="I74" s="178"/>
    </row>
    <row r="76" spans="1:9" ht="23.4" x14ac:dyDescent="0.45">
      <c r="A76" s="180" t="s">
        <v>41</v>
      </c>
      <c r="B76" s="180"/>
      <c r="C76" s="180"/>
      <c r="D76" s="180"/>
      <c r="E76" s="180"/>
      <c r="F76" s="180"/>
      <c r="G76" s="180"/>
      <c r="H76" s="180"/>
      <c r="I76" s="180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9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9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</row>
    <row r="83" spans="1:9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9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9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9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9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9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9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9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9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9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9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9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9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9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181" t="s">
        <v>122</v>
      </c>
      <c r="G158" s="181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176" t="s">
        <v>167</v>
      </c>
      <c r="G159" s="176"/>
      <c r="H159" s="177">
        <f>I158+H158</f>
        <v>17350.05826720711</v>
      </c>
      <c r="I159" s="178"/>
    </row>
    <row r="161" spans="1:11" ht="23.4" x14ac:dyDescent="0.45">
      <c r="A161" s="168" t="s">
        <v>59</v>
      </c>
      <c r="B161" s="168"/>
      <c r="C161" s="168"/>
      <c r="D161" s="168"/>
      <c r="E161" s="168"/>
      <c r="F161" s="168"/>
      <c r="G161" s="168"/>
      <c r="H161" s="168"/>
      <c r="I161" s="168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11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11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11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  <c r="K227">
        <f>B226/4</f>
        <v>43.5914</v>
      </c>
    </row>
    <row r="228" spans="1:11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11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11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11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11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11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11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11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11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11" ht="15" thickBot="1" x14ac:dyDescent="0.35">
      <c r="F237" s="176" t="s">
        <v>333</v>
      </c>
      <c r="G237" s="176"/>
      <c r="H237" s="41">
        <f>SUM(H163:H232)</f>
        <v>5262.10371996711</v>
      </c>
      <c r="I237" s="146">
        <f>SUM(I163:I236)</f>
        <v>11319.931684291781</v>
      </c>
    </row>
    <row r="238" spans="1:11" ht="15" thickBot="1" x14ac:dyDescent="0.35">
      <c r="F238" s="176" t="s">
        <v>161</v>
      </c>
      <c r="G238" s="176"/>
      <c r="H238" s="177">
        <f>I237+H237</f>
        <v>16582.035404258892</v>
      </c>
      <c r="I238" s="178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112" workbookViewId="0">
      <selection activeCell="A115" sqref="A115"/>
    </sheetView>
  </sheetViews>
  <sheetFormatPr defaultRowHeight="14.4" x14ac:dyDescent="0.3"/>
  <cols>
    <col min="1" max="1" width="26.109375" customWidth="1"/>
    <col min="2" max="2" width="25.33203125" hidden="1" customWidth="1"/>
    <col min="3" max="3" width="12.109375" hidden="1" customWidth="1"/>
    <col min="4" max="6" width="8.88671875" hidden="1" customWidth="1"/>
    <col min="7" max="7" width="9.33203125" customWidth="1"/>
    <col min="8" max="8" width="10" customWidth="1"/>
  </cols>
  <sheetData>
    <row r="1" spans="1:17" ht="23.4" x14ac:dyDescent="0.3">
      <c r="A1" s="169" t="s">
        <v>533</v>
      </c>
      <c r="B1" s="169"/>
      <c r="C1" s="169"/>
      <c r="D1" s="169"/>
      <c r="E1" s="169"/>
      <c r="F1" s="169"/>
      <c r="G1" s="169"/>
      <c r="H1" s="169"/>
      <c r="I1" s="127"/>
    </row>
    <row r="2" spans="1:17" s="118" customFormat="1" ht="24" thickBot="1" x14ac:dyDescent="0.5">
      <c r="A2" s="167" t="s">
        <v>160</v>
      </c>
      <c r="B2" s="167"/>
      <c r="C2" s="167"/>
      <c r="D2" s="167"/>
      <c r="E2" s="167"/>
      <c r="F2" s="167"/>
      <c r="G2" s="167"/>
      <c r="H2" s="167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82" t="s">
        <v>539</v>
      </c>
      <c r="M3" s="182"/>
      <c r="N3" s="182"/>
      <c r="O3" s="182"/>
      <c r="P3" s="182"/>
      <c r="Q3" s="182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83"/>
      <c r="M4" s="183"/>
      <c r="N4" s="183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184" t="s">
        <v>160</v>
      </c>
      <c r="M5" s="184"/>
      <c r="N5" s="184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184" t="s">
        <v>41</v>
      </c>
      <c r="M6" s="184"/>
      <c r="N6" s="184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184" t="s">
        <v>59</v>
      </c>
      <c r="M7" s="184"/>
      <c r="N7" s="184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73" t="s">
        <v>540</v>
      </c>
      <c r="M8" s="173"/>
      <c r="N8" s="173"/>
      <c r="O8" s="174">
        <f>SUM(O5:O7)</f>
        <v>11119.64832</v>
      </c>
      <c r="P8" s="174">
        <f>SUM(P5:P7)</f>
        <v>5615.9839999999995</v>
      </c>
      <c r="Q8" s="174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73"/>
      <c r="M9" s="173"/>
      <c r="N9" s="173"/>
      <c r="O9" s="175"/>
      <c r="P9" s="175"/>
      <c r="Q9" s="175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185" t="s">
        <v>333</v>
      </c>
      <c r="F45" s="185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185" t="s">
        <v>161</v>
      </c>
      <c r="F46" s="185"/>
      <c r="G46" s="185">
        <f>G45+H45</f>
        <v>8198.3852799999986</v>
      </c>
      <c r="H46" s="185"/>
    </row>
    <row r="47" spans="1:11" x14ac:dyDescent="0.3">
      <c r="E47" s="49"/>
      <c r="F47" s="49"/>
      <c r="G47" s="49"/>
      <c r="H47" s="49"/>
    </row>
    <row r="48" spans="1:11" ht="23.4" x14ac:dyDescent="0.45">
      <c r="A48" s="180" t="s">
        <v>41</v>
      </c>
      <c r="B48" s="180"/>
      <c r="C48" s="180"/>
      <c r="D48" s="180"/>
      <c r="E48" s="180"/>
      <c r="F48" s="180"/>
      <c r="G48" s="180"/>
      <c r="H48" s="180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207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207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208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185" t="s">
        <v>333</v>
      </c>
      <c r="F90" s="185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185" t="s">
        <v>161</v>
      </c>
      <c r="F91" s="185"/>
      <c r="G91" s="185">
        <f>G90+H90</f>
        <v>5244.8381440000012</v>
      </c>
      <c r="H91" s="185"/>
    </row>
    <row r="92" spans="1:9" x14ac:dyDescent="0.3">
      <c r="E92" s="49"/>
      <c r="F92" s="49"/>
      <c r="G92" s="49"/>
      <c r="H92" s="49"/>
    </row>
    <row r="93" spans="1:9" ht="23.4" x14ac:dyDescent="0.45">
      <c r="A93" s="168" t="s">
        <v>59</v>
      </c>
      <c r="B93" s="168"/>
      <c r="C93" s="168"/>
      <c r="D93" s="168"/>
      <c r="E93" s="168"/>
      <c r="F93" s="168"/>
      <c r="G93" s="168"/>
      <c r="H93" s="168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207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209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208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185" t="s">
        <v>333</v>
      </c>
      <c r="F128" s="185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185" t="s">
        <v>161</v>
      </c>
      <c r="F129" s="185"/>
      <c r="G129" s="185">
        <f>G128+H128</f>
        <v>3292.408895999999</v>
      </c>
      <c r="H129" s="185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7"/>
  <sheetViews>
    <sheetView topLeftCell="A37" workbookViewId="0">
      <selection activeCell="H49" sqref="H4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169" t="s">
        <v>532</v>
      </c>
      <c r="B1" s="169"/>
      <c r="C1" s="169"/>
      <c r="D1" s="169"/>
      <c r="E1" s="169"/>
      <c r="F1" s="169"/>
      <c r="G1" s="169"/>
      <c r="H1" s="169"/>
    </row>
    <row r="2" spans="1:17" ht="24" thickBot="1" x14ac:dyDescent="0.5">
      <c r="A2" s="168" t="s">
        <v>59</v>
      </c>
      <c r="B2" s="168"/>
      <c r="C2" s="168"/>
      <c r="D2" s="168"/>
      <c r="E2" s="168"/>
      <c r="F2" s="168"/>
      <c r="G2" s="168"/>
      <c r="H2" s="168"/>
    </row>
    <row r="3" spans="1:17" ht="15" thickBot="1" x14ac:dyDescent="0.35">
      <c r="A3" s="192" t="s">
        <v>425</v>
      </c>
      <c r="B3" s="192"/>
      <c r="C3" s="192"/>
      <c r="D3" s="192"/>
      <c r="E3" s="192"/>
      <c r="F3" s="192"/>
      <c r="G3" s="192"/>
      <c r="H3" s="192"/>
      <c r="L3" s="170" t="s">
        <v>539</v>
      </c>
      <c r="M3" s="170"/>
      <c r="N3" s="170"/>
      <c r="O3" s="170"/>
      <c r="P3" s="170"/>
      <c r="Q3" s="170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71"/>
      <c r="M4" s="171"/>
      <c r="N4" s="171"/>
      <c r="O4" s="171" t="s">
        <v>430</v>
      </c>
      <c r="P4" s="171"/>
      <c r="Q4" s="171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72" t="s">
        <v>160</v>
      </c>
      <c r="M5" s="172"/>
      <c r="N5" s="172"/>
      <c r="O5" s="172">
        <v>0</v>
      </c>
      <c r="P5" s="172"/>
      <c r="Q5" s="172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72" t="s">
        <v>41</v>
      </c>
      <c r="M6" s="172"/>
      <c r="N6" s="172"/>
      <c r="O6" s="172">
        <f>I87</f>
        <v>0</v>
      </c>
      <c r="P6" s="172"/>
      <c r="Q6" s="172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72" t="s">
        <v>59</v>
      </c>
      <c r="M7" s="172"/>
      <c r="N7" s="172"/>
      <c r="O7" s="172">
        <f>H49</f>
        <v>33330.762702411113</v>
      </c>
      <c r="P7" s="172"/>
      <c r="Q7" s="172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73" t="s">
        <v>540</v>
      </c>
      <c r="M8" s="173"/>
      <c r="N8" s="173"/>
      <c r="O8" s="186">
        <f>O5+O6+O7</f>
        <v>33330.762702411113</v>
      </c>
      <c r="P8" s="187"/>
      <c r="Q8" s="188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73"/>
      <c r="M9" s="173"/>
      <c r="N9" s="173"/>
      <c r="O9" s="189"/>
      <c r="P9" s="190"/>
      <c r="Q9" s="191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workbookViewId="0">
      <selection activeCell="D4" sqref="D4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169" t="s">
        <v>536</v>
      </c>
      <c r="B1" s="169"/>
      <c r="C1" s="169"/>
      <c r="D1" s="169"/>
      <c r="E1" s="169"/>
      <c r="F1" s="169"/>
      <c r="G1" s="169"/>
      <c r="H1" s="131"/>
      <c r="I1" s="111"/>
    </row>
    <row r="2" spans="1:16" s="118" customFormat="1" ht="24" thickBot="1" x14ac:dyDescent="0.5">
      <c r="A2" s="167" t="s">
        <v>160</v>
      </c>
      <c r="B2" s="167"/>
      <c r="C2" s="167"/>
      <c r="D2" s="167"/>
      <c r="E2" s="167"/>
      <c r="F2" s="167"/>
      <c r="G2" s="167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70" t="s">
        <v>539</v>
      </c>
      <c r="L3" s="170"/>
      <c r="M3" s="170"/>
      <c r="N3" s="170"/>
      <c r="O3" s="170"/>
      <c r="P3" s="170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71"/>
      <c r="L4" s="171"/>
      <c r="M4" s="171"/>
      <c r="N4" s="171" t="s">
        <v>430</v>
      </c>
      <c r="O4" s="171"/>
      <c r="P4" s="171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72" t="s">
        <v>160</v>
      </c>
      <c r="L5" s="172"/>
      <c r="M5" s="172"/>
      <c r="N5" s="172">
        <f>G90</f>
        <v>18554.539067999998</v>
      </c>
      <c r="O5" s="172"/>
      <c r="P5" s="172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72" t="s">
        <v>41</v>
      </c>
      <c r="L6" s="172"/>
      <c r="M6" s="172"/>
      <c r="N6" s="172">
        <f>G198</f>
        <v>19890.591177600007</v>
      </c>
      <c r="O6" s="172"/>
      <c r="P6" s="172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72" t="s">
        <v>59</v>
      </c>
      <c r="L7" s="172"/>
      <c r="M7" s="172"/>
      <c r="N7" s="172">
        <f>G296</f>
        <v>17107.397424000003</v>
      </c>
      <c r="O7" s="172"/>
      <c r="P7" s="172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73" t="s">
        <v>540</v>
      </c>
      <c r="L8" s="173"/>
      <c r="M8" s="173"/>
      <c r="N8" s="186">
        <f>N5+N6+N7</f>
        <v>55552.527669600007</v>
      </c>
      <c r="O8" s="187"/>
      <c r="P8" s="188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73"/>
      <c r="L9" s="173"/>
      <c r="M9" s="173"/>
      <c r="N9" s="189"/>
      <c r="O9" s="190"/>
      <c r="P9" s="191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/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167" t="s">
        <v>41</v>
      </c>
      <c r="B93" s="167"/>
      <c r="C93" s="167"/>
      <c r="D93" s="167"/>
      <c r="E93" s="167"/>
      <c r="F93" s="167"/>
      <c r="G93" s="167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168" t="s">
        <v>59</v>
      </c>
      <c r="B200" s="168"/>
      <c r="C200" s="168"/>
      <c r="D200" s="168"/>
      <c r="E200" s="168"/>
      <c r="F200" s="168"/>
      <c r="G200" s="168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30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8"/>
  <sheetViews>
    <sheetView zoomScaleNormal="100" workbookViewId="0">
      <selection activeCell="D7" sqref="D7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1" width="9.109375" style="77"/>
  </cols>
  <sheetData>
    <row r="1" spans="1:20" ht="24.75" customHeight="1" x14ac:dyDescent="0.3">
      <c r="A1" s="169" t="s">
        <v>504</v>
      </c>
      <c r="B1" s="169"/>
      <c r="C1" s="169"/>
      <c r="D1" s="169"/>
      <c r="E1" s="169"/>
      <c r="F1" s="169"/>
      <c r="G1" s="169"/>
      <c r="H1" s="169"/>
      <c r="I1" s="169"/>
      <c r="J1" s="104"/>
      <c r="K1" s="104"/>
    </row>
    <row r="2" spans="1:20" ht="24" thickBot="1" x14ac:dyDescent="0.5">
      <c r="A2" s="167" t="s">
        <v>160</v>
      </c>
      <c r="B2" s="167"/>
      <c r="C2" s="167"/>
      <c r="D2" s="167"/>
      <c r="E2" s="167"/>
      <c r="F2" s="167"/>
      <c r="G2" s="167"/>
      <c r="H2" s="167"/>
      <c r="I2" s="167"/>
      <c r="J2" s="103"/>
      <c r="K2" s="103"/>
    </row>
    <row r="3" spans="1:20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 s="202" t="s">
        <v>556</v>
      </c>
      <c r="O3" s="182" t="s">
        <v>539</v>
      </c>
      <c r="P3" s="182"/>
      <c r="Q3" s="182"/>
      <c r="R3" s="182"/>
      <c r="S3" s="182"/>
      <c r="T3" s="182"/>
    </row>
    <row r="4" spans="1:20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198">
        <f>Table17[[#This Row],[L/s]]/Table17[[#This Row],[Occ]]</f>
        <v>8</v>
      </c>
      <c r="O4" s="183"/>
      <c r="P4" s="183"/>
      <c r="Q4" s="183"/>
      <c r="R4" s="133" t="s">
        <v>541</v>
      </c>
      <c r="S4" s="133" t="s">
        <v>542</v>
      </c>
      <c r="T4" s="133" t="s">
        <v>430</v>
      </c>
    </row>
    <row r="5" spans="1:20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95">
        <f>Table17[[#This Row],[L/s]]/Table17[[#This Row],[Occ]]</f>
        <v>15</v>
      </c>
      <c r="O5" s="184" t="s">
        <v>160</v>
      </c>
      <c r="P5" s="184"/>
      <c r="Q5" s="184"/>
      <c r="R5" s="82">
        <f>H41</f>
        <v>9262.7920000000013</v>
      </c>
      <c r="S5" s="82">
        <f>I41</f>
        <v>18303.154668000006</v>
      </c>
      <c r="T5" s="82">
        <f>R5+S5</f>
        <v>27565.946668000008</v>
      </c>
    </row>
    <row r="6" spans="1:20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95">
        <f>Table17[[#This Row],[L/s]]/Table17[[#This Row],[Occ]]</f>
        <v>8</v>
      </c>
      <c r="O6" s="184" t="s">
        <v>41</v>
      </c>
      <c r="P6" s="184"/>
      <c r="Q6" s="184"/>
      <c r="R6" s="82">
        <f>H90</f>
        <v>20168.763999999999</v>
      </c>
      <c r="S6" s="82">
        <f>I90</f>
        <v>39472.195050000002</v>
      </c>
      <c r="T6" s="82">
        <f>R6+S6</f>
        <v>59640.959050000005</v>
      </c>
    </row>
    <row r="7" spans="1:20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95">
        <f>Table17[[#This Row],[L/s]]/Table17[[#This Row],[Occ]]</f>
        <v>2.5</v>
      </c>
      <c r="O7" s="184" t="s">
        <v>59</v>
      </c>
      <c r="P7" s="184"/>
      <c r="Q7" s="184"/>
      <c r="R7" s="82">
        <f>H127</f>
        <v>13106.016</v>
      </c>
      <c r="S7" s="82">
        <f>I127</f>
        <v>25681.30218000001</v>
      </c>
      <c r="T7" s="82">
        <f>R7+S7</f>
        <v>38787.318180000009</v>
      </c>
    </row>
    <row r="8" spans="1:20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95">
        <f>Table17[[#This Row],[L/s]]/Table17[[#This Row],[Occ]]</f>
        <v>8</v>
      </c>
      <c r="O8" s="173" t="s">
        <v>540</v>
      </c>
      <c r="P8" s="173"/>
      <c r="Q8" s="173"/>
      <c r="R8" s="174">
        <f>SUM(R5:R7)</f>
        <v>42537.572</v>
      </c>
      <c r="S8" s="174">
        <f>SUM(S5:S7)</f>
        <v>83456.651898000026</v>
      </c>
      <c r="T8" s="174">
        <f>T5+T6+T7</f>
        <v>125994.22389800003</v>
      </c>
    </row>
    <row r="9" spans="1:20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95">
        <f>Table17[[#This Row],[L/s]]/Table17[[#This Row],[Occ]]</f>
        <v>2.5</v>
      </c>
      <c r="O9" s="173"/>
      <c r="P9" s="173"/>
      <c r="Q9" s="173"/>
      <c r="R9" s="175"/>
      <c r="S9" s="175"/>
      <c r="T9" s="175"/>
    </row>
    <row r="10" spans="1:20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95">
        <f>Table17[[#This Row],[L/s]]/Table17[[#This Row],[Occ]]</f>
        <v>8</v>
      </c>
    </row>
    <row r="11" spans="1:20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95">
        <f>Table17[[#This Row],[L/s]]/Table17[[#This Row],[Occ]]</f>
        <v>2.5</v>
      </c>
    </row>
    <row r="12" spans="1:20" ht="15" thickBot="1" x14ac:dyDescent="0.35">
      <c r="A12" s="199" t="s">
        <v>175</v>
      </c>
      <c r="B12" s="200">
        <v>14</v>
      </c>
      <c r="C12" s="200">
        <f>B12*References!AS12</f>
        <v>112</v>
      </c>
      <c r="D12" s="200">
        <v>34.5</v>
      </c>
      <c r="E12" s="200">
        <v>22.5</v>
      </c>
      <c r="F12" s="200">
        <v>1.8136751999999999E-2</v>
      </c>
      <c r="G12" s="200">
        <v>8.4806099999999995E-3</v>
      </c>
      <c r="H12" s="200">
        <f t="shared" si="0"/>
        <v>1655.808</v>
      </c>
      <c r="I12" s="201">
        <f t="shared" si="1"/>
        <v>3244.4637119999998</v>
      </c>
      <c r="J12" s="200">
        <f>Table17[[#This Row],[L/s]]/Table17[[#This Row],[Occ]]</f>
        <v>8</v>
      </c>
    </row>
    <row r="13" spans="1:20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95">
        <f>Table17[[#This Row],[L/s]]/Table17[[#This Row],[Occ]]</f>
        <v>10</v>
      </c>
    </row>
    <row r="14" spans="1:20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95">
        <f>Table17[[#This Row],[L/s]]/Table17[[#This Row],[Occ]]</f>
        <v>2.5</v>
      </c>
    </row>
    <row r="15" spans="1:20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95">
        <f>Table17[[#This Row],[L/s]]/Table17[[#This Row],[Occ]]</f>
        <v>2.5</v>
      </c>
    </row>
    <row r="16" spans="1:20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95">
        <f>Table17[[#This Row],[L/s]]/Table17[[#This Row],[Occ]]</f>
        <v>2.5</v>
      </c>
    </row>
    <row r="17" spans="1:10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95">
        <f>Table17[[#This Row],[L/s]]/Table17[[#This Row],[Occ]]</f>
        <v>2.5</v>
      </c>
    </row>
    <row r="18" spans="1:10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95">
        <f>Table17[[#This Row],[L/s]]/Table17[[#This Row],[Occ]]</f>
        <v>2.5</v>
      </c>
    </row>
    <row r="19" spans="1:10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95">
        <f>Table17[[#This Row],[L/s]]/Table17[[#This Row],[Occ]]</f>
        <v>2.5</v>
      </c>
    </row>
    <row r="20" spans="1:10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95">
        <f>Table17[[#This Row],[L/s]]/Table17[[#This Row],[Occ]]</f>
        <v>2.5</v>
      </c>
    </row>
    <row r="21" spans="1:10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95">
        <f>Table17[[#This Row],[L/s]]/Table17[[#This Row],[Occ]]</f>
        <v>2.5</v>
      </c>
    </row>
    <row r="22" spans="1:10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95">
        <f>Table17[[#This Row],[L/s]]/Table17[[#This Row],[Occ]]</f>
        <v>8</v>
      </c>
    </row>
    <row r="23" spans="1:10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95">
        <f>Table17[[#This Row],[L/s]]/Table17[[#This Row],[Occ]]</f>
        <v>8</v>
      </c>
    </row>
    <row r="24" spans="1:10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95">
        <f>Table17[[#This Row],[L/s]]/Table17[[#This Row],[Occ]]</f>
        <v>2.5</v>
      </c>
    </row>
    <row r="25" spans="1:10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95">
        <f>Table17[[#This Row],[L/s]]/Table17[[#This Row],[Occ]]</f>
        <v>2.5</v>
      </c>
    </row>
    <row r="26" spans="1:10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95">
        <f>Table17[[#This Row],[L/s]]/Table17[[#This Row],[Occ]]</f>
        <v>2.5</v>
      </c>
    </row>
    <row r="27" spans="1:10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95">
        <f>Table17[[#This Row],[L/s]]/Table17[[#This Row],[Occ]]</f>
        <v>2.5</v>
      </c>
    </row>
    <row r="28" spans="1:10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95">
        <f>Table17[[#This Row],[L/s]]/Table17[[#This Row],[Occ]]</f>
        <v>2.5</v>
      </c>
    </row>
    <row r="29" spans="1:10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95">
        <f>Table17[[#This Row],[L/s]]/Table17[[#This Row],[Occ]]</f>
        <v>2.5</v>
      </c>
    </row>
    <row r="30" spans="1:10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95">
        <f>Table17[[#This Row],[L/s]]/Table17[[#This Row],[Occ]]</f>
        <v>2.5</v>
      </c>
    </row>
    <row r="31" spans="1:10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95">
        <f>Table17[[#This Row],[L/s]]/Table17[[#This Row],[Occ]]</f>
        <v>2.5</v>
      </c>
    </row>
    <row r="32" spans="1:10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95">
        <f>Table17[[#This Row],[L/s]]/Table17[[#This Row],[Occ]]</f>
        <v>2.5</v>
      </c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95">
        <f>Table17[[#This Row],[L/s]]/Table17[[#This Row],[Occ]]</f>
        <v>2.5</v>
      </c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95">
        <f>Table17[[#This Row],[L/s]]/Table17[[#This Row],[Occ]]</f>
        <v>8</v>
      </c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95">
        <f>Table17[[#This Row],[L/s]]/Table17[[#This Row],[Occ]]</f>
        <v>2.5</v>
      </c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95">
        <f>Table17[[#This Row],[L/s]]/Table17[[#This Row],[Occ]]</f>
        <v>2.5</v>
      </c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95">
        <f>Table17[[#This Row],[L/s]]/Table17[[#This Row],[Occ]]</f>
        <v>2.5</v>
      </c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95">
        <f>Table17[[#This Row],[L/s]]/Table17[[#This Row],[Occ]]</f>
        <v>8</v>
      </c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95">
        <f>Table17[[#This Row],[L/s]]/Table17[[#This Row],[Occ]]</f>
        <v>2.5</v>
      </c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98">
        <f>Table17[[#This Row],[L/s]]/Table17[[#This Row],[Occ]]</f>
        <v>8</v>
      </c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89"/>
    </row>
    <row r="42" spans="1:11" ht="15" thickBot="1" x14ac:dyDescent="0.35">
      <c r="G42" s="193" t="s">
        <v>161</v>
      </c>
      <c r="H42" s="193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24" thickBot="1" x14ac:dyDescent="0.5">
      <c r="A44" s="167" t="s">
        <v>41</v>
      </c>
      <c r="B44" s="167"/>
      <c r="C44" s="167"/>
      <c r="D44" s="167"/>
      <c r="E44" s="167"/>
      <c r="F44" s="167"/>
      <c r="G44" s="167"/>
      <c r="H44" s="167"/>
      <c r="I44" s="167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197" t="s">
        <v>556</v>
      </c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98">
        <f>Table18[[#This Row],[L/s]]/Table18[[#This Row],[Occ.]]</f>
        <v>13</v>
      </c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5">
        <f>Table18[[#This Row],[L/s]]/Table18[[#This Row],[Occ.]]</f>
        <v>13</v>
      </c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5">
        <f>Table18[[#This Row],[L/s]]/Table18[[#This Row],[Occ.]]</f>
        <v>13</v>
      </c>
    </row>
    <row r="49" spans="1:10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5">
        <f>Table18[[#This Row],[L/s]]/Table18[[#This Row],[Occ.]]</f>
        <v>13</v>
      </c>
    </row>
    <row r="50" spans="1:10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5">
        <f>Table18[[#This Row],[L/s]]/Table18[[#This Row],[Occ.]]</f>
        <v>13</v>
      </c>
    </row>
    <row r="51" spans="1:10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5">
        <f>Table18[[#This Row],[L/s]]/Table18[[#This Row],[Occ.]]</f>
        <v>13</v>
      </c>
    </row>
    <row r="52" spans="1:10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5">
        <f>Table18[[#This Row],[L/s]]/Table18[[#This Row],[Occ.]]</f>
        <v>13</v>
      </c>
    </row>
    <row r="53" spans="1:10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5">
        <f>Table18[[#This Row],[L/s]]/Table18[[#This Row],[Occ.]]</f>
        <v>2.5</v>
      </c>
    </row>
    <row r="54" spans="1:10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5">
        <f>Table18[[#This Row],[L/s]]/Table18[[#This Row],[Occ.]]</f>
        <v>8</v>
      </c>
    </row>
    <row r="55" spans="1:10" ht="15" thickBot="1" x14ac:dyDescent="0.35">
      <c r="A55" s="199" t="s">
        <v>175</v>
      </c>
      <c r="B55" s="200">
        <v>5</v>
      </c>
      <c r="C55" s="200">
        <f>B55*References!AT13</f>
        <v>40</v>
      </c>
      <c r="D55" s="200">
        <v>34.5</v>
      </c>
      <c r="E55" s="200">
        <v>22.5</v>
      </c>
      <c r="F55" s="200">
        <v>1.813675E-2</v>
      </c>
      <c r="G55" s="200">
        <f t="shared" si="4"/>
        <v>8.4806099999999995E-3</v>
      </c>
      <c r="H55" s="200">
        <f t="shared" si="2"/>
        <v>591.36</v>
      </c>
      <c r="I55" s="201">
        <f t="shared" si="3"/>
        <v>1158.7368000000001</v>
      </c>
      <c r="J55" s="200">
        <f>Table18[[#This Row],[L/s]]/Table18[[#This Row],[Occ.]]</f>
        <v>8</v>
      </c>
    </row>
    <row r="56" spans="1:10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5">
        <f>Table18[[#This Row],[L/s]]/Table18[[#This Row],[Occ.]]</f>
        <v>2.5</v>
      </c>
    </row>
    <row r="57" spans="1:10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5">
        <f>Table18[[#This Row],[L/s]]/Table18[[#This Row],[Occ.]]</f>
        <v>2.5</v>
      </c>
    </row>
    <row r="58" spans="1:10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5">
        <f>Table18[[#This Row],[L/s]]/Table18[[#This Row],[Occ.]]</f>
        <v>13</v>
      </c>
    </row>
    <row r="59" spans="1:10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5">
        <f>Table18[[#This Row],[L/s]]/Table18[[#This Row],[Occ.]]</f>
        <v>13</v>
      </c>
    </row>
    <row r="60" spans="1:10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5">
        <f>Table18[[#This Row],[L/s]]/Table18[[#This Row],[Occ.]]</f>
        <v>13</v>
      </c>
    </row>
    <row r="61" spans="1:10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5">
        <f>Table18[[#This Row],[L/s]]/Table18[[#This Row],[Occ.]]</f>
        <v>13</v>
      </c>
    </row>
    <row r="62" spans="1:10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5">
        <f>Table18[[#This Row],[L/s]]/Table18[[#This Row],[Occ.]]</f>
        <v>13</v>
      </c>
    </row>
    <row r="63" spans="1:10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5">
        <f>Table18[[#This Row],[L/s]]/Table18[[#This Row],[Occ.]]</f>
        <v>2.5</v>
      </c>
    </row>
    <row r="64" spans="1:10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5">
        <f>Table18[[#This Row],[L/s]]/Table18[[#This Row],[Occ.]]</f>
        <v>13</v>
      </c>
    </row>
    <row r="65" spans="1:10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5">
        <f>Table18[[#This Row],[L/s]]/Table18[[#This Row],[Occ.]]</f>
        <v>13</v>
      </c>
    </row>
    <row r="66" spans="1:10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5">
        <f>Table18[[#This Row],[L/s]]/Table18[[#This Row],[Occ.]]</f>
        <v>13</v>
      </c>
    </row>
    <row r="67" spans="1:10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5">
        <f>Table18[[#This Row],[L/s]]/Table18[[#This Row],[Occ.]]</f>
        <v>13</v>
      </c>
    </row>
    <row r="68" spans="1:10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5">
        <f>Table18[[#This Row],[L/s]]/Table18[[#This Row],[Occ.]]</f>
        <v>13</v>
      </c>
    </row>
    <row r="69" spans="1:10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5">
        <f>Table18[[#This Row],[L/s]]/Table18[[#This Row],[Occ.]]</f>
        <v>13</v>
      </c>
    </row>
    <row r="70" spans="1:10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5">
        <f>Table18[[#This Row],[L/s]]/Table18[[#This Row],[Occ.]]</f>
        <v>13</v>
      </c>
    </row>
    <row r="71" spans="1:10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5">
        <f>Table18[[#This Row],[L/s]]/Table18[[#This Row],[Occ.]]</f>
        <v>13</v>
      </c>
    </row>
    <row r="72" spans="1:10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5">
        <f>Table18[[#This Row],[L/s]]/Table18[[#This Row],[Occ.]]</f>
        <v>2.5</v>
      </c>
    </row>
    <row r="73" spans="1:10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5">
        <f>Table18[[#This Row],[L/s]]/Table18[[#This Row],[Occ.]]</f>
        <v>8</v>
      </c>
    </row>
    <row r="74" spans="1:10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5">
        <f>Table18[[#This Row],[L/s]]/Table18[[#This Row],[Occ.]]</f>
        <v>2.5</v>
      </c>
    </row>
    <row r="75" spans="1:10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5">
        <f>Table18[[#This Row],[L/s]]/Table18[[#This Row],[Occ.]]</f>
        <v>8</v>
      </c>
    </row>
    <row r="76" spans="1:10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5">
        <f>Table18[[#This Row],[L/s]]/Table18[[#This Row],[Occ.]]</f>
        <v>2.5</v>
      </c>
    </row>
    <row r="77" spans="1:10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5">
        <f>Table18[[#This Row],[L/s]]/Table18[[#This Row],[Occ.]]</f>
        <v>2.5</v>
      </c>
    </row>
    <row r="78" spans="1:10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5">
        <f>Table18[[#This Row],[L/s]]/Table18[[#This Row],[Occ.]]</f>
        <v>2.5</v>
      </c>
    </row>
    <row r="79" spans="1:10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5">
        <f>Table18[[#This Row],[L/s]]/Table18[[#This Row],[Occ.]]</f>
        <v>15</v>
      </c>
    </row>
    <row r="80" spans="1:10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5">
        <f>Table18[[#This Row],[L/s]]/Table18[[#This Row],[Occ.]]</f>
        <v>8</v>
      </c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5">
        <f>Table18[[#This Row],[L/s]]/Table18[[#This Row],[Occ.]]</f>
        <v>2.5</v>
      </c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5">
        <f>Table18[[#This Row],[L/s]]/Table18[[#This Row],[Occ.]]</f>
        <v>15</v>
      </c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5">
        <f>Table18[[#This Row],[L/s]]/Table18[[#This Row],[Occ.]]</f>
        <v>2.5</v>
      </c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5">
        <f>Table18[[#This Row],[L/s]]/Table18[[#This Row],[Occ.]]</f>
        <v>2.5</v>
      </c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5">
        <f>Table18[[#This Row],[L/s]]/Table18[[#This Row],[Occ.]]</f>
        <v>2.5</v>
      </c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5">
        <f>Table18[[#This Row],[L/s]]/Table18[[#This Row],[Occ.]]</f>
        <v>2.5</v>
      </c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5">
        <f>Table18[[#This Row],[L/s]]/Table18[[#This Row],[Occ.]]</f>
        <v>2.5</v>
      </c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5">
        <f>Table18[[#This Row],[L/s]]/Table18[[#This Row],[Occ.]]</f>
        <v>8</v>
      </c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8">
        <f>Table18[[#This Row],[L/s]]/Table18[[#This Row],[Occ.]]</f>
        <v>8</v>
      </c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193" t="s">
        <v>161</v>
      </c>
      <c r="H91" s="193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</row>
    <row r="93" spans="1:11" s="105" customFormat="1" ht="23.4" x14ac:dyDescent="0.45">
      <c r="A93" s="168" t="s">
        <v>59</v>
      </c>
      <c r="B93" s="168"/>
      <c r="C93" s="168"/>
      <c r="D93" s="168"/>
      <c r="E93" s="168"/>
      <c r="F93" s="168"/>
      <c r="G93" s="168"/>
      <c r="H93" s="168"/>
      <c r="I93" s="168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197" t="s">
        <v>556</v>
      </c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98">
        <f>Table19[[#This Row],[L/s]]/Table19[[#This Row],[Occ.]]</f>
        <v>13</v>
      </c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5">
        <f>Table19[[#This Row],[L/s]]/Table19[[#This Row],[Occ.]]</f>
        <v>13</v>
      </c>
    </row>
    <row r="97" spans="1:10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5">
        <f>Table19[[#This Row],[L/s]]/Table19[[#This Row],[Occ.]]</f>
        <v>13</v>
      </c>
    </row>
    <row r="98" spans="1:10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5">
        <f>Table19[[#This Row],[L/s]]/Table19[[#This Row],[Occ.]]</f>
        <v>13</v>
      </c>
    </row>
    <row r="99" spans="1:10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5">
        <f>Table19[[#This Row],[L/s]]/Table19[[#This Row],[Occ.]]</f>
        <v>13</v>
      </c>
    </row>
    <row r="100" spans="1:10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5">
        <f>Table19[[#This Row],[L/s]]/Table19[[#This Row],[Occ.]]</f>
        <v>13</v>
      </c>
    </row>
    <row r="101" spans="1:10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5">
        <f>Table19[[#This Row],[L/s]]/Table19[[#This Row],[Occ.]]</f>
        <v>13</v>
      </c>
    </row>
    <row r="102" spans="1:10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5">
        <f>Table19[[#This Row],[L/s]]/Table19[[#This Row],[Occ.]]</f>
        <v>2.5</v>
      </c>
    </row>
    <row r="103" spans="1:10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5">
        <f>Table19[[#This Row],[L/s]]/Table19[[#This Row],[Occ.]]</f>
        <v>8</v>
      </c>
    </row>
    <row r="104" spans="1:10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5">
        <f>Table19[[#This Row],[L/s]]/Table19[[#This Row],[Occ.]]</f>
        <v>13</v>
      </c>
    </row>
    <row r="105" spans="1:10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5">
        <f>Table19[[#This Row],[L/s]]/Table19[[#This Row],[Occ.]]</f>
        <v>13</v>
      </c>
    </row>
    <row r="106" spans="1:10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5">
        <f>Table19[[#This Row],[L/s]]/Table19[[#This Row],[Occ.]]</f>
        <v>13</v>
      </c>
    </row>
    <row r="107" spans="1:10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5">
        <f>Table19[[#This Row],[L/s]]/Table19[[#This Row],[Occ.]]</f>
        <v>13</v>
      </c>
    </row>
    <row r="108" spans="1:10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5">
        <f>Table19[[#This Row],[L/s]]/Table19[[#This Row],[Occ.]]</f>
        <v>13</v>
      </c>
    </row>
    <row r="109" spans="1:10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5">
        <f>Table19[[#This Row],[L/s]]/Table19[[#This Row],[Occ.]]</f>
        <v>13</v>
      </c>
    </row>
    <row r="110" spans="1:10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5">
        <f>Table19[[#This Row],[L/s]]/Table19[[#This Row],[Occ.]]</f>
        <v>13</v>
      </c>
    </row>
    <row r="111" spans="1:10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5">
        <f>Table19[[#This Row],[L/s]]/Table19[[#This Row],[Occ.]]</f>
        <v>13</v>
      </c>
    </row>
    <row r="112" spans="1:10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5">
        <f>Table19[[#This Row],[L/s]]/Table19[[#This Row],[Occ.]]</f>
        <v>13</v>
      </c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5">
        <f>Table19[[#This Row],[L/s]]/Table19[[#This Row],[Occ.]]</f>
        <v>13</v>
      </c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5">
        <f>Table19[[#This Row],[L/s]]/Table19[[#This Row],[Occ.]]</f>
        <v>13</v>
      </c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5">
        <f>Table19[[#This Row],[L/s]]/Table19[[#This Row],[Occ.]]</f>
        <v>13</v>
      </c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5">
        <f>Table19[[#This Row],[L/s]]/Table19[[#This Row],[Occ.]]</f>
        <v>13</v>
      </c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5">
        <f>Table19[[#This Row],[L/s]]/Table19[[#This Row],[Occ.]]</f>
        <v>13</v>
      </c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5">
        <f>Table19[[#This Row],[L/s]]/Table19[[#This Row],[Occ.]]</f>
        <v>13</v>
      </c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5">
        <f>Table19[[#This Row],[L/s]]/Table19[[#This Row],[Occ.]]</f>
        <v>2.5</v>
      </c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5">
        <f>Table19[[#This Row],[L/s]]/Table19[[#This Row],[Occ.]]</f>
        <v>2.5</v>
      </c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5">
        <f>Table19[[#This Row],[L/s]]/Table19[[#This Row],[Occ.]]</f>
        <v>2.5</v>
      </c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5">
        <f>Table19[[#This Row],[L/s]]/Table19[[#This Row],[Occ.]]</f>
        <v>2.5</v>
      </c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5">
        <f>Table19[[#This Row],[L/s]]/Table19[[#This Row],[Occ.]]</f>
        <v>2.5</v>
      </c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95">
        <f>Table19[[#This Row],[L/s]]/Table19[[#This Row],[Occ.]]</f>
        <v>8</v>
      </c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95">
        <f>Table19[[#This Row],[L/s]]/Table19[[#This Row],[Occ.]]</f>
        <v>13</v>
      </c>
      <c r="K125" s="124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98">
        <f>Table19[[#This Row],[L/s]]/Table19[[#This Row],[Occ.]]</f>
        <v>13</v>
      </c>
      <c r="K126" s="124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193" t="s">
        <v>161</v>
      </c>
      <c r="H128" s="193"/>
      <c r="I128" s="128">
        <f>H127+I127</f>
        <v>38787.318180000009</v>
      </c>
    </row>
  </sheetData>
  <mergeCells count="16">
    <mergeCell ref="A2:I2"/>
    <mergeCell ref="A1:I1"/>
    <mergeCell ref="A44:I44"/>
    <mergeCell ref="A93:I93"/>
    <mergeCell ref="G42:H42"/>
    <mergeCell ref="G91:H91"/>
    <mergeCell ref="O8:Q9"/>
    <mergeCell ref="R8:R9"/>
    <mergeCell ref="S8:S9"/>
    <mergeCell ref="T8:T9"/>
    <mergeCell ref="G128:H128"/>
    <mergeCell ref="O3:T3"/>
    <mergeCell ref="O4:Q4"/>
    <mergeCell ref="O5:Q5"/>
    <mergeCell ref="O6:Q6"/>
    <mergeCell ref="O7:Q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8"/>
  <sheetViews>
    <sheetView topLeftCell="A58" zoomScale="85" zoomScaleNormal="85" workbookViewId="0">
      <selection activeCell="R127" sqref="R127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hidden="1" customWidth="1"/>
    <col min="4" max="4" width="10.6640625" style="89" hidden="1" customWidth="1"/>
    <col min="5" max="6" width="9.109375" style="89" hidden="1" customWidth="1"/>
    <col min="7" max="7" width="9.33203125" style="89" hidden="1" customWidth="1"/>
    <col min="8" max="8" width="9.109375" style="89" hidden="1" customWidth="1"/>
    <col min="9" max="16384" width="9.109375" style="91"/>
  </cols>
  <sheetData>
    <row r="1" spans="1:19" ht="24.75" customHeight="1" x14ac:dyDescent="0.3">
      <c r="A1" s="169" t="s">
        <v>503</v>
      </c>
      <c r="B1" s="169"/>
      <c r="C1" s="169"/>
      <c r="D1" s="169"/>
      <c r="E1" s="169"/>
      <c r="F1" s="169"/>
      <c r="G1" s="169"/>
      <c r="H1" s="169"/>
      <c r="I1" s="111"/>
    </row>
    <row r="2" spans="1:19" ht="24" thickBot="1" x14ac:dyDescent="0.5">
      <c r="A2" s="167" t="s">
        <v>160</v>
      </c>
      <c r="B2" s="167"/>
      <c r="C2" s="167"/>
      <c r="D2" s="167"/>
      <c r="E2" s="167"/>
      <c r="F2" s="167"/>
      <c r="G2" s="167"/>
      <c r="H2" s="167"/>
      <c r="I2" s="103"/>
    </row>
    <row r="3" spans="1:19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I3" s="101" t="s">
        <v>557</v>
      </c>
      <c r="J3" s="101" t="s">
        <v>558</v>
      </c>
      <c r="N3" s="182" t="s">
        <v>539</v>
      </c>
      <c r="O3" s="182"/>
      <c r="P3" s="182"/>
      <c r="Q3" s="182"/>
      <c r="R3" s="182"/>
      <c r="S3" s="182"/>
    </row>
    <row r="4" spans="1:19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I4" s="198">
        <f>Table22[[#This Row],[Qs (W)]]/Table22[[#This Row],[Occ]]</f>
        <v>38.64</v>
      </c>
      <c r="J4" s="198">
        <f>Table22[[#This Row],[Ql (W)]]/Table22[[#This Row],[Occ]]</f>
        <v>12.88</v>
      </c>
      <c r="N4" s="183"/>
      <c r="O4" s="183"/>
      <c r="P4" s="183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I5" s="95">
        <f>Table22[[#This Row],[Qs (W)]]/Table22[[#This Row],[Occ]]</f>
        <v>69</v>
      </c>
      <c r="J5" s="95">
        <f>Table22[[#This Row],[Ql (W)]]/Table22[[#This Row],[Occ]]</f>
        <v>23</v>
      </c>
      <c r="N5" s="184" t="s">
        <v>160</v>
      </c>
      <c r="O5" s="184"/>
      <c r="P5" s="184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I6" s="95">
        <f>Table22[[#This Row],[Qs (W)]]/Table22[[#This Row],[Occ]]</f>
        <v>55.2</v>
      </c>
      <c r="J6" s="95">
        <f>Table22[[#This Row],[Ql (W)]]/Table22[[#This Row],[Occ]]</f>
        <v>7.3600000000000012</v>
      </c>
      <c r="N6" s="184" t="s">
        <v>41</v>
      </c>
      <c r="O6" s="184"/>
      <c r="P6" s="184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I7" s="95">
        <f>Table22[[#This Row],[Qs (W)]]/Table22[[#This Row],[Occ]]</f>
        <v>69</v>
      </c>
      <c r="J7" s="95">
        <f>Table22[[#This Row],[Ql (W)]]/Table22[[#This Row],[Occ]]</f>
        <v>23</v>
      </c>
      <c r="N7" s="184" t="s">
        <v>59</v>
      </c>
      <c r="O7" s="184"/>
      <c r="P7" s="184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I8" s="95">
        <f>Table22[[#This Row],[Qs (W)]]/Table22[[#This Row],[Occ]]</f>
        <v>69</v>
      </c>
      <c r="J8" s="95">
        <f>Table22[[#This Row],[Ql (W)]]/Table22[[#This Row],[Occ]]</f>
        <v>34.5</v>
      </c>
      <c r="N8" s="173" t="s">
        <v>540</v>
      </c>
      <c r="O8" s="173"/>
      <c r="P8" s="173"/>
      <c r="Q8" s="174">
        <f>SUM(Q5:Q7)</f>
        <v>19716.98</v>
      </c>
      <c r="R8" s="174">
        <f>SUM(R5:R7)</f>
        <v>10453.359999999999</v>
      </c>
      <c r="S8" s="174">
        <f>S5+S6+S7</f>
        <v>30170.339999999997</v>
      </c>
    </row>
    <row r="9" spans="1:19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I9" s="95">
        <f>Table22[[#This Row],[Qs (W)]]/Table22[[#This Row],[Occ]]</f>
        <v>75.900000000000006</v>
      </c>
      <c r="J9" s="95">
        <f>Table22[[#This Row],[Ql (W)]]/Table22[[#This Row],[Occ]]</f>
        <v>31.05</v>
      </c>
      <c r="N9" s="173"/>
      <c r="O9" s="173"/>
      <c r="P9" s="173"/>
      <c r="Q9" s="175"/>
      <c r="R9" s="175"/>
      <c r="S9" s="175"/>
    </row>
    <row r="10" spans="1:19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  <c r="I10" s="95">
        <f>Table22[[#This Row],[Qs (W)]]/Table22[[#This Row],[Occ]]</f>
        <v>75.900000000000006</v>
      </c>
      <c r="J10" s="95">
        <f>Table22[[#This Row],[Ql (W)]]/Table22[[#This Row],[Occ]]</f>
        <v>31.05</v>
      </c>
    </row>
    <row r="11" spans="1:19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  <c r="I11" s="95">
        <f>Table22[[#This Row],[Qs (W)]]/Table22[[#This Row],[Occ]]</f>
        <v>55.2</v>
      </c>
      <c r="J11" s="95">
        <f>Table22[[#This Row],[Ql (W)]]/Table22[[#This Row],[Occ]]</f>
        <v>36.800000000000004</v>
      </c>
    </row>
    <row r="12" spans="1:19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  <c r="I12" s="95">
        <f>Table22[[#This Row],[Qs (W)]]/Table22[[#This Row],[Occ]]</f>
        <v>55.2</v>
      </c>
      <c r="J12" s="95">
        <f>Table22[[#This Row],[Ql (W)]]/Table22[[#This Row],[Occ]]</f>
        <v>2.628571428571429</v>
      </c>
    </row>
    <row r="13" spans="1:19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  <c r="I13" s="95">
        <f>Table22[[#This Row],[Qs (W)]]/Table22[[#This Row],[Occ]]</f>
        <v>69</v>
      </c>
      <c r="J13" s="95">
        <f>Table22[[#This Row],[Ql (W)]]/Table22[[#This Row],[Occ]]</f>
        <v>17.25</v>
      </c>
    </row>
    <row r="14" spans="1:19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  <c r="I14" s="95">
        <f>Table22[[#This Row],[Qs (W)]]/Table22[[#This Row],[Occ]]</f>
        <v>69</v>
      </c>
      <c r="J14" s="95">
        <f>Table22[[#This Row],[Ql (W)]]/Table22[[#This Row],[Occ]]</f>
        <v>34.5</v>
      </c>
    </row>
    <row r="15" spans="1:19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  <c r="I15" s="95">
        <f>Table22[[#This Row],[Qs (W)]]/Table22[[#This Row],[Occ]]</f>
        <v>69</v>
      </c>
      <c r="J15" s="95">
        <f>Table22[[#This Row],[Ql (W)]]/Table22[[#This Row],[Occ]]</f>
        <v>34.5</v>
      </c>
    </row>
    <row r="16" spans="1:19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  <c r="I16" s="95">
        <f>Table22[[#This Row],[Qs (W)]]/Table22[[#This Row],[Occ]]</f>
        <v>69</v>
      </c>
      <c r="J16" s="95">
        <f>Table22[[#This Row],[Ql (W)]]/Table22[[#This Row],[Occ]]</f>
        <v>34.5</v>
      </c>
    </row>
    <row r="17" spans="1:10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  <c r="I17" s="95">
        <f>Table22[[#This Row],[Qs (W)]]/Table22[[#This Row],[Occ]]</f>
        <v>69</v>
      </c>
      <c r="J17" s="95">
        <f>Table22[[#This Row],[Ql (W)]]/Table22[[#This Row],[Occ]]</f>
        <v>34.5</v>
      </c>
    </row>
    <row r="18" spans="1:10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  <c r="I18" s="95">
        <f>Table22[[#This Row],[Qs (W)]]/Table22[[#This Row],[Occ]]</f>
        <v>75.900000000000006</v>
      </c>
      <c r="J18" s="95">
        <f>Table22[[#This Row],[Ql (W)]]/Table22[[#This Row],[Occ]]</f>
        <v>62.1</v>
      </c>
    </row>
    <row r="19" spans="1:10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  <c r="I19" s="95">
        <f>Table22[[#This Row],[Qs (W)]]/Table22[[#This Row],[Occ]]</f>
        <v>75.900000000000006</v>
      </c>
      <c r="J19" s="95">
        <f>Table22[[#This Row],[Ql (W)]]/Table22[[#This Row],[Occ]]</f>
        <v>62.1</v>
      </c>
    </row>
    <row r="20" spans="1:10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  <c r="I20" s="95">
        <f>Table22[[#This Row],[Qs (W)]]/Table22[[#This Row],[Occ]]</f>
        <v>75.900000000000006</v>
      </c>
      <c r="J20" s="95">
        <f>Table22[[#This Row],[Ql (W)]]/Table22[[#This Row],[Occ]]</f>
        <v>62.1</v>
      </c>
    </row>
    <row r="21" spans="1:10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  <c r="I21" s="95">
        <f>Table22[[#This Row],[Qs (W)]]/Table22[[#This Row],[Occ]]</f>
        <v>69</v>
      </c>
      <c r="J21" s="95">
        <f>Table22[[#This Row],[Ql (W)]]/Table22[[#This Row],[Occ]]</f>
        <v>69</v>
      </c>
    </row>
    <row r="22" spans="1:10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  <c r="I22" s="95">
        <f>Table22[[#This Row],[Qs (W)]]/Table22[[#This Row],[Occ]]</f>
        <v>55.2</v>
      </c>
      <c r="J22" s="95">
        <f>Table22[[#This Row],[Ql (W)]]/Table22[[#This Row],[Occ]]</f>
        <v>36.800000000000004</v>
      </c>
    </row>
    <row r="23" spans="1:10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  <c r="I23" s="95">
        <f>Table22[[#This Row],[Qs (W)]]/Table22[[#This Row],[Occ]]</f>
        <v>55.199999999999996</v>
      </c>
      <c r="J23" s="95">
        <f>Table22[[#This Row],[Ql (W)]]/Table22[[#This Row],[Occ]]</f>
        <v>12.266666666666667</v>
      </c>
    </row>
    <row r="24" spans="1:10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  <c r="I24" s="95">
        <f>Table22[[#This Row],[Qs (W)]]/Table22[[#This Row],[Occ]]</f>
        <v>55.2</v>
      </c>
      <c r="J24" s="95">
        <f>Table22[[#This Row],[Ql (W)]]/Table22[[#This Row],[Occ]]</f>
        <v>18.400000000000002</v>
      </c>
    </row>
    <row r="25" spans="1:10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  <c r="I25" s="95">
        <f>Table22[[#This Row],[Qs (W)]]/Table22[[#This Row],[Occ]]</f>
        <v>55.2</v>
      </c>
      <c r="J25" s="95">
        <f>Table22[[#This Row],[Ql (W)]]/Table22[[#This Row],[Occ]]</f>
        <v>18.400000000000002</v>
      </c>
    </row>
    <row r="26" spans="1:10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  <c r="I26" s="95">
        <f>Table22[[#This Row],[Qs (W)]]/Table22[[#This Row],[Occ]]</f>
        <v>75.900000000000006</v>
      </c>
      <c r="J26" s="95">
        <f>Table22[[#This Row],[Ql (W)]]/Table22[[#This Row],[Occ]]</f>
        <v>62.1</v>
      </c>
    </row>
    <row r="27" spans="1:10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  <c r="I27" s="95">
        <f>Table22[[#This Row],[Qs (W)]]/Table22[[#This Row],[Occ]]</f>
        <v>55.2</v>
      </c>
      <c r="J27" s="95">
        <f>Table22[[#This Row],[Ql (W)]]/Table22[[#This Row],[Occ]]</f>
        <v>18.400000000000002</v>
      </c>
    </row>
    <row r="28" spans="1:10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  <c r="I28" s="95">
        <f>Table22[[#This Row],[Qs (W)]]/Table22[[#This Row],[Occ]]</f>
        <v>55.2</v>
      </c>
      <c r="J28" s="95">
        <f>Table22[[#This Row],[Ql (W)]]/Table22[[#This Row],[Occ]]</f>
        <v>18.400000000000002</v>
      </c>
    </row>
    <row r="29" spans="1:10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  <c r="I29" s="95">
        <f>Table22[[#This Row],[Qs (W)]]/Table22[[#This Row],[Occ]]</f>
        <v>75.900000000000006</v>
      </c>
      <c r="J29" s="95">
        <f>Table22[[#This Row],[Ql (W)]]/Table22[[#This Row],[Occ]]</f>
        <v>62.1</v>
      </c>
    </row>
    <row r="30" spans="1:10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  <c r="I30" s="95">
        <f>Table22[[#This Row],[Qs (W)]]/Table22[[#This Row],[Occ]]</f>
        <v>75.900000000000006</v>
      </c>
      <c r="J30" s="95">
        <f>Table22[[#This Row],[Ql (W)]]/Table22[[#This Row],[Occ]]</f>
        <v>15.525</v>
      </c>
    </row>
    <row r="31" spans="1:10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  <c r="I31" s="95">
        <f>Table22[[#This Row],[Qs (W)]]/Table22[[#This Row],[Occ]]</f>
        <v>55.2</v>
      </c>
      <c r="J31" s="95">
        <f>Table22[[#This Row],[Ql (W)]]/Table22[[#This Row],[Occ]]</f>
        <v>36.800000000000004</v>
      </c>
    </row>
    <row r="32" spans="1:10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  <c r="I32" s="95">
        <f>Table22[[#This Row],[Qs (W)]]/Table22[[#This Row],[Occ]]</f>
        <v>75.900000000000006</v>
      </c>
      <c r="J32" s="95">
        <f>Table22[[#This Row],[Ql (W)]]/Table22[[#This Row],[Occ]]</f>
        <v>62.1</v>
      </c>
    </row>
    <row r="33" spans="1:10" ht="15" thickBot="1" x14ac:dyDescent="0.35">
      <c r="A33" s="199" t="s">
        <v>453</v>
      </c>
      <c r="B33" s="200"/>
      <c r="C33" s="200"/>
      <c r="D33" s="200"/>
      <c r="E33" s="200"/>
      <c r="F33" s="200">
        <v>0.92</v>
      </c>
      <c r="G33" s="200">
        <f t="shared" si="0"/>
        <v>0</v>
      </c>
      <c r="H33" s="201">
        <f t="shared" si="1"/>
        <v>0</v>
      </c>
      <c r="I33" s="200" t="e">
        <f>Table22[[#This Row],[Qs (W)]]/Table22[[#This Row],[Occ]]</f>
        <v>#DIV/0!</v>
      </c>
      <c r="J33" s="200" t="e">
        <f>Table22[[#This Row],[Ql (W)]]/Table22[[#This Row],[Occ]]</f>
        <v>#DIV/0!</v>
      </c>
    </row>
    <row r="34" spans="1:10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  <c r="I34" s="95">
        <f>Table22[[#This Row],[Qs (W)]]/Table22[[#This Row],[Occ]]</f>
        <v>55.2</v>
      </c>
      <c r="J34" s="95">
        <f>Table22[[#This Row],[Ql (W)]]/Table22[[#This Row],[Occ]]</f>
        <v>18.400000000000002</v>
      </c>
    </row>
    <row r="35" spans="1:10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  <c r="I35" s="95">
        <f>Table22[[#This Row],[Qs (W)]]/Table22[[#This Row],[Occ]]</f>
        <v>69</v>
      </c>
      <c r="J35" s="95">
        <f>Table22[[#This Row],[Ql (W)]]/Table22[[#This Row],[Occ]]</f>
        <v>69</v>
      </c>
    </row>
    <row r="36" spans="1:10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  <c r="I36" s="95">
        <f>Table22[[#This Row],[Qs (W)]]/Table22[[#This Row],[Occ]]</f>
        <v>75.900000000000006</v>
      </c>
      <c r="J36" s="95">
        <f>Table22[[#This Row],[Ql (W)]]/Table22[[#This Row],[Occ]]</f>
        <v>62.1</v>
      </c>
    </row>
    <row r="37" spans="1:10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  <c r="I37" s="95">
        <f>Table22[[#This Row],[Qs (W)]]/Table22[[#This Row],[Occ]]</f>
        <v>55.2</v>
      </c>
      <c r="J37" s="95">
        <f>Table22[[#This Row],[Ql (W)]]/Table22[[#This Row],[Occ]]</f>
        <v>9.2000000000000011</v>
      </c>
    </row>
    <row r="38" spans="1:10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  <c r="I38" s="95">
        <f>Table22[[#This Row],[Qs (W)]]/Table22[[#This Row],[Occ]]</f>
        <v>55.2</v>
      </c>
      <c r="J38" s="95">
        <f>Table22[[#This Row],[Ql (W)]]/Table22[[#This Row],[Occ]]</f>
        <v>7.3600000000000012</v>
      </c>
    </row>
    <row r="39" spans="1:10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  <c r="I39" s="95">
        <f>Table22[[#This Row],[Qs (W)]]/Table22[[#This Row],[Occ]]</f>
        <v>55.199999999999996</v>
      </c>
      <c r="J39" s="95">
        <f>Table22[[#This Row],[Ql (W)]]/Table22[[#This Row],[Occ]]</f>
        <v>12.266666666666667</v>
      </c>
    </row>
    <row r="40" spans="1:10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  <c r="I40" s="98">
        <f>Table22[[#This Row],[Qs (W)]]/Table22[[#This Row],[Occ]]</f>
        <v>55.2</v>
      </c>
      <c r="J40" s="98">
        <f>Table22[[#This Row],[Ql (W)]]/Table22[[#This Row],[Occ]]</f>
        <v>1.8400000000000003</v>
      </c>
    </row>
    <row r="41" spans="1:10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10" ht="15" thickBot="1" x14ac:dyDescent="0.35">
      <c r="F42" s="193" t="s">
        <v>161</v>
      </c>
      <c r="G42" s="193"/>
      <c r="H42" s="128">
        <f>G41+H41</f>
        <v>8320.9399999999987</v>
      </c>
    </row>
    <row r="44" spans="1:10" ht="24" customHeight="1" thickBot="1" x14ac:dyDescent="0.5">
      <c r="A44" s="167" t="s">
        <v>41</v>
      </c>
      <c r="B44" s="167"/>
      <c r="C44" s="167"/>
      <c r="D44" s="167"/>
      <c r="E44" s="167"/>
      <c r="F44" s="167"/>
      <c r="G44" s="167"/>
      <c r="H44" s="167"/>
      <c r="I44" s="103"/>
    </row>
    <row r="45" spans="1:10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  <c r="I45" s="101" t="s">
        <v>557</v>
      </c>
      <c r="J45" s="101" t="s">
        <v>558</v>
      </c>
    </row>
    <row r="46" spans="1:10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  <c r="I46" s="196">
        <f>Table21[[#This Row],[Qs (W)]]/Table21[[#This Row],[Occ]]</f>
        <v>48.3</v>
      </c>
      <c r="J46" s="196">
        <f>Table21[[#This Row],[Ql (W)]]/Table21[[#This Row],[Occ]]</f>
        <v>17.5</v>
      </c>
    </row>
    <row r="47" spans="1:10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  <c r="I47" s="107">
        <f>Table21[[#This Row],[Qs (W)]]/Table21[[#This Row],[Occ]]</f>
        <v>48.3</v>
      </c>
      <c r="J47" s="107">
        <f>Table21[[#This Row],[Ql (W)]]/Table21[[#This Row],[Occ]]</f>
        <v>17.5</v>
      </c>
    </row>
    <row r="48" spans="1:10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  <c r="I48" s="107">
        <f>Table21[[#This Row],[Qs (W)]]/Table21[[#This Row],[Occ]]</f>
        <v>48.3</v>
      </c>
      <c r="J48" s="107">
        <f>Table21[[#This Row],[Ql (W)]]/Table21[[#This Row],[Occ]]</f>
        <v>17.5</v>
      </c>
    </row>
    <row r="49" spans="1:10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  <c r="I49" s="107">
        <f>Table21[[#This Row],[Qs (W)]]/Table21[[#This Row],[Occ]]</f>
        <v>48.3</v>
      </c>
      <c r="J49" s="107">
        <f>Table21[[#This Row],[Ql (W)]]/Table21[[#This Row],[Occ]]</f>
        <v>17.5</v>
      </c>
    </row>
    <row r="50" spans="1:10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  <c r="I50" s="107">
        <f>Table21[[#This Row],[Qs (W)]]/Table21[[#This Row],[Occ]]</f>
        <v>48.300000000000004</v>
      </c>
      <c r="J50" s="107">
        <f>Table21[[#This Row],[Ql (W)]]/Table21[[#This Row],[Occ]]</f>
        <v>17.5</v>
      </c>
    </row>
    <row r="51" spans="1:10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  <c r="I51" s="107">
        <f>Table21[[#This Row],[Qs (W)]]/Table21[[#This Row],[Occ]]</f>
        <v>48.300000000000004</v>
      </c>
      <c r="J51" s="107">
        <f>Table21[[#This Row],[Ql (W)]]/Table21[[#This Row],[Occ]]</f>
        <v>17.5</v>
      </c>
    </row>
    <row r="52" spans="1:10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  <c r="I52" s="107">
        <f>Table21[[#This Row],[Qs (W)]]/Table21[[#This Row],[Occ]]</f>
        <v>48.300000000000004</v>
      </c>
      <c r="J52" s="107">
        <f>Table21[[#This Row],[Ql (W)]]/Table21[[#This Row],[Occ]]</f>
        <v>17.5</v>
      </c>
    </row>
    <row r="53" spans="1:10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  <c r="I53" s="107">
        <f>Table21[[#This Row],[Qs (W)]]/Table21[[#This Row],[Occ]]</f>
        <v>55.2</v>
      </c>
      <c r="J53" s="107">
        <f>Table21[[#This Row],[Ql (W)]]/Table21[[#This Row],[Occ]]</f>
        <v>40</v>
      </c>
    </row>
    <row r="54" spans="1:10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  <c r="I54" s="107">
        <f>Table21[[#This Row],[Qs (W)]]/Table21[[#This Row],[Occ]]</f>
        <v>48.300000000000004</v>
      </c>
      <c r="J54" s="107">
        <f>Table21[[#This Row],[Ql (W)]]/Table21[[#This Row],[Occ]]</f>
        <v>17.5</v>
      </c>
    </row>
    <row r="55" spans="1:10" ht="15" thickBot="1" x14ac:dyDescent="0.35">
      <c r="A55" s="199" t="s">
        <v>175</v>
      </c>
      <c r="B55" s="200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  <c r="I55" s="152">
        <f>Table21[[#This Row],[Qs (W)]]/Table21[[#This Row],[Occ]]</f>
        <v>55.2</v>
      </c>
      <c r="J55" s="152">
        <f>Table21[[#This Row],[Ql (W)]]/Table21[[#This Row],[Occ]]</f>
        <v>40</v>
      </c>
    </row>
    <row r="56" spans="1:10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  <c r="I56" s="107">
        <f>Table21[[#This Row],[Qs (W)]]/Table21[[#This Row],[Occ]]</f>
        <v>69</v>
      </c>
      <c r="J56" s="107">
        <f>Table21[[#This Row],[Ql (W)]]/Table21[[#This Row],[Occ]]</f>
        <v>75</v>
      </c>
    </row>
    <row r="57" spans="1:10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  <c r="I57" s="107">
        <f>Table21[[#This Row],[Qs (W)]]/Table21[[#This Row],[Occ]]</f>
        <v>69</v>
      </c>
      <c r="J57" s="107">
        <f>Table21[[#This Row],[Ql (W)]]/Table21[[#This Row],[Occ]]</f>
        <v>75</v>
      </c>
    </row>
    <row r="58" spans="1:10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  <c r="I58" s="107">
        <f>Table21[[#This Row],[Qs (W)]]/Table21[[#This Row],[Occ]]</f>
        <v>48.300000000000004</v>
      </c>
      <c r="J58" s="107">
        <f>Table21[[#This Row],[Ql (W)]]/Table21[[#This Row],[Occ]]</f>
        <v>17.5</v>
      </c>
    </row>
    <row r="59" spans="1:10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  <c r="I59" s="107">
        <f>Table21[[#This Row],[Qs (W)]]/Table21[[#This Row],[Occ]]</f>
        <v>48.300000000000004</v>
      </c>
      <c r="J59" s="107">
        <f>Table21[[#This Row],[Ql (W)]]/Table21[[#This Row],[Occ]]</f>
        <v>17.5</v>
      </c>
    </row>
    <row r="60" spans="1:10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  <c r="I60" s="107">
        <f>Table21[[#This Row],[Qs (W)]]/Table21[[#This Row],[Occ]]</f>
        <v>48.300000000000004</v>
      </c>
      <c r="J60" s="107">
        <f>Table21[[#This Row],[Ql (W)]]/Table21[[#This Row],[Occ]]</f>
        <v>17.5</v>
      </c>
    </row>
    <row r="61" spans="1:10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  <c r="I61" s="107">
        <f>Table21[[#This Row],[Qs (W)]]/Table21[[#This Row],[Occ]]</f>
        <v>55.2</v>
      </c>
      <c r="J61" s="107">
        <f>Table21[[#This Row],[Ql (W)]]/Table21[[#This Row],[Occ]]</f>
        <v>40</v>
      </c>
    </row>
    <row r="62" spans="1:10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  <c r="I62" s="107">
        <f>Table21[[#This Row],[Qs (W)]]/Table21[[#This Row],[Occ]]</f>
        <v>48.300000000000004</v>
      </c>
      <c r="J62" s="107">
        <f>Table21[[#This Row],[Ql (W)]]/Table21[[#This Row],[Occ]]</f>
        <v>17.5</v>
      </c>
    </row>
    <row r="63" spans="1:10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  <c r="I63" s="107">
        <f>Table21[[#This Row],[Qs (W)]]/Table21[[#This Row],[Occ]]</f>
        <v>55.199999999999996</v>
      </c>
      <c r="J63" s="107">
        <f>Table21[[#This Row],[Ql (W)]]/Table21[[#This Row],[Occ]]</f>
        <v>40</v>
      </c>
    </row>
    <row r="64" spans="1:10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  <c r="I64" s="107">
        <f>Table21[[#This Row],[Qs (W)]]/Table21[[#This Row],[Occ]]</f>
        <v>48.300000000000004</v>
      </c>
      <c r="J64" s="107">
        <f>Table21[[#This Row],[Ql (W)]]/Table21[[#This Row],[Occ]]</f>
        <v>17.5</v>
      </c>
    </row>
    <row r="65" spans="1:10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  <c r="I65" s="107">
        <f>Table21[[#This Row],[Qs (W)]]/Table21[[#This Row],[Occ]]</f>
        <v>48.300000000000004</v>
      </c>
      <c r="J65" s="107">
        <f>Table21[[#This Row],[Ql (W)]]/Table21[[#This Row],[Occ]]</f>
        <v>17.5</v>
      </c>
    </row>
    <row r="66" spans="1:10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  <c r="I66" s="107">
        <f>Table21[[#This Row],[Qs (W)]]/Table21[[#This Row],[Occ]]</f>
        <v>48.300000000000004</v>
      </c>
      <c r="J66" s="107">
        <f>Table21[[#This Row],[Ql (W)]]/Table21[[#This Row],[Occ]]</f>
        <v>17.5</v>
      </c>
    </row>
    <row r="67" spans="1:10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  <c r="I67" s="107">
        <f>Table21[[#This Row],[Qs (W)]]/Table21[[#This Row],[Occ]]</f>
        <v>80.5</v>
      </c>
      <c r="J67" s="107">
        <f>Table21[[#This Row],[Ql (W)]]/Table21[[#This Row],[Occ]]</f>
        <v>87.5</v>
      </c>
    </row>
    <row r="68" spans="1:10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  <c r="I68" s="107">
        <f>Table21[[#This Row],[Qs (W)]]/Table21[[#This Row],[Occ]]</f>
        <v>48.300000000000004</v>
      </c>
      <c r="J68" s="107">
        <f>Table21[[#This Row],[Ql (W)]]/Table21[[#This Row],[Occ]]</f>
        <v>17.5</v>
      </c>
    </row>
    <row r="69" spans="1:10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  <c r="I69" s="107">
        <f>Table21[[#This Row],[Qs (W)]]/Table21[[#This Row],[Occ]]</f>
        <v>48.300000000000004</v>
      </c>
      <c r="J69" s="107">
        <f>Table21[[#This Row],[Ql (W)]]/Table21[[#This Row],[Occ]]</f>
        <v>17.5</v>
      </c>
    </row>
    <row r="70" spans="1:10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  <c r="I70" s="107">
        <f>Table21[[#This Row],[Qs (W)]]/Table21[[#This Row],[Occ]]</f>
        <v>48.300000000000004</v>
      </c>
      <c r="J70" s="107">
        <f>Table21[[#This Row],[Ql (W)]]/Table21[[#This Row],[Occ]]</f>
        <v>17.5</v>
      </c>
    </row>
    <row r="71" spans="1:10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  <c r="I71" s="107">
        <f>Table21[[#This Row],[Qs (W)]]/Table21[[#This Row],[Occ]]</f>
        <v>48.300000000000004</v>
      </c>
      <c r="J71" s="107">
        <f>Table21[[#This Row],[Ql (W)]]/Table21[[#This Row],[Occ]]</f>
        <v>17.5</v>
      </c>
    </row>
    <row r="72" spans="1:10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  <c r="I72" s="107">
        <f>Table21[[#This Row],[Qs (W)]]/Table21[[#This Row],[Occ]]</f>
        <v>75.900000000000006</v>
      </c>
      <c r="J72" s="107">
        <f>Table21[[#This Row],[Ql (W)]]/Table21[[#This Row],[Occ]]</f>
        <v>67.5</v>
      </c>
    </row>
    <row r="73" spans="1:10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  <c r="I73" s="107">
        <f>Table21[[#This Row],[Qs (W)]]/Table21[[#This Row],[Occ]]</f>
        <v>69</v>
      </c>
      <c r="J73" s="107">
        <f>Table21[[#This Row],[Ql (W)]]/Table21[[#This Row],[Occ]]</f>
        <v>75</v>
      </c>
    </row>
    <row r="74" spans="1:10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  <c r="I74" s="107">
        <f>Table21[[#This Row],[Qs (W)]]/Table21[[#This Row],[Occ]]</f>
        <v>69</v>
      </c>
      <c r="J74" s="107">
        <f>Table21[[#This Row],[Ql (W)]]/Table21[[#This Row],[Occ]]</f>
        <v>75</v>
      </c>
    </row>
    <row r="75" spans="1:10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  <c r="I75" s="107">
        <f>Table21[[#This Row],[Qs (W)]]/Table21[[#This Row],[Occ]]</f>
        <v>69</v>
      </c>
      <c r="J75" s="107">
        <f>Table21[[#This Row],[Ql (W)]]/Table21[[#This Row],[Occ]]</f>
        <v>75</v>
      </c>
    </row>
    <row r="76" spans="1:10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  <c r="I76" s="107">
        <f>Table21[[#This Row],[Qs (W)]]/Table21[[#This Row],[Occ]]</f>
        <v>48.300000000000004</v>
      </c>
      <c r="J76" s="107">
        <f>Table21[[#This Row],[Ql (W)]]/Table21[[#This Row],[Occ]]</f>
        <v>17.5</v>
      </c>
    </row>
    <row r="77" spans="1:10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  <c r="I77" s="107">
        <f>Table21[[#This Row],[Qs (W)]]/Table21[[#This Row],[Occ]]</f>
        <v>48.300000000000004</v>
      </c>
      <c r="J77" s="107">
        <f>Table21[[#This Row],[Ql (W)]]/Table21[[#This Row],[Occ]]</f>
        <v>17.5</v>
      </c>
    </row>
    <row r="78" spans="1:10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  <c r="I78" s="107">
        <f>Table21[[#This Row],[Qs (W)]]/Table21[[#This Row],[Occ]]</f>
        <v>55.2</v>
      </c>
      <c r="J78" s="107">
        <f>Table21[[#This Row],[Ql (W)]]/Table21[[#This Row],[Occ]]</f>
        <v>40</v>
      </c>
    </row>
    <row r="79" spans="1:10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  <c r="I79" s="107">
        <f>Table21[[#This Row],[Qs (W)]]/Table21[[#This Row],[Occ]]</f>
        <v>69</v>
      </c>
      <c r="J79" s="107">
        <f>Table21[[#This Row],[Ql (W)]]/Table21[[#This Row],[Occ]]</f>
        <v>75</v>
      </c>
    </row>
    <row r="80" spans="1:10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  <c r="I80" s="107">
        <f>Table21[[#This Row],[Qs (W)]]/Table21[[#This Row],[Occ]]</f>
        <v>55.199999999999996</v>
      </c>
      <c r="J80" s="107">
        <f>Table21[[#This Row],[Ql (W)]]/Table21[[#This Row],[Occ]]</f>
        <v>40</v>
      </c>
    </row>
    <row r="81" spans="1:10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  <c r="I81" s="107">
        <f>Table21[[#This Row],[Qs (W)]]/Table21[[#This Row],[Occ]]</f>
        <v>55.2</v>
      </c>
      <c r="J81" s="107">
        <f>Table21[[#This Row],[Ql (W)]]/Table21[[#This Row],[Occ]]</f>
        <v>40</v>
      </c>
    </row>
    <row r="82" spans="1:10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  <c r="I82" s="107">
        <f>Table21[[#This Row],[Qs (W)]]/Table21[[#This Row],[Occ]]</f>
        <v>69</v>
      </c>
      <c r="J82" s="107">
        <f>Table21[[#This Row],[Ql (W)]]/Table21[[#This Row],[Occ]]</f>
        <v>75</v>
      </c>
    </row>
    <row r="83" spans="1:10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  <c r="I83" s="107">
        <f>Table21[[#This Row],[Qs (W)]]/Table21[[#This Row],[Occ]]</f>
        <v>69</v>
      </c>
      <c r="J83" s="107">
        <f>Table21[[#This Row],[Ql (W)]]/Table21[[#This Row],[Occ]]</f>
        <v>75</v>
      </c>
    </row>
    <row r="84" spans="1:10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  <c r="I84" s="107">
        <f>Table21[[#This Row],[Qs (W)]]/Table21[[#This Row],[Occ]]</f>
        <v>69</v>
      </c>
      <c r="J84" s="107">
        <f>Table21[[#This Row],[Ql (W)]]/Table21[[#This Row],[Occ]]</f>
        <v>75</v>
      </c>
    </row>
    <row r="85" spans="1:10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  <c r="I85" s="107">
        <f>Table21[[#This Row],[Qs (W)]]/Table21[[#This Row],[Occ]]</f>
        <v>69</v>
      </c>
      <c r="J85" s="107">
        <f>Table21[[#This Row],[Ql (W)]]/Table21[[#This Row],[Occ]]</f>
        <v>75</v>
      </c>
    </row>
    <row r="86" spans="1:10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  <c r="I86" s="107">
        <f>Table21[[#This Row],[Qs (W)]]/Table21[[#This Row],[Occ]]</f>
        <v>55.2</v>
      </c>
      <c r="J86" s="107">
        <f>Table21[[#This Row],[Ql (W)]]/Table21[[#This Row],[Occ]]</f>
        <v>40</v>
      </c>
    </row>
    <row r="87" spans="1:10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  <c r="I87" s="107">
        <f>Table21[[#This Row],[Qs (W)]]/Table21[[#This Row],[Occ]]</f>
        <v>75.900000000000006</v>
      </c>
      <c r="J87" s="107">
        <f>Table21[[#This Row],[Ql (W)]]/Table21[[#This Row],[Occ]]</f>
        <v>67.5</v>
      </c>
    </row>
    <row r="88" spans="1:10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  <c r="I88" s="107">
        <f>Table21[[#This Row],[Qs (W)]]/Table21[[#This Row],[Occ]]</f>
        <v>69</v>
      </c>
      <c r="J88" s="107">
        <f>Table21[[#This Row],[Ql (W)]]/Table21[[#This Row],[Occ]]</f>
        <v>75</v>
      </c>
    </row>
    <row r="89" spans="1:10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  <c r="I89" s="109">
        <f>Table21[[#This Row],[Qs (W)]]/Table21[[#This Row],[Occ]]</f>
        <v>48.300000000000004</v>
      </c>
      <c r="J89" s="109">
        <f>Table21[[#This Row],[Ql (W)]]/Table21[[#This Row],[Occ]]</f>
        <v>17.5</v>
      </c>
    </row>
    <row r="90" spans="1:10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10" ht="15" thickBot="1" x14ac:dyDescent="0.35">
      <c r="F91" s="193" t="s">
        <v>161</v>
      </c>
      <c r="G91" s="193"/>
      <c r="H91" s="128">
        <f>G90+H90</f>
        <v>15197.8</v>
      </c>
    </row>
    <row r="93" spans="1:10" ht="23.4" x14ac:dyDescent="0.45">
      <c r="A93" s="168" t="s">
        <v>59</v>
      </c>
      <c r="B93" s="168"/>
      <c r="C93" s="168"/>
      <c r="D93" s="168"/>
      <c r="E93" s="168"/>
      <c r="F93" s="168"/>
      <c r="G93" s="168"/>
      <c r="H93" s="168"/>
      <c r="I93" s="106"/>
    </row>
    <row r="94" spans="1:10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  <c r="I94" s="101" t="s">
        <v>557</v>
      </c>
      <c r="J94" s="101" t="s">
        <v>558</v>
      </c>
    </row>
    <row r="95" spans="1:10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  <c r="I95" s="196">
        <f>Table20[[#This Row],[Qs (W)]]/Table20[[#This Row],[Occ]]</f>
        <v>48.3</v>
      </c>
      <c r="J95" s="196">
        <f>Table20[[#This Row],[Ql (W)]]/Table20[[#This Row],[Occ]]</f>
        <v>16.100000000000001</v>
      </c>
    </row>
    <row r="96" spans="1:10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  <c r="I96" s="107">
        <f>Table20[[#This Row],[Qs (W)]]/Table20[[#This Row],[Occ]]</f>
        <v>48.3</v>
      </c>
      <c r="J96" s="107">
        <f>Table20[[#This Row],[Ql (W)]]/Table20[[#This Row],[Occ]]</f>
        <v>16.100000000000001</v>
      </c>
    </row>
    <row r="97" spans="1:10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  <c r="I97" s="107">
        <f>Table20[[#This Row],[Qs (W)]]/Table20[[#This Row],[Occ]]</f>
        <v>48.3</v>
      </c>
      <c r="J97" s="107">
        <f>Table20[[#This Row],[Ql (W)]]/Table20[[#This Row],[Occ]]</f>
        <v>16.100000000000001</v>
      </c>
    </row>
    <row r="98" spans="1:10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  <c r="I98" s="107">
        <f>Table20[[#This Row],[Qs (W)]]/Table20[[#This Row],[Occ]]</f>
        <v>48.3</v>
      </c>
      <c r="J98" s="107">
        <f>Table20[[#This Row],[Ql (W)]]/Table20[[#This Row],[Occ]]</f>
        <v>16.100000000000001</v>
      </c>
    </row>
    <row r="99" spans="1:10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  <c r="I99" s="107">
        <f>Table20[[#This Row],[Qs (W)]]/Table20[[#This Row],[Occ]]</f>
        <v>48.300000000000004</v>
      </c>
      <c r="J99" s="107">
        <f>Table20[[#This Row],[Ql (W)]]/Table20[[#This Row],[Occ]]</f>
        <v>16.100000000000001</v>
      </c>
    </row>
    <row r="100" spans="1:10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  <c r="I100" s="107">
        <f>Table20[[#This Row],[Qs (W)]]/Table20[[#This Row],[Occ]]</f>
        <v>48.300000000000004</v>
      </c>
      <c r="J100" s="107">
        <f>Table20[[#This Row],[Ql (W)]]/Table20[[#This Row],[Occ]]</f>
        <v>16.100000000000001</v>
      </c>
    </row>
    <row r="101" spans="1:10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  <c r="I101" s="107">
        <f>Table20[[#This Row],[Qs (W)]]/Table20[[#This Row],[Occ]]</f>
        <v>48.300000000000004</v>
      </c>
      <c r="J101" s="107">
        <f>Table20[[#This Row],[Ql (W)]]/Table20[[#This Row],[Occ]]</f>
        <v>16.100000000000001</v>
      </c>
    </row>
    <row r="102" spans="1:10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  <c r="I102" s="107">
        <f>Table20[[#This Row],[Qs (W)]]/Table20[[#This Row],[Occ]]</f>
        <v>75.900000000000006</v>
      </c>
      <c r="J102" s="107">
        <f>Table20[[#This Row],[Ql (W)]]/Table20[[#This Row],[Occ]]</f>
        <v>62.100000000000009</v>
      </c>
    </row>
    <row r="103" spans="1:10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  <c r="I103" s="107">
        <f>Table20[[#This Row],[Qs (W)]]/Table20[[#This Row],[Occ]]</f>
        <v>55.2</v>
      </c>
      <c r="J103" s="107">
        <f>Table20[[#This Row],[Ql (W)]]/Table20[[#This Row],[Occ]]</f>
        <v>36.800000000000004</v>
      </c>
    </row>
    <row r="104" spans="1:10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  <c r="I104" s="107">
        <f>Table20[[#This Row],[Qs (W)]]/Table20[[#This Row],[Occ]]</f>
        <v>48.300000000000004</v>
      </c>
      <c r="J104" s="107">
        <f>Table20[[#This Row],[Ql (W)]]/Table20[[#This Row],[Occ]]</f>
        <v>16.100000000000001</v>
      </c>
    </row>
    <row r="105" spans="1:10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  <c r="I105" s="107">
        <f>Table20[[#This Row],[Qs (W)]]/Table20[[#This Row],[Occ]]</f>
        <v>48.300000000000004</v>
      </c>
      <c r="J105" s="107">
        <f>Table20[[#This Row],[Ql (W)]]/Table20[[#This Row],[Occ]]</f>
        <v>16.100000000000001</v>
      </c>
    </row>
    <row r="106" spans="1:10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  <c r="I106" s="107">
        <f>Table20[[#This Row],[Qs (W)]]/Table20[[#This Row],[Occ]]</f>
        <v>48.300000000000004</v>
      </c>
      <c r="J106" s="107">
        <f>Table20[[#This Row],[Ql (W)]]/Table20[[#This Row],[Occ]]</f>
        <v>16.100000000000001</v>
      </c>
    </row>
    <row r="107" spans="1:10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  <c r="I107" s="107">
        <f>Table20[[#This Row],[Qs (W)]]/Table20[[#This Row],[Occ]]</f>
        <v>48.300000000000004</v>
      </c>
      <c r="J107" s="107">
        <f>Table20[[#This Row],[Ql (W)]]/Table20[[#This Row],[Occ]]</f>
        <v>16.100000000000001</v>
      </c>
    </row>
    <row r="108" spans="1:10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  <c r="I108" s="107">
        <f>Table20[[#This Row],[Qs (W)]]/Table20[[#This Row],[Occ]]</f>
        <v>48.300000000000004</v>
      </c>
      <c r="J108" s="107">
        <f>Table20[[#This Row],[Ql (W)]]/Table20[[#This Row],[Occ]]</f>
        <v>16.100000000000001</v>
      </c>
    </row>
    <row r="109" spans="1:10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  <c r="I109" s="107">
        <f>Table20[[#This Row],[Qs (W)]]/Table20[[#This Row],[Occ]]</f>
        <v>48.300000000000004</v>
      </c>
      <c r="J109" s="107">
        <f>Table20[[#This Row],[Ql (W)]]/Table20[[#This Row],[Occ]]</f>
        <v>16.100000000000001</v>
      </c>
    </row>
    <row r="110" spans="1:10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  <c r="I110" s="107">
        <f>Table20[[#This Row],[Qs (W)]]/Table20[[#This Row],[Occ]]</f>
        <v>48.300000000000004</v>
      </c>
      <c r="J110" s="107">
        <f>Table20[[#This Row],[Ql (W)]]/Table20[[#This Row],[Occ]]</f>
        <v>16.100000000000001</v>
      </c>
    </row>
    <row r="111" spans="1:10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  <c r="I111" s="107">
        <f>Table20[[#This Row],[Qs (W)]]/Table20[[#This Row],[Occ]]</f>
        <v>48.300000000000004</v>
      </c>
      <c r="J111" s="107">
        <f>Table20[[#This Row],[Ql (W)]]/Table20[[#This Row],[Occ]]</f>
        <v>16.100000000000001</v>
      </c>
    </row>
    <row r="112" spans="1:10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  <c r="I112" s="107">
        <f>Table20[[#This Row],[Qs (W)]]/Table20[[#This Row],[Occ]]</f>
        <v>48.300000000000004</v>
      </c>
      <c r="J112" s="107">
        <f>Table20[[#This Row],[Ql (W)]]/Table20[[#This Row],[Occ]]</f>
        <v>16.100000000000001</v>
      </c>
    </row>
    <row r="113" spans="1:10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  <c r="I113" s="107">
        <f>Table20[[#This Row],[Qs (W)]]/Table20[[#This Row],[Occ]]</f>
        <v>48.300000000000004</v>
      </c>
      <c r="J113" s="107">
        <f>Table20[[#This Row],[Ql (W)]]/Table20[[#This Row],[Occ]]</f>
        <v>16.100000000000001</v>
      </c>
    </row>
    <row r="114" spans="1:10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  <c r="I114" s="107">
        <f>Table20[[#This Row],[Qs (W)]]/Table20[[#This Row],[Occ]]</f>
        <v>48.300000000000004</v>
      </c>
      <c r="J114" s="107">
        <f>Table20[[#This Row],[Ql (W)]]/Table20[[#This Row],[Occ]]</f>
        <v>16.100000000000001</v>
      </c>
    </row>
    <row r="115" spans="1:10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  <c r="I115" s="107">
        <f>Table20[[#This Row],[Qs (W)]]/Table20[[#This Row],[Occ]]</f>
        <v>48.300000000000004</v>
      </c>
      <c r="J115" s="107">
        <f>Table20[[#This Row],[Ql (W)]]/Table20[[#This Row],[Occ]]</f>
        <v>16.100000000000001</v>
      </c>
    </row>
    <row r="116" spans="1:10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  <c r="I116" s="107">
        <f>Table20[[#This Row],[Qs (W)]]/Table20[[#This Row],[Occ]]</f>
        <v>48.300000000000004</v>
      </c>
      <c r="J116" s="107">
        <f>Table20[[#This Row],[Ql (W)]]/Table20[[#This Row],[Occ]]</f>
        <v>16.100000000000001</v>
      </c>
    </row>
    <row r="117" spans="1:10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  <c r="I117" s="107">
        <f>Table20[[#This Row],[Qs (W)]]/Table20[[#This Row],[Occ]]</f>
        <v>48.300000000000004</v>
      </c>
      <c r="J117" s="107">
        <f>Table20[[#This Row],[Ql (W)]]/Table20[[#This Row],[Occ]]</f>
        <v>16.100000000000001</v>
      </c>
    </row>
    <row r="118" spans="1:10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  <c r="I118" s="107">
        <f>Table20[[#This Row],[Qs (W)]]/Table20[[#This Row],[Occ]]</f>
        <v>48.300000000000004</v>
      </c>
      <c r="J118" s="107">
        <f>Table20[[#This Row],[Ql (W)]]/Table20[[#This Row],[Occ]]</f>
        <v>16.100000000000001</v>
      </c>
    </row>
    <row r="119" spans="1:10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  <c r="I119" s="107">
        <f>Table20[[#This Row],[Qs (W)]]/Table20[[#This Row],[Occ]]</f>
        <v>48.300000000000004</v>
      </c>
      <c r="J119" s="107">
        <f>Table20[[#This Row],[Ql (W)]]/Table20[[#This Row],[Occ]]</f>
        <v>16.100000000000001</v>
      </c>
    </row>
    <row r="120" spans="1:10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  <c r="I120" s="107">
        <f>Table20[[#This Row],[Qs (W)]]/Table20[[#This Row],[Occ]]</f>
        <v>48.300000000000004</v>
      </c>
      <c r="J120" s="107">
        <f>Table20[[#This Row],[Ql (W)]]/Table20[[#This Row],[Occ]]</f>
        <v>16.100000000000001</v>
      </c>
    </row>
    <row r="121" spans="1:10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  <c r="I121" s="107">
        <f>Table20[[#This Row],[Qs (W)]]/Table20[[#This Row],[Occ]]</f>
        <v>75.900000000000006</v>
      </c>
      <c r="J121" s="107">
        <f>Table20[[#This Row],[Ql (W)]]/Table20[[#This Row],[Occ]]</f>
        <v>62.1</v>
      </c>
    </row>
    <row r="122" spans="1:10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  <c r="I122" s="107">
        <f>Table20[[#This Row],[Qs (W)]]/Table20[[#This Row],[Occ]]</f>
        <v>75.900000000000006</v>
      </c>
      <c r="J122" s="107">
        <f>Table20[[#This Row],[Ql (W)]]/Table20[[#This Row],[Occ]]</f>
        <v>62.1</v>
      </c>
    </row>
    <row r="123" spans="1:10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  <c r="I123" s="107">
        <f>Table20[[#This Row],[Qs (W)]]/Table20[[#This Row],[Occ]]</f>
        <v>75.900000000000006</v>
      </c>
      <c r="J123" s="107">
        <f>Table20[[#This Row],[Ql (W)]]/Table20[[#This Row],[Occ]]</f>
        <v>62.1</v>
      </c>
    </row>
    <row r="124" spans="1:10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  <c r="I124" s="107">
        <f>Table20[[#This Row],[Qs (W)]]/Table20[[#This Row],[Occ]]</f>
        <v>55.199999999999996</v>
      </c>
      <c r="J124" s="107">
        <f>Table20[[#This Row],[Ql (W)]]/Table20[[#This Row],[Occ]]</f>
        <v>36.800000000000004</v>
      </c>
    </row>
    <row r="125" spans="1:10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  <c r="I125" s="107">
        <f>Table20[[#This Row],[Qs (W)]]/Table20[[#This Row],[Occ]]</f>
        <v>48.300000000000004</v>
      </c>
      <c r="J125" s="107">
        <f>Table20[[#This Row],[Ql (W)]]/Table20[[#This Row],[Occ]]</f>
        <v>16.100000000000001</v>
      </c>
    </row>
    <row r="126" spans="1:10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  <c r="I126" s="109">
        <f>Table20[[#This Row],[Qs (W)]]/Table20[[#This Row],[Occ]]</f>
        <v>48.300000000000004</v>
      </c>
      <c r="J126" s="109">
        <f>Table20[[#This Row],[Ql (W)]]/Table20[[#This Row],[Occ]]</f>
        <v>16.100000000000001</v>
      </c>
    </row>
    <row r="127" spans="1:10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10" ht="15" thickBot="1" x14ac:dyDescent="0.35">
      <c r="F128" s="193" t="s">
        <v>534</v>
      </c>
      <c r="G128" s="193"/>
      <c r="H128" s="128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zoomScale="85" zoomScaleNormal="85" workbookViewId="0">
      <selection activeCell="B197" sqref="B197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169" t="s">
        <v>535</v>
      </c>
      <c r="B1" s="169"/>
      <c r="C1" s="169"/>
      <c r="D1" s="169"/>
      <c r="E1" s="169"/>
      <c r="F1" s="169"/>
      <c r="G1" s="169"/>
      <c r="H1" s="129"/>
      <c r="I1" s="111"/>
    </row>
    <row r="2" spans="1:16" ht="24" thickBot="1" x14ac:dyDescent="0.5">
      <c r="A2" s="194" t="s">
        <v>160</v>
      </c>
      <c r="B2" s="194"/>
      <c r="C2" s="194"/>
      <c r="D2" s="194"/>
      <c r="E2" s="194"/>
      <c r="F2" s="194"/>
      <c r="G2" s="194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70" t="s">
        <v>539</v>
      </c>
      <c r="L3" s="170"/>
      <c r="M3" s="170"/>
      <c r="N3" s="170"/>
      <c r="O3" s="170"/>
      <c r="P3" s="170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71"/>
      <c r="L4" s="171"/>
      <c r="M4" s="171"/>
      <c r="N4" s="171" t="s">
        <v>430</v>
      </c>
      <c r="O4" s="171"/>
      <c r="P4" s="171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72" t="s">
        <v>160</v>
      </c>
      <c r="L5" s="172"/>
      <c r="M5" s="172"/>
      <c r="N5" s="172">
        <f>G63</f>
        <v>1147.9227799999999</v>
      </c>
      <c r="O5" s="172"/>
      <c r="P5" s="172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72" t="s">
        <v>41</v>
      </c>
      <c r="L6" s="172"/>
      <c r="M6" s="172"/>
      <c r="N6" s="172">
        <f>G137</f>
        <v>1229.8197599999994</v>
      </c>
      <c r="O6" s="172"/>
      <c r="P6" s="172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72" t="s">
        <v>59</v>
      </c>
      <c r="L7" s="172"/>
      <c r="M7" s="172"/>
      <c r="N7" s="172">
        <f>G201</f>
        <v>1068.55</v>
      </c>
      <c r="O7" s="172"/>
      <c r="P7" s="172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73" t="s">
        <v>540</v>
      </c>
      <c r="L8" s="173"/>
      <c r="M8" s="173"/>
      <c r="N8" s="186">
        <f>N5+N6+N7</f>
        <v>3446.2925399999995</v>
      </c>
      <c r="O8" s="187"/>
      <c r="P8" s="188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73"/>
      <c r="L9" s="173"/>
      <c r="M9" s="173"/>
      <c r="N9" s="189"/>
      <c r="O9" s="190"/>
      <c r="P9" s="191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194" t="s">
        <v>41</v>
      </c>
      <c r="B65" s="194"/>
      <c r="C65" s="194"/>
      <c r="D65" s="194"/>
      <c r="E65" s="194"/>
      <c r="F65" s="194"/>
      <c r="G65" s="194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29" priority="7" operator="equal">
      <formula>$J$1</formula>
    </cfRule>
  </conditionalFormatting>
  <conditionalFormatting sqref="D135:G136 D67:H134 C67:C136">
    <cfRule type="cellIs" dxfId="28" priority="6" operator="equal">
      <formula>$I$65</formula>
    </cfRule>
  </conditionalFormatting>
  <conditionalFormatting sqref="D141:H200">
    <cfRule type="cellIs" dxfId="27" priority="5" operator="equal">
      <formula>$J$182</formula>
    </cfRule>
  </conditionalFormatting>
  <conditionalFormatting sqref="C141:C200">
    <cfRule type="cellIs" dxfId="26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2019-11-11T03:24:47Z</dcterms:modified>
</cp:coreProperties>
</file>