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School\Aircon\Aircon\Excel\"/>
    </mc:Choice>
  </mc:AlternateContent>
  <xr:revisionPtr revIDLastSave="0" documentId="13_ncr:1_{C1889DC2-1610-4B02-A938-503EA4BDB89C}" xr6:coauthVersionLast="45" xr6:coauthVersionMax="45" xr10:uidLastSave="{00000000-0000-0000-0000-000000000000}"/>
  <bookViews>
    <workbookView xWindow="-120" yWindow="-120" windowWidth="29040" windowHeight="15990" firstSheet="2" activeTab="9" xr2:uid="{00000000-000D-0000-FFFF-FFFF00000000}"/>
  </bookViews>
  <sheets>
    <sheet name="EXTERNAL WALL LOAD" sheetId="1" r:id="rId1"/>
    <sheet name="GLASS LOAD" sheetId="2" r:id="rId2"/>
    <sheet name="INFILTRATION LOAD" sheetId="3" r:id="rId3"/>
    <sheet name="MISCELLANEOUS LOAD" sheetId="5" r:id="rId4"/>
    <sheet name="ROOF LOAD" sheetId="6" r:id="rId5"/>
    <sheet name="PARTITION LOAD" sheetId="7" r:id="rId6"/>
    <sheet name="VENTILATION LOAD" sheetId="8" r:id="rId7"/>
    <sheet name="OCCUPANT LOAD" sheetId="9" r:id="rId8"/>
    <sheet name="Sheet3" sheetId="10" r:id="rId9"/>
    <sheet name="Sheet4" sheetId="11" r:id="rId10"/>
    <sheet name="References" sheetId="4" r:id="rId11"/>
  </sheets>
  <definedNames>
    <definedName name="_xlnm._FilterDatabase" localSheetId="0" hidden="1">'EXTERNAL WALL LOAD'!$A$88:$L$130</definedName>
    <definedName name="_xlnm._FilterDatabase" localSheetId="7" hidden="1">'OCCUPANT LOAD'!$A$3:$H$40</definedName>
    <definedName name="_xlnm._FilterDatabase" localSheetId="10" hidden="1">References!$A$4:$B$36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6" i="11" l="1"/>
  <c r="D186" i="11"/>
  <c r="D185" i="11"/>
  <c r="G185" i="11" s="1"/>
  <c r="D184" i="11"/>
  <c r="G184" i="11" s="1"/>
  <c r="D183" i="11"/>
  <c r="G183" i="11" s="1"/>
  <c r="D182" i="11"/>
  <c r="G182" i="11" s="1"/>
  <c r="D181" i="11"/>
  <c r="G181" i="11" s="1"/>
  <c r="G180" i="11"/>
  <c r="D180" i="11"/>
  <c r="D179" i="11"/>
  <c r="G179" i="11" s="1"/>
  <c r="D178" i="11"/>
  <c r="G178" i="11" s="1"/>
  <c r="D177" i="11"/>
  <c r="G177" i="11" s="1"/>
  <c r="D176" i="11"/>
  <c r="G176" i="11" s="1"/>
  <c r="D175" i="11"/>
  <c r="G175" i="11" s="1"/>
  <c r="G174" i="11"/>
  <c r="D174" i="11"/>
  <c r="D173" i="11"/>
  <c r="G173" i="11" s="1"/>
  <c r="D172" i="11"/>
  <c r="G172" i="11" s="1"/>
  <c r="D171" i="11"/>
  <c r="G171" i="11" s="1"/>
  <c r="D170" i="11"/>
  <c r="G170" i="11" s="1"/>
  <c r="D169" i="11"/>
  <c r="G169" i="11" s="1"/>
  <c r="G168" i="11"/>
  <c r="D168" i="11"/>
  <c r="D167" i="11"/>
  <c r="G167" i="11" s="1"/>
  <c r="D166" i="11"/>
  <c r="G166" i="11" s="1"/>
  <c r="D165" i="11"/>
  <c r="G165" i="11" s="1"/>
  <c r="D164" i="11"/>
  <c r="G164" i="11" s="1"/>
  <c r="D163" i="11"/>
  <c r="G163" i="11" s="1"/>
  <c r="G162" i="11"/>
  <c r="D162" i="11"/>
  <c r="D161" i="11"/>
  <c r="G161" i="11" s="1"/>
  <c r="D160" i="11"/>
  <c r="G160" i="11" s="1"/>
  <c r="D159" i="11"/>
  <c r="G159" i="11" s="1"/>
  <c r="D158" i="11"/>
  <c r="G158" i="11" s="1"/>
  <c r="D157" i="11"/>
  <c r="G157" i="11" s="1"/>
  <c r="G156" i="11"/>
  <c r="D156" i="11"/>
  <c r="D155" i="11"/>
  <c r="G155" i="11" s="1"/>
  <c r="D154" i="11"/>
  <c r="G154" i="11" s="1"/>
  <c r="D153" i="11"/>
  <c r="G153" i="11" s="1"/>
  <c r="D152" i="11"/>
  <c r="G152" i="11" s="1"/>
  <c r="D151" i="11"/>
  <c r="G151" i="11" s="1"/>
  <c r="G150" i="11"/>
  <c r="D150" i="11"/>
  <c r="D149" i="11"/>
  <c r="G149" i="11" s="1"/>
  <c r="D148" i="11"/>
  <c r="G148" i="11" s="1"/>
  <c r="D147" i="11"/>
  <c r="G147" i="11" s="1"/>
  <c r="D146" i="11"/>
  <c r="G146" i="11" s="1"/>
  <c r="D145" i="11"/>
  <c r="G145" i="11" s="1"/>
  <c r="G144" i="11"/>
  <c r="D144" i="11"/>
  <c r="D143" i="11"/>
  <c r="G143" i="11" s="1"/>
  <c r="D142" i="11"/>
  <c r="G142" i="11" s="1"/>
  <c r="D141" i="11"/>
  <c r="G141" i="11" s="1"/>
  <c r="D140" i="11"/>
  <c r="G140" i="11" s="1"/>
  <c r="D139" i="11"/>
  <c r="G139" i="11" s="1"/>
  <c r="G138" i="11"/>
  <c r="D138" i="11"/>
  <c r="D137" i="11"/>
  <c r="G137" i="11" s="1"/>
  <c r="D136" i="11"/>
  <c r="G136" i="11" s="1"/>
  <c r="D135" i="11"/>
  <c r="G135" i="11" s="1"/>
  <c r="D134" i="11"/>
  <c r="G134" i="11" s="1"/>
  <c r="D133" i="11"/>
  <c r="G133" i="11" s="1"/>
  <c r="G132" i="11"/>
  <c r="D132" i="11"/>
  <c r="D131" i="11"/>
  <c r="G131" i="11" s="1"/>
  <c r="D130" i="11"/>
  <c r="G130" i="11" s="1"/>
  <c r="D129" i="11"/>
  <c r="G129" i="11" s="1"/>
  <c r="D128" i="11"/>
  <c r="G128" i="11" s="1"/>
  <c r="G123" i="11"/>
  <c r="D123" i="11"/>
  <c r="D122" i="11"/>
  <c r="G122" i="11" s="1"/>
  <c r="G121" i="11"/>
  <c r="D121" i="11"/>
  <c r="D120" i="11"/>
  <c r="G120" i="11" s="1"/>
  <c r="D119" i="11"/>
  <c r="G119" i="11" s="1"/>
  <c r="D118" i="11"/>
  <c r="G118" i="11" s="1"/>
  <c r="G117" i="11"/>
  <c r="D117" i="11"/>
  <c r="D116" i="11"/>
  <c r="G116" i="11" s="1"/>
  <c r="G115" i="11"/>
  <c r="D115" i="11"/>
  <c r="D114" i="11"/>
  <c r="G114" i="11" s="1"/>
  <c r="D113" i="11"/>
  <c r="G113" i="11" s="1"/>
  <c r="D112" i="11"/>
  <c r="G112" i="11" s="1"/>
  <c r="G111" i="11"/>
  <c r="D111" i="11"/>
  <c r="D110" i="11"/>
  <c r="G110" i="11" s="1"/>
  <c r="G109" i="11"/>
  <c r="D109" i="11"/>
  <c r="D108" i="11"/>
  <c r="G108" i="11" s="1"/>
  <c r="D107" i="11"/>
  <c r="G107" i="11" s="1"/>
  <c r="D106" i="11"/>
  <c r="G106" i="11" s="1"/>
  <c r="G105" i="11"/>
  <c r="D105" i="11"/>
  <c r="D104" i="11"/>
  <c r="G104" i="11" s="1"/>
  <c r="G103" i="11"/>
  <c r="D103" i="11"/>
  <c r="D102" i="11"/>
  <c r="G102" i="11" s="1"/>
  <c r="D101" i="11"/>
  <c r="G101" i="11" s="1"/>
  <c r="D100" i="11"/>
  <c r="G100" i="11" s="1"/>
  <c r="G99" i="11"/>
  <c r="D99" i="11"/>
  <c r="D98" i="11"/>
  <c r="G98" i="11" s="1"/>
  <c r="G97" i="11"/>
  <c r="D97" i="11"/>
  <c r="D96" i="11"/>
  <c r="G96" i="11" s="1"/>
  <c r="D95" i="11"/>
  <c r="G95" i="11" s="1"/>
  <c r="D94" i="11"/>
  <c r="G94" i="11" s="1"/>
  <c r="G93" i="11"/>
  <c r="D93" i="11"/>
  <c r="D92" i="11"/>
  <c r="G92" i="11" s="1"/>
  <c r="G91" i="11"/>
  <c r="D91" i="11"/>
  <c r="D90" i="11"/>
  <c r="G90" i="11" s="1"/>
  <c r="D89" i="11"/>
  <c r="G89" i="11" s="1"/>
  <c r="D88" i="11"/>
  <c r="G88" i="11" s="1"/>
  <c r="G87" i="11"/>
  <c r="D87" i="11"/>
  <c r="D86" i="11"/>
  <c r="G86" i="11" s="1"/>
  <c r="G85" i="11"/>
  <c r="D85" i="11"/>
  <c r="D84" i="11"/>
  <c r="G84" i="11" s="1"/>
  <c r="D83" i="11"/>
  <c r="G83" i="11" s="1"/>
  <c r="D82" i="11"/>
  <c r="G82" i="11" s="1"/>
  <c r="G81" i="11"/>
  <c r="D81" i="11"/>
  <c r="D80" i="11"/>
  <c r="G80" i="11" s="1"/>
  <c r="G79" i="11"/>
  <c r="D79" i="11"/>
  <c r="D78" i="11"/>
  <c r="G78" i="11" s="1"/>
  <c r="D77" i="11"/>
  <c r="G77" i="11" s="1"/>
  <c r="D76" i="11"/>
  <c r="G76" i="11" s="1"/>
  <c r="G75" i="11"/>
  <c r="D75" i="11"/>
  <c r="D74" i="11"/>
  <c r="G74" i="11" s="1"/>
  <c r="G73" i="11"/>
  <c r="D73" i="11"/>
  <c r="D72" i="11"/>
  <c r="G72" i="11" s="1"/>
  <c r="D71" i="11"/>
  <c r="G71" i="11" s="1"/>
  <c r="D70" i="11"/>
  <c r="G70" i="11" s="1"/>
  <c r="G69" i="11"/>
  <c r="D69" i="11"/>
  <c r="D68" i="11"/>
  <c r="G68" i="11" s="1"/>
  <c r="G67" i="11"/>
  <c r="D67" i="11"/>
  <c r="D66" i="11"/>
  <c r="G66" i="11" s="1"/>
  <c r="D65" i="11"/>
  <c r="G65" i="11" s="1"/>
  <c r="D64" i="11"/>
  <c r="G64" i="11" s="1"/>
  <c r="G63" i="11"/>
  <c r="D63" i="11"/>
  <c r="D62" i="11"/>
  <c r="G62" i="11" s="1"/>
  <c r="G61" i="11"/>
  <c r="D61" i="11"/>
  <c r="D60" i="11"/>
  <c r="G60" i="11" s="1"/>
  <c r="G55" i="11"/>
  <c r="D55" i="11"/>
  <c r="D54" i="11"/>
  <c r="G54" i="11" s="1"/>
  <c r="D53" i="11"/>
  <c r="G53" i="11" s="1"/>
  <c r="D52" i="11"/>
  <c r="G52" i="11" s="1"/>
  <c r="D51" i="11"/>
  <c r="G51" i="11" s="1"/>
  <c r="D50" i="11"/>
  <c r="G50" i="11" s="1"/>
  <c r="G49" i="11"/>
  <c r="D49" i="11"/>
  <c r="D48" i="11"/>
  <c r="G48" i="11" s="1"/>
  <c r="D47" i="11"/>
  <c r="G47" i="11" s="1"/>
  <c r="D46" i="11"/>
  <c r="G46" i="11" s="1"/>
  <c r="D45" i="11"/>
  <c r="G45" i="11" s="1"/>
  <c r="D44" i="11"/>
  <c r="G44" i="11" s="1"/>
  <c r="G43" i="11"/>
  <c r="D43" i="11"/>
  <c r="D42" i="11"/>
  <c r="G42" i="11" s="1"/>
  <c r="D41" i="11"/>
  <c r="G41" i="11" s="1"/>
  <c r="D40" i="11"/>
  <c r="G40" i="11" s="1"/>
  <c r="D39" i="11"/>
  <c r="G39" i="11" s="1"/>
  <c r="D38" i="11"/>
  <c r="G38" i="11" s="1"/>
  <c r="G37" i="11"/>
  <c r="D37" i="11"/>
  <c r="D36" i="11"/>
  <c r="G36" i="11" s="1"/>
  <c r="D35" i="11"/>
  <c r="G35" i="11" s="1"/>
  <c r="D34" i="11"/>
  <c r="G34" i="11" s="1"/>
  <c r="D33" i="11"/>
  <c r="G33" i="11" s="1"/>
  <c r="D32" i="11"/>
  <c r="G32" i="11" s="1"/>
  <c r="G31" i="11"/>
  <c r="D31" i="11"/>
  <c r="D30" i="11"/>
  <c r="G30" i="11" s="1"/>
  <c r="D29" i="11"/>
  <c r="G29" i="11" s="1"/>
  <c r="D28" i="11"/>
  <c r="G28" i="11" s="1"/>
  <c r="D27" i="11"/>
  <c r="G27" i="11" s="1"/>
  <c r="D26" i="11"/>
  <c r="G26" i="11" s="1"/>
  <c r="G25" i="11"/>
  <c r="D25" i="11"/>
  <c r="D24" i="11"/>
  <c r="G24" i="11" s="1"/>
  <c r="D23" i="11"/>
  <c r="G23" i="11" s="1"/>
  <c r="D22" i="11"/>
  <c r="G22" i="11" s="1"/>
  <c r="D21" i="11"/>
  <c r="G21" i="11" s="1"/>
  <c r="D20" i="11"/>
  <c r="G20" i="11" s="1"/>
  <c r="G19" i="11"/>
  <c r="D19" i="11"/>
  <c r="D18" i="11"/>
  <c r="G18" i="11" s="1"/>
  <c r="G17" i="11"/>
  <c r="D17" i="11"/>
  <c r="D16" i="11"/>
  <c r="G16" i="11" s="1"/>
  <c r="D15" i="11"/>
  <c r="G15" i="11" s="1"/>
  <c r="D14" i="11"/>
  <c r="G14" i="11" s="1"/>
  <c r="G13" i="11"/>
  <c r="D13" i="11"/>
  <c r="D12" i="11"/>
  <c r="G12" i="11" s="1"/>
  <c r="D11" i="11"/>
  <c r="G11" i="11" s="1"/>
  <c r="D10" i="11"/>
  <c r="G10" i="11" s="1"/>
  <c r="D9" i="11"/>
  <c r="G9" i="11" s="1"/>
  <c r="D8" i="11"/>
  <c r="G8" i="11" s="1"/>
  <c r="G7" i="11"/>
  <c r="D7" i="11"/>
  <c r="D6" i="11"/>
  <c r="G6" i="11" s="1"/>
  <c r="D5" i="11"/>
  <c r="G5" i="11" s="1"/>
  <c r="D4" i="11"/>
  <c r="G4" i="11" s="1"/>
  <c r="F165" i="10" l="1"/>
  <c r="B164" i="10"/>
  <c r="F164" i="10" s="1"/>
  <c r="B163" i="10"/>
  <c r="F163" i="10" s="1"/>
  <c r="B162" i="10"/>
  <c r="F162" i="10" s="1"/>
  <c r="B161" i="10"/>
  <c r="F161" i="10" s="1"/>
  <c r="B160" i="10"/>
  <c r="F160" i="10" s="1"/>
  <c r="B159" i="10"/>
  <c r="F159" i="10" s="1"/>
  <c r="B158" i="10"/>
  <c r="F158" i="10" s="1"/>
  <c r="B157" i="10"/>
  <c r="F157" i="10" s="1"/>
  <c r="B156" i="10"/>
  <c r="F156" i="10" s="1"/>
  <c r="B155" i="10"/>
  <c r="F155" i="10" s="1"/>
  <c r="B154" i="10"/>
  <c r="F154" i="10" s="1"/>
  <c r="B153" i="10"/>
  <c r="F153" i="10" s="1"/>
  <c r="B152" i="10"/>
  <c r="F152" i="10" s="1"/>
  <c r="B151" i="10"/>
  <c r="F151" i="10" s="1"/>
  <c r="B150" i="10"/>
  <c r="F150" i="10" s="1"/>
  <c r="B149" i="10"/>
  <c r="F149" i="10" s="1"/>
  <c r="B148" i="10"/>
  <c r="F148" i="10" s="1"/>
  <c r="B147" i="10"/>
  <c r="F147" i="10" s="1"/>
  <c r="B146" i="10"/>
  <c r="F146" i="10" s="1"/>
  <c r="B145" i="10"/>
  <c r="F145" i="10" s="1"/>
  <c r="B144" i="10"/>
  <c r="F144" i="10" s="1"/>
  <c r="B143" i="10"/>
  <c r="F143" i="10" s="1"/>
  <c r="B142" i="10"/>
  <c r="F142" i="10" s="1"/>
  <c r="B141" i="10"/>
  <c r="F141" i="10" s="1"/>
  <c r="B140" i="10"/>
  <c r="F140" i="10" s="1"/>
  <c r="B139" i="10"/>
  <c r="F139" i="10" s="1"/>
  <c r="B138" i="10"/>
  <c r="F138" i="10" s="1"/>
  <c r="B137" i="10"/>
  <c r="F137" i="10" s="1"/>
  <c r="B136" i="10"/>
  <c r="F136" i="10" s="1"/>
  <c r="B135" i="10"/>
  <c r="F135" i="10" s="1"/>
  <c r="B134" i="10"/>
  <c r="F134" i="10" s="1"/>
  <c r="B133" i="10"/>
  <c r="F133" i="10" s="1"/>
  <c r="B132" i="10"/>
  <c r="F132" i="10" s="1"/>
  <c r="B131" i="10"/>
  <c r="F131" i="10" s="1"/>
  <c r="B130" i="10"/>
  <c r="F130" i="10" s="1"/>
  <c r="B129" i="10"/>
  <c r="F129" i="10" s="1"/>
  <c r="B128" i="10"/>
  <c r="F128" i="10" s="1"/>
  <c r="B127" i="10"/>
  <c r="F127" i="10" s="1"/>
  <c r="B126" i="10"/>
  <c r="F126" i="10" s="1"/>
  <c r="B125" i="10"/>
  <c r="F125" i="10" s="1"/>
  <c r="B124" i="10"/>
  <c r="F124" i="10" s="1"/>
  <c r="B123" i="10"/>
  <c r="F123" i="10" s="1"/>
  <c r="B122" i="10"/>
  <c r="F122" i="10" s="1"/>
  <c r="B117" i="10"/>
  <c r="F117" i="10" s="1"/>
  <c r="B116" i="10"/>
  <c r="F116" i="10" s="1"/>
  <c r="B115" i="10"/>
  <c r="F115" i="10" s="1"/>
  <c r="B114" i="10"/>
  <c r="F114" i="10" s="1"/>
  <c r="B113" i="10"/>
  <c r="F113" i="10" s="1"/>
  <c r="B112" i="10"/>
  <c r="F112" i="10" s="1"/>
  <c r="B111" i="10"/>
  <c r="F111" i="10" s="1"/>
  <c r="B110" i="10"/>
  <c r="F110" i="10" s="1"/>
  <c r="B109" i="10"/>
  <c r="F109" i="10" s="1"/>
  <c r="B108" i="10"/>
  <c r="F108" i="10" s="1"/>
  <c r="B107" i="10"/>
  <c r="F107" i="10" s="1"/>
  <c r="B106" i="10"/>
  <c r="F106" i="10" s="1"/>
  <c r="B105" i="10"/>
  <c r="F105" i="10" s="1"/>
  <c r="B104" i="10"/>
  <c r="F104" i="10" s="1"/>
  <c r="B103" i="10"/>
  <c r="F103" i="10" s="1"/>
  <c r="B102" i="10"/>
  <c r="F102" i="10" s="1"/>
  <c r="F101" i="10"/>
  <c r="B101" i="10"/>
  <c r="B100" i="10"/>
  <c r="F100" i="10" s="1"/>
  <c r="B99" i="10"/>
  <c r="F99" i="10" s="1"/>
  <c r="B98" i="10"/>
  <c r="F98" i="10" s="1"/>
  <c r="B97" i="10"/>
  <c r="F97" i="10" s="1"/>
  <c r="B96" i="10"/>
  <c r="F96" i="10" s="1"/>
  <c r="B95" i="10"/>
  <c r="F95" i="10" s="1"/>
  <c r="B94" i="10"/>
  <c r="F94" i="10" s="1"/>
  <c r="B93" i="10"/>
  <c r="F93" i="10" s="1"/>
  <c r="B92" i="10"/>
  <c r="F92" i="10" s="1"/>
  <c r="B91" i="10"/>
  <c r="F91" i="10" s="1"/>
  <c r="B90" i="10"/>
  <c r="F90" i="10" s="1"/>
  <c r="B89" i="10"/>
  <c r="F89" i="10" s="1"/>
  <c r="B88" i="10"/>
  <c r="F88" i="10" s="1"/>
  <c r="B87" i="10"/>
  <c r="F87" i="10" s="1"/>
  <c r="B86" i="10"/>
  <c r="F86" i="10" s="1"/>
  <c r="B85" i="10"/>
  <c r="F85" i="10" s="1"/>
  <c r="B84" i="10"/>
  <c r="F84" i="10" s="1"/>
  <c r="B83" i="10"/>
  <c r="F83" i="10" s="1"/>
  <c r="B82" i="10"/>
  <c r="F82" i="10" s="1"/>
  <c r="B81" i="10"/>
  <c r="F81" i="10" s="1"/>
  <c r="B80" i="10"/>
  <c r="F80" i="10" s="1"/>
  <c r="B79" i="10"/>
  <c r="F79" i="10" s="1"/>
  <c r="B78" i="10"/>
  <c r="F78" i="10" s="1"/>
  <c r="B77" i="10"/>
  <c r="F77" i="10" s="1"/>
  <c r="B76" i="10"/>
  <c r="F76" i="10" s="1"/>
  <c r="B75" i="10"/>
  <c r="F75" i="10" s="1"/>
  <c r="B74" i="10"/>
  <c r="F74" i="10" s="1"/>
  <c r="B73" i="10"/>
  <c r="F73" i="10" s="1"/>
  <c r="B72" i="10"/>
  <c r="F72" i="10" s="1"/>
  <c r="B71" i="10"/>
  <c r="F71" i="10" s="1"/>
  <c r="B70" i="10"/>
  <c r="F70" i="10" s="1"/>
  <c r="B69" i="10"/>
  <c r="F69" i="10" s="1"/>
  <c r="B68" i="10"/>
  <c r="F68" i="10" s="1"/>
  <c r="B67" i="10"/>
  <c r="F67" i="10" s="1"/>
  <c r="B62" i="10"/>
  <c r="F62" i="10" s="1"/>
  <c r="B61" i="10"/>
  <c r="F61" i="10" s="1"/>
  <c r="B60" i="10"/>
  <c r="F60" i="10" s="1"/>
  <c r="B59" i="10"/>
  <c r="F59" i="10" s="1"/>
  <c r="B58" i="10"/>
  <c r="F58" i="10" s="1"/>
  <c r="F57" i="10"/>
  <c r="B57" i="10"/>
  <c r="B56" i="10"/>
  <c r="F56" i="10" s="1"/>
  <c r="B55" i="10"/>
  <c r="F55" i="10" s="1"/>
  <c r="B54" i="10"/>
  <c r="F54" i="10" s="1"/>
  <c r="B53" i="10"/>
  <c r="F53" i="10" s="1"/>
  <c r="B52" i="10"/>
  <c r="F52" i="10" s="1"/>
  <c r="F51" i="10"/>
  <c r="B51" i="10"/>
  <c r="B50" i="10"/>
  <c r="F50" i="10" s="1"/>
  <c r="B49" i="10"/>
  <c r="F49" i="10" s="1"/>
  <c r="B48" i="10"/>
  <c r="F48" i="10" s="1"/>
  <c r="B47" i="10"/>
  <c r="F47" i="10" s="1"/>
  <c r="B46" i="10"/>
  <c r="F46" i="10" s="1"/>
  <c r="F45" i="10"/>
  <c r="B45" i="10"/>
  <c r="B44" i="10"/>
  <c r="F44" i="10" s="1"/>
  <c r="B43" i="10"/>
  <c r="F43" i="10" s="1"/>
  <c r="B42" i="10"/>
  <c r="F42" i="10" s="1"/>
  <c r="B41" i="10"/>
  <c r="F41" i="10" s="1"/>
  <c r="B40" i="10"/>
  <c r="F40" i="10" s="1"/>
  <c r="F39" i="10"/>
  <c r="B39" i="10"/>
  <c r="B38" i="10"/>
  <c r="F38" i="10" s="1"/>
  <c r="B37" i="10"/>
  <c r="F37" i="10" s="1"/>
  <c r="B36" i="10"/>
  <c r="F36" i="10" s="1"/>
  <c r="B35" i="10"/>
  <c r="F35" i="10" s="1"/>
  <c r="B34" i="10"/>
  <c r="F34" i="10" s="1"/>
  <c r="B33" i="10"/>
  <c r="F33" i="10" s="1"/>
  <c r="B32" i="10"/>
  <c r="F32" i="10" s="1"/>
  <c r="B31" i="10"/>
  <c r="F31" i="10" s="1"/>
  <c r="B30" i="10"/>
  <c r="F30" i="10" s="1"/>
  <c r="B29" i="10"/>
  <c r="F29" i="10" s="1"/>
  <c r="B28" i="10"/>
  <c r="F28" i="10" s="1"/>
  <c r="B27" i="10"/>
  <c r="F27" i="10" s="1"/>
  <c r="B26" i="10"/>
  <c r="F26" i="10" s="1"/>
  <c r="B25" i="10"/>
  <c r="F25" i="10" s="1"/>
  <c r="B24" i="10"/>
  <c r="F24" i="10" s="1"/>
  <c r="B23" i="10"/>
  <c r="F23" i="10" s="1"/>
  <c r="B22" i="10"/>
  <c r="F22" i="10" s="1"/>
  <c r="B21" i="10"/>
  <c r="F21" i="10" s="1"/>
  <c r="B20" i="10"/>
  <c r="F20" i="10" s="1"/>
  <c r="B19" i="10"/>
  <c r="F19" i="10" s="1"/>
  <c r="B18" i="10"/>
  <c r="F18" i="10" s="1"/>
  <c r="B17" i="10"/>
  <c r="F17" i="10" s="1"/>
  <c r="B16" i="10"/>
  <c r="F16" i="10" s="1"/>
  <c r="B15" i="10"/>
  <c r="F15" i="10" s="1"/>
  <c r="B14" i="10"/>
  <c r="F14" i="10" s="1"/>
  <c r="B13" i="10"/>
  <c r="F13" i="10" s="1"/>
  <c r="B12" i="10"/>
  <c r="F12" i="10" s="1"/>
  <c r="B11" i="10"/>
  <c r="F11" i="10" s="1"/>
  <c r="B10" i="10"/>
  <c r="F10" i="10" s="1"/>
  <c r="B9" i="10"/>
  <c r="F9" i="10" s="1"/>
  <c r="B8" i="10"/>
  <c r="F8" i="10" s="1"/>
  <c r="B7" i="10"/>
  <c r="F7" i="10" s="1"/>
  <c r="B6" i="10"/>
  <c r="F6" i="10" s="1"/>
  <c r="B5" i="10"/>
  <c r="F5" i="10" s="1"/>
  <c r="B4" i="10"/>
  <c r="F4" i="10" s="1"/>
  <c r="G45" i="9" l="1"/>
  <c r="H45" i="9"/>
  <c r="G46" i="9"/>
  <c r="H46" i="9"/>
  <c r="G47" i="9"/>
  <c r="H47" i="9"/>
  <c r="G48" i="9"/>
  <c r="H48" i="9"/>
  <c r="G49" i="9"/>
  <c r="H49" i="9"/>
  <c r="G50" i="9"/>
  <c r="H50" i="9"/>
  <c r="H123" i="9"/>
  <c r="G123" i="9"/>
  <c r="H122" i="9"/>
  <c r="G122" i="9"/>
  <c r="H121" i="9"/>
  <c r="G121" i="9"/>
  <c r="H120" i="9"/>
  <c r="G120" i="9"/>
  <c r="H119" i="9"/>
  <c r="G119" i="9"/>
  <c r="H118" i="9"/>
  <c r="G118" i="9"/>
  <c r="H117" i="9"/>
  <c r="G117" i="9"/>
  <c r="H116" i="9"/>
  <c r="G116" i="9"/>
  <c r="H115" i="9"/>
  <c r="G115" i="9"/>
  <c r="H114" i="9"/>
  <c r="G114" i="9"/>
  <c r="H113" i="9"/>
  <c r="G113" i="9"/>
  <c r="H112" i="9"/>
  <c r="G112" i="9"/>
  <c r="H111" i="9"/>
  <c r="G111" i="9"/>
  <c r="H110" i="9"/>
  <c r="G110" i="9"/>
  <c r="H109" i="9"/>
  <c r="G109" i="9"/>
  <c r="H108" i="9"/>
  <c r="G108" i="9"/>
  <c r="H107" i="9"/>
  <c r="G107" i="9"/>
  <c r="H106" i="9"/>
  <c r="G106" i="9"/>
  <c r="H105" i="9"/>
  <c r="G105" i="9"/>
  <c r="H104" i="9"/>
  <c r="G104" i="9"/>
  <c r="H103" i="9"/>
  <c r="G103" i="9"/>
  <c r="H102" i="9"/>
  <c r="G102" i="9"/>
  <c r="H101" i="9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H94" i="9"/>
  <c r="G94" i="9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51" i="9"/>
  <c r="G5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G123" i="8"/>
  <c r="C123" i="8"/>
  <c r="I123" i="8" s="1"/>
  <c r="G122" i="8"/>
  <c r="C122" i="8"/>
  <c r="I122" i="8" s="1"/>
  <c r="G121" i="8"/>
  <c r="C121" i="8"/>
  <c r="I121" i="8" s="1"/>
  <c r="G120" i="8"/>
  <c r="C120" i="8"/>
  <c r="I120" i="8" s="1"/>
  <c r="G119" i="8"/>
  <c r="C119" i="8"/>
  <c r="I119" i="8" s="1"/>
  <c r="G118" i="8"/>
  <c r="C118" i="8"/>
  <c r="I118" i="8" s="1"/>
  <c r="G117" i="8"/>
  <c r="C117" i="8"/>
  <c r="I117" i="8" s="1"/>
  <c r="G116" i="8"/>
  <c r="C116" i="8"/>
  <c r="I116" i="8" s="1"/>
  <c r="G115" i="8"/>
  <c r="C115" i="8"/>
  <c r="I115" i="8" s="1"/>
  <c r="G114" i="8"/>
  <c r="C114" i="8"/>
  <c r="I114" i="8" s="1"/>
  <c r="G113" i="8"/>
  <c r="C113" i="8"/>
  <c r="I113" i="8" s="1"/>
  <c r="G112" i="8"/>
  <c r="C112" i="8"/>
  <c r="I112" i="8" s="1"/>
  <c r="G111" i="8"/>
  <c r="C111" i="8"/>
  <c r="I111" i="8" s="1"/>
  <c r="G110" i="8"/>
  <c r="C110" i="8"/>
  <c r="I110" i="8" s="1"/>
  <c r="G109" i="8"/>
  <c r="C109" i="8"/>
  <c r="I109" i="8" s="1"/>
  <c r="G108" i="8"/>
  <c r="C108" i="8"/>
  <c r="I108" i="8" s="1"/>
  <c r="G107" i="8"/>
  <c r="C107" i="8"/>
  <c r="I107" i="8" s="1"/>
  <c r="G106" i="8"/>
  <c r="C106" i="8"/>
  <c r="I106" i="8" s="1"/>
  <c r="G105" i="8"/>
  <c r="C105" i="8"/>
  <c r="I105" i="8" s="1"/>
  <c r="G104" i="8"/>
  <c r="C104" i="8"/>
  <c r="I104" i="8" s="1"/>
  <c r="G103" i="8"/>
  <c r="C103" i="8"/>
  <c r="I103" i="8" s="1"/>
  <c r="G102" i="8"/>
  <c r="C102" i="8"/>
  <c r="I102" i="8" s="1"/>
  <c r="G101" i="8"/>
  <c r="C101" i="8"/>
  <c r="I101" i="8" s="1"/>
  <c r="G100" i="8"/>
  <c r="C100" i="8"/>
  <c r="I100" i="8" s="1"/>
  <c r="G99" i="8"/>
  <c r="C99" i="8"/>
  <c r="I99" i="8" s="1"/>
  <c r="G98" i="8"/>
  <c r="C98" i="8"/>
  <c r="I98" i="8" s="1"/>
  <c r="G97" i="8"/>
  <c r="C97" i="8"/>
  <c r="I97" i="8" s="1"/>
  <c r="G96" i="8"/>
  <c r="C96" i="8"/>
  <c r="I96" i="8" s="1"/>
  <c r="G95" i="8"/>
  <c r="C95" i="8"/>
  <c r="I95" i="8" s="1"/>
  <c r="G94" i="8"/>
  <c r="C94" i="8"/>
  <c r="I94" i="8" s="1"/>
  <c r="G89" i="8"/>
  <c r="C89" i="8"/>
  <c r="I89" i="8" s="1"/>
  <c r="G88" i="8"/>
  <c r="C88" i="8"/>
  <c r="I88" i="8" s="1"/>
  <c r="G87" i="8"/>
  <c r="I87" i="8" s="1"/>
  <c r="C87" i="8"/>
  <c r="H87" i="8" s="1"/>
  <c r="G86" i="8"/>
  <c r="C86" i="8"/>
  <c r="I86" i="8" s="1"/>
  <c r="G85" i="8"/>
  <c r="C85" i="8"/>
  <c r="I85" i="8" s="1"/>
  <c r="G84" i="8"/>
  <c r="I84" i="8" s="1"/>
  <c r="C84" i="8"/>
  <c r="H84" i="8" s="1"/>
  <c r="G83" i="8"/>
  <c r="C83" i="8"/>
  <c r="I83" i="8" s="1"/>
  <c r="G82" i="8"/>
  <c r="C82" i="8"/>
  <c r="I82" i="8" s="1"/>
  <c r="G81" i="8"/>
  <c r="I81" i="8" s="1"/>
  <c r="C81" i="8"/>
  <c r="H81" i="8" s="1"/>
  <c r="G80" i="8"/>
  <c r="C80" i="8"/>
  <c r="I80" i="8" s="1"/>
  <c r="G79" i="8"/>
  <c r="C79" i="8"/>
  <c r="I79" i="8" s="1"/>
  <c r="G78" i="8"/>
  <c r="I78" i="8" s="1"/>
  <c r="C78" i="8"/>
  <c r="H78" i="8" s="1"/>
  <c r="G77" i="8"/>
  <c r="C77" i="8"/>
  <c r="I77" i="8" s="1"/>
  <c r="G76" i="8"/>
  <c r="C76" i="8"/>
  <c r="I76" i="8" s="1"/>
  <c r="G75" i="8"/>
  <c r="I75" i="8" s="1"/>
  <c r="C75" i="8"/>
  <c r="H75" i="8" s="1"/>
  <c r="G74" i="8"/>
  <c r="C74" i="8"/>
  <c r="I74" i="8" s="1"/>
  <c r="G73" i="8"/>
  <c r="C73" i="8"/>
  <c r="I73" i="8" s="1"/>
  <c r="G72" i="8"/>
  <c r="I72" i="8" s="1"/>
  <c r="C72" i="8"/>
  <c r="H72" i="8" s="1"/>
  <c r="G71" i="8"/>
  <c r="C71" i="8"/>
  <c r="I71" i="8" s="1"/>
  <c r="G70" i="8"/>
  <c r="C70" i="8"/>
  <c r="I70" i="8" s="1"/>
  <c r="G69" i="8"/>
  <c r="C69" i="8"/>
  <c r="I69" i="8" s="1"/>
  <c r="G68" i="8"/>
  <c r="C68" i="8"/>
  <c r="I68" i="8" s="1"/>
  <c r="G67" i="8"/>
  <c r="C67" i="8"/>
  <c r="I67" i="8" s="1"/>
  <c r="G66" i="8"/>
  <c r="C66" i="8"/>
  <c r="I66" i="8" s="1"/>
  <c r="G65" i="8"/>
  <c r="C65" i="8"/>
  <c r="I65" i="8" s="1"/>
  <c r="G64" i="8"/>
  <c r="C64" i="8"/>
  <c r="I64" i="8" s="1"/>
  <c r="G63" i="8"/>
  <c r="C63" i="8"/>
  <c r="I63" i="8" s="1"/>
  <c r="G62" i="8"/>
  <c r="C62" i="8"/>
  <c r="I62" i="8" s="1"/>
  <c r="G61" i="8"/>
  <c r="C61" i="8"/>
  <c r="I61" i="8" s="1"/>
  <c r="G60" i="8"/>
  <c r="C60" i="8"/>
  <c r="I60" i="8" s="1"/>
  <c r="G59" i="8"/>
  <c r="C59" i="8"/>
  <c r="I59" i="8" s="1"/>
  <c r="G58" i="8"/>
  <c r="C58" i="8"/>
  <c r="I58" i="8" s="1"/>
  <c r="G57" i="8"/>
  <c r="C57" i="8"/>
  <c r="I57" i="8" s="1"/>
  <c r="G56" i="8"/>
  <c r="C56" i="8"/>
  <c r="I56" i="8" s="1"/>
  <c r="G55" i="8"/>
  <c r="C55" i="8"/>
  <c r="I55" i="8" s="1"/>
  <c r="G54" i="8"/>
  <c r="C54" i="8"/>
  <c r="I54" i="8" s="1"/>
  <c r="G53" i="8"/>
  <c r="C53" i="8"/>
  <c r="I53" i="8" s="1"/>
  <c r="G52" i="8"/>
  <c r="C52" i="8"/>
  <c r="I52" i="8" s="1"/>
  <c r="G51" i="8"/>
  <c r="C51" i="8"/>
  <c r="I51" i="8" s="1"/>
  <c r="G50" i="8"/>
  <c r="C50" i="8"/>
  <c r="I50" i="8" s="1"/>
  <c r="G49" i="8"/>
  <c r="C49" i="8"/>
  <c r="I49" i="8" s="1"/>
  <c r="G48" i="8"/>
  <c r="C48" i="8"/>
  <c r="I48" i="8" s="1"/>
  <c r="G47" i="8"/>
  <c r="C47" i="8"/>
  <c r="I47" i="8" s="1"/>
  <c r="G46" i="8"/>
  <c r="C46" i="8"/>
  <c r="I46" i="8" s="1"/>
  <c r="G45" i="8"/>
  <c r="C45" i="8"/>
  <c r="I45" i="8" s="1"/>
  <c r="C40" i="8"/>
  <c r="I40" i="8" s="1"/>
  <c r="C39" i="8"/>
  <c r="I39" i="8" s="1"/>
  <c r="C38" i="8"/>
  <c r="I38" i="8" s="1"/>
  <c r="C37" i="8"/>
  <c r="I37" i="8" s="1"/>
  <c r="C36" i="8"/>
  <c r="I36" i="8" s="1"/>
  <c r="C35" i="8"/>
  <c r="I35" i="8" s="1"/>
  <c r="C34" i="8"/>
  <c r="I34" i="8" s="1"/>
  <c r="C33" i="8"/>
  <c r="H33" i="8" s="1"/>
  <c r="C32" i="8"/>
  <c r="I32" i="8" s="1"/>
  <c r="C31" i="8"/>
  <c r="I31" i="8" s="1"/>
  <c r="C30" i="8"/>
  <c r="H30" i="8" s="1"/>
  <c r="C29" i="8"/>
  <c r="I29" i="8" s="1"/>
  <c r="C28" i="8"/>
  <c r="I28" i="8" s="1"/>
  <c r="C27" i="8"/>
  <c r="I27" i="8" s="1"/>
  <c r="C26" i="8"/>
  <c r="H26" i="8" s="1"/>
  <c r="C25" i="8"/>
  <c r="I25" i="8" s="1"/>
  <c r="C24" i="8"/>
  <c r="I24" i="8" s="1"/>
  <c r="C23" i="8"/>
  <c r="I23" i="8" s="1"/>
  <c r="C22" i="8"/>
  <c r="I22" i="8" s="1"/>
  <c r="C21" i="8"/>
  <c r="H21" i="8" s="1"/>
  <c r="C20" i="8"/>
  <c r="I20" i="8" s="1"/>
  <c r="C19" i="8"/>
  <c r="I19" i="8" s="1"/>
  <c r="C18" i="8"/>
  <c r="H18" i="8" s="1"/>
  <c r="C17" i="8"/>
  <c r="H17" i="8" s="1"/>
  <c r="C16" i="8"/>
  <c r="I16" i="8" s="1"/>
  <c r="C15" i="8"/>
  <c r="I15" i="8" s="1"/>
  <c r="C14" i="8"/>
  <c r="I14" i="8" s="1"/>
  <c r="C13" i="8"/>
  <c r="I13" i="8" s="1"/>
  <c r="C12" i="8"/>
  <c r="I12" i="8" s="1"/>
  <c r="C11" i="8"/>
  <c r="I11" i="8" s="1"/>
  <c r="C10" i="8"/>
  <c r="H10" i="8" s="1"/>
  <c r="C9" i="8"/>
  <c r="I9" i="8" s="1"/>
  <c r="C8" i="8"/>
  <c r="I8" i="8" s="1"/>
  <c r="C7" i="8"/>
  <c r="I7" i="8" s="1"/>
  <c r="C6" i="8"/>
  <c r="H6" i="8" s="1"/>
  <c r="C5" i="8"/>
  <c r="I5" i="8" s="1"/>
  <c r="C4" i="8"/>
  <c r="I4" i="8" s="1"/>
  <c r="H94" i="8" l="1"/>
  <c r="H97" i="8"/>
  <c r="H100" i="8"/>
  <c r="H103" i="8"/>
  <c r="H106" i="8"/>
  <c r="H109" i="8"/>
  <c r="H112" i="8"/>
  <c r="H115" i="8"/>
  <c r="H118" i="8"/>
  <c r="H121" i="8"/>
  <c r="H95" i="8"/>
  <c r="H98" i="8"/>
  <c r="H101" i="8"/>
  <c r="H104" i="8"/>
  <c r="H107" i="8"/>
  <c r="H110" i="8"/>
  <c r="H113" i="8"/>
  <c r="H116" i="8"/>
  <c r="H119" i="8"/>
  <c r="H122" i="8"/>
  <c r="H96" i="8"/>
  <c r="H99" i="8"/>
  <c r="H102" i="8"/>
  <c r="H105" i="8"/>
  <c r="H108" i="8"/>
  <c r="H111" i="8"/>
  <c r="H114" i="8"/>
  <c r="H117" i="8"/>
  <c r="H120" i="8"/>
  <c r="H123" i="8"/>
  <c r="H45" i="8"/>
  <c r="H48" i="8"/>
  <c r="H51" i="8"/>
  <c r="H54" i="8"/>
  <c r="H57" i="8"/>
  <c r="H60" i="8"/>
  <c r="H63" i="8"/>
  <c r="H66" i="8"/>
  <c r="H69" i="8"/>
  <c r="H46" i="8"/>
  <c r="H52" i="8"/>
  <c r="H58" i="8"/>
  <c r="H61" i="8"/>
  <c r="H64" i="8"/>
  <c r="H67" i="8"/>
  <c r="H70" i="8"/>
  <c r="H73" i="8"/>
  <c r="H76" i="8"/>
  <c r="H79" i="8"/>
  <c r="H82" i="8"/>
  <c r="H85" i="8"/>
  <c r="H88" i="8"/>
  <c r="H49" i="8"/>
  <c r="H55" i="8"/>
  <c r="H47" i="8"/>
  <c r="H50" i="8"/>
  <c r="H53" i="8"/>
  <c r="H56" i="8"/>
  <c r="H59" i="8"/>
  <c r="H62" i="8"/>
  <c r="H65" i="8"/>
  <c r="H68" i="8"/>
  <c r="H71" i="8"/>
  <c r="H74" i="8"/>
  <c r="H77" i="8"/>
  <c r="H80" i="8"/>
  <c r="H83" i="8"/>
  <c r="H86" i="8"/>
  <c r="H89" i="8"/>
  <c r="H37" i="8"/>
  <c r="I17" i="8"/>
  <c r="H13" i="8"/>
  <c r="I21" i="8"/>
  <c r="H25" i="8"/>
  <c r="I33" i="8"/>
  <c r="H14" i="8"/>
  <c r="H34" i="8"/>
  <c r="H38" i="8"/>
  <c r="H22" i="8"/>
  <c r="I6" i="8"/>
  <c r="I10" i="8"/>
  <c r="I18" i="8"/>
  <c r="I26" i="8"/>
  <c r="I30" i="8"/>
  <c r="H5" i="8"/>
  <c r="H11" i="8"/>
  <c r="H19" i="8"/>
  <c r="H27" i="8"/>
  <c r="H31" i="8"/>
  <c r="H35" i="8"/>
  <c r="H39" i="8"/>
  <c r="H9" i="8"/>
  <c r="H7" i="8"/>
  <c r="H15" i="8"/>
  <c r="H23" i="8"/>
  <c r="H29" i="8"/>
  <c r="H4" i="8"/>
  <c r="H8" i="8"/>
  <c r="H12" i="8"/>
  <c r="H16" i="8"/>
  <c r="H20" i="8"/>
  <c r="H24" i="8"/>
  <c r="H28" i="8"/>
  <c r="H32" i="8"/>
  <c r="H36" i="8"/>
  <c r="H40" i="8"/>
  <c r="G315" i="7" l="1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39" i="7"/>
  <c r="D301" i="7"/>
  <c r="D305" i="7"/>
  <c r="D306" i="7"/>
  <c r="D273" i="7"/>
  <c r="D274" i="7"/>
  <c r="D290" i="7"/>
  <c r="D291" i="7"/>
  <c r="D292" i="7"/>
  <c r="D264" i="7"/>
  <c r="D251" i="7"/>
  <c r="D252" i="7"/>
  <c r="D255" i="7"/>
  <c r="D256" i="7"/>
  <c r="L332" i="7"/>
  <c r="D332" i="7" s="1"/>
  <c r="L331" i="7"/>
  <c r="D331" i="7" s="1"/>
  <c r="L330" i="7"/>
  <c r="D330" i="7" s="1"/>
  <c r="L329" i="7"/>
  <c r="D329" i="7" s="1"/>
  <c r="L328" i="7"/>
  <c r="D328" i="7" s="1"/>
  <c r="L327" i="7"/>
  <c r="D327" i="7" s="1"/>
  <c r="L326" i="7"/>
  <c r="D326" i="7" s="1"/>
  <c r="L325" i="7"/>
  <c r="D325" i="7" s="1"/>
  <c r="L324" i="7"/>
  <c r="D324" i="7" s="1"/>
  <c r="L323" i="7"/>
  <c r="D323" i="7" s="1"/>
  <c r="L322" i="7"/>
  <c r="D322" i="7" s="1"/>
  <c r="L321" i="7"/>
  <c r="D321" i="7" s="1"/>
  <c r="L320" i="7"/>
  <c r="D320" i="7" s="1"/>
  <c r="L319" i="7"/>
  <c r="D319" i="7" s="1"/>
  <c r="L318" i="7"/>
  <c r="D318" i="7" s="1"/>
  <c r="L317" i="7"/>
  <c r="D317" i="7" s="1"/>
  <c r="L316" i="7"/>
  <c r="D316" i="7" s="1"/>
  <c r="L315" i="7"/>
  <c r="D315" i="7" s="1"/>
  <c r="L314" i="7"/>
  <c r="D314" i="7" s="1"/>
  <c r="L313" i="7"/>
  <c r="D313" i="7" s="1"/>
  <c r="L312" i="7"/>
  <c r="D312" i="7" s="1"/>
  <c r="L311" i="7"/>
  <c r="D311" i="7" s="1"/>
  <c r="L307" i="7"/>
  <c r="D307" i="7" s="1"/>
  <c r="L310" i="7"/>
  <c r="D310" i="7" s="1"/>
  <c r="L309" i="7"/>
  <c r="D309" i="7" s="1"/>
  <c r="L308" i="7"/>
  <c r="D308" i="7" s="1"/>
  <c r="L290" i="7"/>
  <c r="L306" i="7"/>
  <c r="L305" i="7"/>
  <c r="L304" i="7"/>
  <c r="D304" i="7" s="1"/>
  <c r="L303" i="7"/>
  <c r="D303" i="7" s="1"/>
  <c r="L302" i="7"/>
  <c r="D302" i="7" s="1"/>
  <c r="L300" i="7"/>
  <c r="D300" i="7" s="1"/>
  <c r="L299" i="7"/>
  <c r="D299" i="7" s="1"/>
  <c r="L298" i="7"/>
  <c r="D298" i="7" s="1"/>
  <c r="L297" i="7"/>
  <c r="D297" i="7" s="1"/>
  <c r="L296" i="7"/>
  <c r="D296" i="7" s="1"/>
  <c r="L295" i="7"/>
  <c r="D295" i="7" s="1"/>
  <c r="L294" i="7"/>
  <c r="D294" i="7" s="1"/>
  <c r="L293" i="7"/>
  <c r="D293" i="7" s="1"/>
  <c r="L291" i="7"/>
  <c r="L289" i="7"/>
  <c r="D289" i="7" s="1"/>
  <c r="L288" i="7"/>
  <c r="D288" i="7" s="1"/>
  <c r="L287" i="7"/>
  <c r="D287" i="7" s="1"/>
  <c r="L286" i="7"/>
  <c r="D286" i="7" s="1"/>
  <c r="L285" i="7"/>
  <c r="D285" i="7" s="1"/>
  <c r="L284" i="7"/>
  <c r="D284" i="7" s="1"/>
  <c r="L283" i="7"/>
  <c r="D283" i="7" s="1"/>
  <c r="L282" i="7"/>
  <c r="D282" i="7" s="1"/>
  <c r="L281" i="7"/>
  <c r="D281" i="7" s="1"/>
  <c r="L280" i="7"/>
  <c r="D280" i="7" s="1"/>
  <c r="L279" i="7"/>
  <c r="D279" i="7" s="1"/>
  <c r="L276" i="7"/>
  <c r="D276" i="7" s="1"/>
  <c r="L278" i="7"/>
  <c r="D278" i="7" s="1"/>
  <c r="L277" i="7"/>
  <c r="D277" i="7" s="1"/>
  <c r="L275" i="7"/>
  <c r="D275" i="7" s="1"/>
  <c r="L272" i="7"/>
  <c r="D272" i="7" s="1"/>
  <c r="L271" i="7"/>
  <c r="D271" i="7" s="1"/>
  <c r="L270" i="7"/>
  <c r="D270" i="7" s="1"/>
  <c r="L269" i="7"/>
  <c r="D269" i="7" s="1"/>
  <c r="L268" i="7"/>
  <c r="D268" i="7" s="1"/>
  <c r="L267" i="7"/>
  <c r="D267" i="7" s="1"/>
  <c r="L266" i="7"/>
  <c r="D266" i="7" s="1"/>
  <c r="L265" i="7"/>
  <c r="D265" i="7" s="1"/>
  <c r="L264" i="7"/>
  <c r="L263" i="7"/>
  <c r="D263" i="7" s="1"/>
  <c r="L262" i="7"/>
  <c r="D262" i="7" s="1"/>
  <c r="L261" i="7"/>
  <c r="D261" i="7" s="1"/>
  <c r="L260" i="7"/>
  <c r="D260" i="7" s="1"/>
  <c r="L259" i="7"/>
  <c r="D259" i="7" s="1"/>
  <c r="L258" i="7"/>
  <c r="D258" i="7" s="1"/>
  <c r="L257" i="7"/>
  <c r="D257" i="7" s="1"/>
  <c r="L256" i="7"/>
  <c r="L255" i="7"/>
  <c r="L254" i="7"/>
  <c r="D254" i="7" s="1"/>
  <c r="L253" i="7"/>
  <c r="D253" i="7" s="1"/>
  <c r="L250" i="7"/>
  <c r="D250" i="7" s="1"/>
  <c r="L249" i="7"/>
  <c r="D249" i="7" s="1"/>
  <c r="L248" i="7"/>
  <c r="D248" i="7" s="1"/>
  <c r="L247" i="7"/>
  <c r="D247" i="7" s="1"/>
  <c r="L246" i="7"/>
  <c r="D246" i="7" s="1"/>
  <c r="L245" i="7"/>
  <c r="D245" i="7" s="1"/>
  <c r="L244" i="7"/>
  <c r="D244" i="7" s="1"/>
  <c r="L243" i="7"/>
  <c r="D243" i="7" s="1"/>
  <c r="L242" i="7"/>
  <c r="D242" i="7" s="1"/>
  <c r="L241" i="7"/>
  <c r="D241" i="7" s="1"/>
  <c r="L240" i="7"/>
  <c r="D240" i="7" s="1"/>
  <c r="L239" i="7"/>
  <c r="D239" i="7" s="1"/>
  <c r="D145" i="7" l="1"/>
  <c r="G145" i="7" s="1"/>
  <c r="D146" i="7"/>
  <c r="G146" i="7" s="1"/>
  <c r="D168" i="7"/>
  <c r="G168" i="7" s="1"/>
  <c r="D169" i="7"/>
  <c r="G169" i="7" s="1"/>
  <c r="L235" i="7" l="1"/>
  <c r="D235" i="7" s="1"/>
  <c r="G235" i="7" s="1"/>
  <c r="L234" i="7"/>
  <c r="D234" i="7" s="1"/>
  <c r="G234" i="7" s="1"/>
  <c r="L233" i="7"/>
  <c r="D233" i="7" s="1"/>
  <c r="G233" i="7" s="1"/>
  <c r="L232" i="7"/>
  <c r="D232" i="7" s="1"/>
  <c r="G232" i="7" s="1"/>
  <c r="L231" i="7"/>
  <c r="D231" i="7" s="1"/>
  <c r="G231" i="7" s="1"/>
  <c r="L230" i="7"/>
  <c r="D230" i="7" s="1"/>
  <c r="G230" i="7" s="1"/>
  <c r="L229" i="7"/>
  <c r="D229" i="7" s="1"/>
  <c r="G229" i="7" s="1"/>
  <c r="L228" i="7"/>
  <c r="D228" i="7" s="1"/>
  <c r="G228" i="7" s="1"/>
  <c r="L227" i="7"/>
  <c r="D227" i="7" s="1"/>
  <c r="G227" i="7" s="1"/>
  <c r="L226" i="7"/>
  <c r="D226" i="7" s="1"/>
  <c r="G226" i="7" s="1"/>
  <c r="L225" i="7"/>
  <c r="D225" i="7" s="1"/>
  <c r="G225" i="7" s="1"/>
  <c r="L224" i="7"/>
  <c r="D224" i="7" s="1"/>
  <c r="G224" i="7" s="1"/>
  <c r="L223" i="7"/>
  <c r="D223" i="7" s="1"/>
  <c r="G223" i="7" s="1"/>
  <c r="L222" i="7"/>
  <c r="D222" i="7" s="1"/>
  <c r="G222" i="7" s="1"/>
  <c r="L221" i="7"/>
  <c r="D221" i="7" s="1"/>
  <c r="G221" i="7" s="1"/>
  <c r="L220" i="7"/>
  <c r="D220" i="7" s="1"/>
  <c r="G220" i="7" s="1"/>
  <c r="L219" i="7"/>
  <c r="D219" i="7" s="1"/>
  <c r="G219" i="7" s="1"/>
  <c r="L218" i="7"/>
  <c r="D218" i="7" s="1"/>
  <c r="G218" i="7" s="1"/>
  <c r="L217" i="7"/>
  <c r="D217" i="7" s="1"/>
  <c r="G217" i="7" s="1"/>
  <c r="L216" i="7"/>
  <c r="D216" i="7" s="1"/>
  <c r="G216" i="7" s="1"/>
  <c r="L215" i="7"/>
  <c r="D215" i="7" s="1"/>
  <c r="G215" i="7" s="1"/>
  <c r="L214" i="7"/>
  <c r="D214" i="7" s="1"/>
  <c r="G214" i="7" s="1"/>
  <c r="L213" i="7"/>
  <c r="D213" i="7" s="1"/>
  <c r="G213" i="7" s="1"/>
  <c r="L212" i="7"/>
  <c r="D212" i="7" s="1"/>
  <c r="G212" i="7" s="1"/>
  <c r="L211" i="7"/>
  <c r="D211" i="7" s="1"/>
  <c r="G211" i="7" s="1"/>
  <c r="L210" i="7"/>
  <c r="D210" i="7" s="1"/>
  <c r="G210" i="7" s="1"/>
  <c r="L209" i="7"/>
  <c r="D209" i="7" s="1"/>
  <c r="G209" i="7" s="1"/>
  <c r="L208" i="7"/>
  <c r="D208" i="7" s="1"/>
  <c r="G208" i="7" s="1"/>
  <c r="L207" i="7"/>
  <c r="D207" i="7" s="1"/>
  <c r="G207" i="7" s="1"/>
  <c r="L206" i="7"/>
  <c r="D206" i="7" s="1"/>
  <c r="G206" i="7" s="1"/>
  <c r="L205" i="7"/>
  <c r="D205" i="7" s="1"/>
  <c r="G205" i="7" s="1"/>
  <c r="L204" i="7"/>
  <c r="D204" i="7" s="1"/>
  <c r="G204" i="7" s="1"/>
  <c r="L203" i="7"/>
  <c r="D203" i="7" s="1"/>
  <c r="G203" i="7" s="1"/>
  <c r="L202" i="7"/>
  <c r="D202" i="7" s="1"/>
  <c r="G202" i="7" s="1"/>
  <c r="L201" i="7"/>
  <c r="D201" i="7" s="1"/>
  <c r="G201" i="7" s="1"/>
  <c r="L200" i="7"/>
  <c r="D200" i="7" s="1"/>
  <c r="G200" i="7" s="1"/>
  <c r="L199" i="7"/>
  <c r="D199" i="7" s="1"/>
  <c r="G199" i="7" s="1"/>
  <c r="L197" i="7"/>
  <c r="D197" i="7" s="1"/>
  <c r="G197" i="7" s="1"/>
  <c r="L196" i="7"/>
  <c r="D196" i="7" s="1"/>
  <c r="G196" i="7" s="1"/>
  <c r="L195" i="7"/>
  <c r="D195" i="7" s="1"/>
  <c r="G195" i="7" s="1"/>
  <c r="L198" i="7"/>
  <c r="D198" i="7" s="1"/>
  <c r="G198" i="7" s="1"/>
  <c r="L194" i="7"/>
  <c r="D194" i="7" s="1"/>
  <c r="G194" i="7" s="1"/>
  <c r="L193" i="7"/>
  <c r="D193" i="7" s="1"/>
  <c r="G193" i="7" s="1"/>
  <c r="L192" i="7"/>
  <c r="D192" i="7" s="1"/>
  <c r="G192" i="7" s="1"/>
  <c r="L191" i="7"/>
  <c r="D191" i="7" s="1"/>
  <c r="G191" i="7" s="1"/>
  <c r="L190" i="7"/>
  <c r="D190" i="7" s="1"/>
  <c r="G190" i="7" s="1"/>
  <c r="L189" i="7"/>
  <c r="D189" i="7" s="1"/>
  <c r="G189" i="7" s="1"/>
  <c r="L187" i="7"/>
  <c r="D187" i="7" s="1"/>
  <c r="G187" i="7" s="1"/>
  <c r="L188" i="7"/>
  <c r="D188" i="7" s="1"/>
  <c r="G188" i="7" s="1"/>
  <c r="L186" i="7"/>
  <c r="D186" i="7" s="1"/>
  <c r="G186" i="7" s="1"/>
  <c r="L184" i="7"/>
  <c r="D184" i="7" s="1"/>
  <c r="G184" i="7" s="1"/>
  <c r="L183" i="7"/>
  <c r="D183" i="7" s="1"/>
  <c r="G183" i="7" s="1"/>
  <c r="L185" i="7"/>
  <c r="D185" i="7" s="1"/>
  <c r="G185" i="7" s="1"/>
  <c r="L182" i="7"/>
  <c r="D182" i="7" s="1"/>
  <c r="G182" i="7" s="1"/>
  <c r="L181" i="7"/>
  <c r="D181" i="7" s="1"/>
  <c r="G181" i="7" s="1"/>
  <c r="L180" i="7"/>
  <c r="D180" i="7" s="1"/>
  <c r="G180" i="7" s="1"/>
  <c r="L179" i="7"/>
  <c r="D179" i="7" s="1"/>
  <c r="G179" i="7" s="1"/>
  <c r="L178" i="7"/>
  <c r="D178" i="7" s="1"/>
  <c r="G178" i="7" s="1"/>
  <c r="L177" i="7"/>
  <c r="D177" i="7" s="1"/>
  <c r="G177" i="7" s="1"/>
  <c r="L176" i="7"/>
  <c r="D176" i="7" s="1"/>
  <c r="G176" i="7" s="1"/>
  <c r="L175" i="7"/>
  <c r="D175" i="7" s="1"/>
  <c r="G175" i="7" s="1"/>
  <c r="L174" i="7"/>
  <c r="D174" i="7" s="1"/>
  <c r="G174" i="7" s="1"/>
  <c r="L173" i="7"/>
  <c r="D173" i="7" s="1"/>
  <c r="G173" i="7" s="1"/>
  <c r="L172" i="7"/>
  <c r="D172" i="7" s="1"/>
  <c r="G172" i="7" s="1"/>
  <c r="L171" i="7"/>
  <c r="D171" i="7" s="1"/>
  <c r="G171" i="7" s="1"/>
  <c r="L170" i="7"/>
  <c r="D170" i="7" s="1"/>
  <c r="G170" i="7" s="1"/>
  <c r="L167" i="7"/>
  <c r="D167" i="7" s="1"/>
  <c r="G167" i="7" s="1"/>
  <c r="L166" i="7"/>
  <c r="D166" i="7" s="1"/>
  <c r="G166" i="7" s="1"/>
  <c r="L165" i="7"/>
  <c r="D165" i="7" s="1"/>
  <c r="G165" i="7" s="1"/>
  <c r="L164" i="7"/>
  <c r="D164" i="7" s="1"/>
  <c r="G164" i="7" s="1"/>
  <c r="L163" i="7"/>
  <c r="D163" i="7" s="1"/>
  <c r="G163" i="7" s="1"/>
  <c r="L162" i="7"/>
  <c r="D162" i="7" s="1"/>
  <c r="G162" i="7" s="1"/>
  <c r="L152" i="7"/>
  <c r="D152" i="7" s="1"/>
  <c r="G152" i="7" s="1"/>
  <c r="L161" i="7"/>
  <c r="D161" i="7" s="1"/>
  <c r="G161" i="7" s="1"/>
  <c r="L160" i="7"/>
  <c r="D160" i="7" s="1"/>
  <c r="G160" i="7" s="1"/>
  <c r="L159" i="7"/>
  <c r="D159" i="7" s="1"/>
  <c r="G159" i="7" s="1"/>
  <c r="L158" i="7"/>
  <c r="K158" i="7"/>
  <c r="L155" i="7"/>
  <c r="D155" i="7" s="1"/>
  <c r="G155" i="7" s="1"/>
  <c r="L157" i="7"/>
  <c r="D157" i="7" s="1"/>
  <c r="G157" i="7" s="1"/>
  <c r="L156" i="7"/>
  <c r="D156" i="7" s="1"/>
  <c r="G156" i="7" s="1"/>
  <c r="L153" i="7"/>
  <c r="D153" i="7" s="1"/>
  <c r="G153" i="7" s="1"/>
  <c r="L148" i="7"/>
  <c r="D148" i="7" s="1"/>
  <c r="G148" i="7" s="1"/>
  <c r="L149" i="7"/>
  <c r="D149" i="7" s="1"/>
  <c r="G149" i="7" s="1"/>
  <c r="L150" i="7"/>
  <c r="D150" i="7" s="1"/>
  <c r="G150" i="7" s="1"/>
  <c r="L154" i="7"/>
  <c r="D154" i="7" s="1"/>
  <c r="G154" i="7" s="1"/>
  <c r="L151" i="7"/>
  <c r="D151" i="7" s="1"/>
  <c r="G151" i="7" s="1"/>
  <c r="L147" i="7"/>
  <c r="D147" i="7" s="1"/>
  <c r="G147" i="7" s="1"/>
  <c r="K140" i="7"/>
  <c r="K143" i="7"/>
  <c r="L144" i="7"/>
  <c r="D144" i="7" s="1"/>
  <c r="G144" i="7" s="1"/>
  <c r="L143" i="7"/>
  <c r="D143" i="7" s="1"/>
  <c r="G143" i="7" s="1"/>
  <c r="L141" i="7"/>
  <c r="D141" i="7" s="1"/>
  <c r="G141" i="7" s="1"/>
  <c r="L140" i="7"/>
  <c r="D140" i="7" s="1"/>
  <c r="G140" i="7" s="1"/>
  <c r="L142" i="7"/>
  <c r="D142" i="7" s="1"/>
  <c r="G142" i="7" s="1"/>
  <c r="L138" i="7"/>
  <c r="D138" i="7" s="1"/>
  <c r="G138" i="7" s="1"/>
  <c r="D158" i="7" l="1"/>
  <c r="G158" i="7" s="1"/>
  <c r="L139" i="7"/>
  <c r="D139" i="7" s="1"/>
  <c r="G139" i="7" s="1"/>
  <c r="L136" i="7"/>
  <c r="D136" i="7" s="1"/>
  <c r="G136" i="7" s="1"/>
  <c r="L137" i="7"/>
  <c r="K137" i="7"/>
  <c r="L135" i="7"/>
  <c r="D135" i="7" s="1"/>
  <c r="G135" i="7" s="1"/>
  <c r="K134" i="7"/>
  <c r="L134" i="7"/>
  <c r="D134" i="7" s="1"/>
  <c r="G134" i="7" s="1"/>
  <c r="L133" i="7"/>
  <c r="K133" i="7"/>
  <c r="D133" i="7" l="1"/>
  <c r="G133" i="7" s="1"/>
  <c r="D137" i="7"/>
  <c r="G137" i="7" s="1"/>
  <c r="D27" i="7"/>
  <c r="G27" i="7" s="1"/>
  <c r="D29" i="7"/>
  <c r="G29" i="7" s="1"/>
  <c r="L127" i="7"/>
  <c r="D127" i="7" s="1"/>
  <c r="G127" i="7" s="1"/>
  <c r="L126" i="7"/>
  <c r="D126" i="7" s="1"/>
  <c r="G126" i="7" s="1"/>
  <c r="L125" i="7"/>
  <c r="D125" i="7" s="1"/>
  <c r="G125" i="7" s="1"/>
  <c r="L124" i="7"/>
  <c r="D124" i="7" s="1"/>
  <c r="G124" i="7" s="1"/>
  <c r="L123" i="7"/>
  <c r="D123" i="7" s="1"/>
  <c r="G123" i="7" s="1"/>
  <c r="L122" i="7"/>
  <c r="D122" i="7" s="1"/>
  <c r="G122" i="7" s="1"/>
  <c r="L121" i="7"/>
  <c r="D121" i="7" s="1"/>
  <c r="G121" i="7" s="1"/>
  <c r="L120" i="7"/>
  <c r="D120" i="7" s="1"/>
  <c r="G120" i="7" s="1"/>
  <c r="K119" i="7"/>
  <c r="L119" i="7"/>
  <c r="L118" i="7"/>
  <c r="D118" i="7" s="1"/>
  <c r="G118" i="7" s="1"/>
  <c r="L117" i="7"/>
  <c r="D117" i="7" s="1"/>
  <c r="G117" i="7" s="1"/>
  <c r="L116" i="7"/>
  <c r="D116" i="7" s="1"/>
  <c r="G116" i="7" s="1"/>
  <c r="L115" i="7"/>
  <c r="D115" i="7" s="1"/>
  <c r="G115" i="7" s="1"/>
  <c r="K114" i="7"/>
  <c r="L114" i="7"/>
  <c r="L113" i="7"/>
  <c r="D113" i="7" s="1"/>
  <c r="G113" i="7" s="1"/>
  <c r="L112" i="7"/>
  <c r="D112" i="7" s="1"/>
  <c r="G112" i="7" s="1"/>
  <c r="K111" i="7"/>
  <c r="L111" i="7"/>
  <c r="D111" i="7" s="1"/>
  <c r="G111" i="7" s="1"/>
  <c r="L110" i="7"/>
  <c r="D110" i="7" s="1"/>
  <c r="G110" i="7" s="1"/>
  <c r="L109" i="7"/>
  <c r="D109" i="7" s="1"/>
  <c r="G109" i="7" s="1"/>
  <c r="L108" i="7"/>
  <c r="D108" i="7" s="1"/>
  <c r="G108" i="7" s="1"/>
  <c r="L107" i="7"/>
  <c r="D107" i="7" s="1"/>
  <c r="G107" i="7" s="1"/>
  <c r="L106" i="7"/>
  <c r="D106" i="7" s="1"/>
  <c r="G106" i="7" s="1"/>
  <c r="L105" i="7"/>
  <c r="D105" i="7" s="1"/>
  <c r="G105" i="7" s="1"/>
  <c r="L104" i="7"/>
  <c r="D104" i="7" s="1"/>
  <c r="G104" i="7" s="1"/>
  <c r="L103" i="7"/>
  <c r="D103" i="7" s="1"/>
  <c r="G103" i="7" s="1"/>
  <c r="L102" i="7"/>
  <c r="D102" i="7" s="1"/>
  <c r="G102" i="7" s="1"/>
  <c r="L101" i="7"/>
  <c r="D101" i="7" s="1"/>
  <c r="G101" i="7" s="1"/>
  <c r="L100" i="7"/>
  <c r="D100" i="7" s="1"/>
  <c r="G100" i="7" s="1"/>
  <c r="L99" i="7"/>
  <c r="D99" i="7" s="1"/>
  <c r="G99" i="7" s="1"/>
  <c r="L98" i="7"/>
  <c r="D98" i="7" s="1"/>
  <c r="G98" i="7" s="1"/>
  <c r="L97" i="7"/>
  <c r="D97" i="7" s="1"/>
  <c r="G97" i="7" s="1"/>
  <c r="L95" i="7"/>
  <c r="D95" i="7" s="1"/>
  <c r="G95" i="7" s="1"/>
  <c r="L94" i="7"/>
  <c r="D94" i="7" s="1"/>
  <c r="G94" i="7" s="1"/>
  <c r="L96" i="7"/>
  <c r="D96" i="7" s="1"/>
  <c r="G96" i="7" s="1"/>
  <c r="L92" i="7"/>
  <c r="D92" i="7" s="1"/>
  <c r="G92" i="7" s="1"/>
  <c r="L93" i="7"/>
  <c r="D93" i="7" s="1"/>
  <c r="G93" i="7" s="1"/>
  <c r="L91" i="7"/>
  <c r="D91" i="7" s="1"/>
  <c r="G91" i="7" s="1"/>
  <c r="L90" i="7"/>
  <c r="D90" i="7" s="1"/>
  <c r="G90" i="7" s="1"/>
  <c r="L89" i="7"/>
  <c r="D89" i="7" s="1"/>
  <c r="G89" i="7" s="1"/>
  <c r="L88" i="7"/>
  <c r="D88" i="7" s="1"/>
  <c r="G88" i="7" s="1"/>
  <c r="L87" i="7"/>
  <c r="D87" i="7" s="1"/>
  <c r="G87" i="7" s="1"/>
  <c r="L86" i="7"/>
  <c r="D86" i="7" s="1"/>
  <c r="G86" i="7" s="1"/>
  <c r="L85" i="7"/>
  <c r="D85" i="7" s="1"/>
  <c r="G85" i="7" s="1"/>
  <c r="L84" i="7"/>
  <c r="D84" i="7" s="1"/>
  <c r="G84" i="7" s="1"/>
  <c r="L83" i="7"/>
  <c r="D83" i="7" s="1"/>
  <c r="G83" i="7" s="1"/>
  <c r="L82" i="7"/>
  <c r="D82" i="7" s="1"/>
  <c r="G82" i="7" s="1"/>
  <c r="L81" i="7"/>
  <c r="D81" i="7" s="1"/>
  <c r="G81" i="7" s="1"/>
  <c r="L80" i="7"/>
  <c r="D80" i="7" s="1"/>
  <c r="G80" i="7" s="1"/>
  <c r="L79" i="7"/>
  <c r="D79" i="7" s="1"/>
  <c r="G79" i="7" s="1"/>
  <c r="L78" i="7"/>
  <c r="D78" i="7" s="1"/>
  <c r="G78" i="7" s="1"/>
  <c r="L77" i="7"/>
  <c r="D77" i="7" s="1"/>
  <c r="G77" i="7" s="1"/>
  <c r="L76" i="7"/>
  <c r="D76" i="7" s="1"/>
  <c r="G76" i="7" s="1"/>
  <c r="L75" i="7"/>
  <c r="D75" i="7" s="1"/>
  <c r="G75" i="7" s="1"/>
  <c r="L74" i="7"/>
  <c r="D74" i="7" s="1"/>
  <c r="G74" i="7" s="1"/>
  <c r="L73" i="7"/>
  <c r="D73" i="7" s="1"/>
  <c r="G73" i="7" s="1"/>
  <c r="L72" i="7"/>
  <c r="D72" i="7" s="1"/>
  <c r="G72" i="7" s="1"/>
  <c r="L71" i="7"/>
  <c r="D71" i="7" s="1"/>
  <c r="G71" i="7" s="1"/>
  <c r="L70" i="7"/>
  <c r="D70" i="7" s="1"/>
  <c r="G70" i="7" s="1"/>
  <c r="L69" i="7"/>
  <c r="D69" i="7" s="1"/>
  <c r="G69" i="7" s="1"/>
  <c r="L68" i="7"/>
  <c r="D68" i="7" s="1"/>
  <c r="G68" i="7" s="1"/>
  <c r="L67" i="7"/>
  <c r="D67" i="7" s="1"/>
  <c r="G67" i="7" s="1"/>
  <c r="L64" i="7"/>
  <c r="D64" i="7" s="1"/>
  <c r="G64" i="7" s="1"/>
  <c r="L66" i="7"/>
  <c r="D66" i="7" s="1"/>
  <c r="G66" i="7" s="1"/>
  <c r="L65" i="7"/>
  <c r="D65" i="7" s="1"/>
  <c r="G65" i="7" s="1"/>
  <c r="L63" i="7"/>
  <c r="D63" i="7" s="1"/>
  <c r="G63" i="7" s="1"/>
  <c r="L62" i="7"/>
  <c r="D62" i="7" s="1"/>
  <c r="G62" i="7" s="1"/>
  <c r="L61" i="7"/>
  <c r="D61" i="7" s="1"/>
  <c r="G61" i="7" s="1"/>
  <c r="L60" i="7"/>
  <c r="D60" i="7" s="1"/>
  <c r="G60" i="7" s="1"/>
  <c r="L54" i="7"/>
  <c r="D54" i="7" s="1"/>
  <c r="G54" i="7" s="1"/>
  <c r="L59" i="7"/>
  <c r="D59" i="7" s="1"/>
  <c r="G59" i="7" s="1"/>
  <c r="L58" i="7"/>
  <c r="D58" i="7" s="1"/>
  <c r="G58" i="7" s="1"/>
  <c r="K57" i="7"/>
  <c r="L57" i="7"/>
  <c r="L56" i="7"/>
  <c r="D56" i="7" s="1"/>
  <c r="G56" i="7" s="1"/>
  <c r="L55" i="7"/>
  <c r="D55" i="7" s="1"/>
  <c r="G55" i="7" s="1"/>
  <c r="L53" i="7"/>
  <c r="D53" i="7" s="1"/>
  <c r="G53" i="7" s="1"/>
  <c r="K52" i="7"/>
  <c r="L52" i="7"/>
  <c r="K51" i="7"/>
  <c r="L51" i="7"/>
  <c r="D51" i="7" s="1"/>
  <c r="G51" i="7" s="1"/>
  <c r="K50" i="7"/>
  <c r="L50" i="7"/>
  <c r="L49" i="7"/>
  <c r="D49" i="7" s="1"/>
  <c r="G49" i="7" s="1"/>
  <c r="L48" i="7"/>
  <c r="D48" i="7" s="1"/>
  <c r="G48" i="7" s="1"/>
  <c r="L47" i="7"/>
  <c r="D47" i="7" s="1"/>
  <c r="G47" i="7" s="1"/>
  <c r="K46" i="7"/>
  <c r="L46" i="7"/>
  <c r="K45" i="7"/>
  <c r="L45" i="7"/>
  <c r="K44" i="7"/>
  <c r="L44" i="7"/>
  <c r="L43" i="7"/>
  <c r="D43" i="7" s="1"/>
  <c r="G43" i="7" s="1"/>
  <c r="L42" i="7"/>
  <c r="D42" i="7" s="1"/>
  <c r="G42" i="7" s="1"/>
  <c r="L41" i="7"/>
  <c r="D41" i="7" s="1"/>
  <c r="G41" i="7" s="1"/>
  <c r="L40" i="7"/>
  <c r="D40" i="7" s="1"/>
  <c r="G40" i="7" s="1"/>
  <c r="K39" i="7"/>
  <c r="L39" i="7"/>
  <c r="L38" i="7"/>
  <c r="D38" i="7" s="1"/>
  <c r="G38" i="7" s="1"/>
  <c r="K37" i="7"/>
  <c r="L37" i="7"/>
  <c r="L36" i="7"/>
  <c r="D36" i="7" s="1"/>
  <c r="G36" i="7" s="1"/>
  <c r="K35" i="7"/>
  <c r="L35" i="7"/>
  <c r="L34" i="7"/>
  <c r="D34" i="7" s="1"/>
  <c r="G34" i="7" s="1"/>
  <c r="L33" i="7"/>
  <c r="D33" i="7" s="1"/>
  <c r="G33" i="7" s="1"/>
  <c r="K32" i="7"/>
  <c r="L32" i="7"/>
  <c r="J32" i="7"/>
  <c r="K31" i="7"/>
  <c r="L31" i="7"/>
  <c r="L30" i="7"/>
  <c r="D30" i="7" s="1"/>
  <c r="G30" i="7" s="1"/>
  <c r="L28" i="7"/>
  <c r="D28" i="7" s="1"/>
  <c r="G28" i="7" s="1"/>
  <c r="K26" i="7"/>
  <c r="L26" i="7"/>
  <c r="L25" i="7"/>
  <c r="D25" i="7" s="1"/>
  <c r="G25" i="7" s="1"/>
  <c r="K23" i="7"/>
  <c r="L24" i="7"/>
  <c r="D24" i="7" s="1"/>
  <c r="G24" i="7" s="1"/>
  <c r="K22" i="7"/>
  <c r="L22" i="7"/>
  <c r="L23" i="7"/>
  <c r="L21" i="7"/>
  <c r="D21" i="7" s="1"/>
  <c r="G21" i="7" s="1"/>
  <c r="L20" i="7"/>
  <c r="K20" i="7"/>
  <c r="L19" i="7"/>
  <c r="D19" i="7" s="1"/>
  <c r="G19" i="7" s="1"/>
  <c r="L18" i="7"/>
  <c r="L17" i="7"/>
  <c r="D17" i="7" s="1"/>
  <c r="G17" i="7" s="1"/>
  <c r="L16" i="7"/>
  <c r="D16" i="7" s="1"/>
  <c r="G16" i="7" s="1"/>
  <c r="K18" i="7"/>
  <c r="K15" i="7"/>
  <c r="K12" i="7"/>
  <c r="K13" i="7"/>
  <c r="K14" i="7"/>
  <c r="K11" i="7"/>
  <c r="K10" i="7"/>
  <c r="K7" i="7"/>
  <c r="K6" i="7"/>
  <c r="K3" i="7"/>
  <c r="L15" i="7"/>
  <c r="L14" i="7"/>
  <c r="L13" i="7"/>
  <c r="L12" i="7"/>
  <c r="L11" i="7"/>
  <c r="L10" i="7"/>
  <c r="L9" i="7"/>
  <c r="D9" i="7" s="1"/>
  <c r="G9" i="7" s="1"/>
  <c r="L8" i="7"/>
  <c r="D8" i="7" s="1"/>
  <c r="G8" i="7" s="1"/>
  <c r="L7" i="7"/>
  <c r="L6" i="7"/>
  <c r="L5" i="7"/>
  <c r="D5" i="7" s="1"/>
  <c r="G5" i="7" s="1"/>
  <c r="L4" i="7"/>
  <c r="D4" i="7" s="1"/>
  <c r="G4" i="7" s="1"/>
  <c r="L3" i="7"/>
  <c r="D3" i="7" l="1"/>
  <c r="G3" i="7" s="1"/>
  <c r="G236" i="7"/>
  <c r="D31" i="7"/>
  <c r="G31" i="7" s="1"/>
  <c r="D22" i="7"/>
  <c r="G22" i="7" s="1"/>
  <c r="D114" i="7"/>
  <c r="G114" i="7" s="1"/>
  <c r="D32" i="7"/>
  <c r="G32" i="7" s="1"/>
  <c r="D12" i="7"/>
  <c r="G12" i="7" s="1"/>
  <c r="D18" i="7"/>
  <c r="G18" i="7" s="1"/>
  <c r="D26" i="7"/>
  <c r="G26" i="7" s="1"/>
  <c r="D52" i="7"/>
  <c r="G52" i="7" s="1"/>
  <c r="D10" i="7"/>
  <c r="G10" i="7" s="1"/>
  <c r="D11" i="7"/>
  <c r="G11" i="7" s="1"/>
  <c r="D50" i="7"/>
  <c r="G50" i="7" s="1"/>
  <c r="D13" i="7"/>
  <c r="G13" i="7" s="1"/>
  <c r="D35" i="7"/>
  <c r="G35" i="7" s="1"/>
  <c r="D44" i="7"/>
  <c r="G44" i="7" s="1"/>
  <c r="D119" i="7"/>
  <c r="G119" i="7" s="1"/>
  <c r="D15" i="7"/>
  <c r="G15" i="7" s="1"/>
  <c r="D45" i="7"/>
  <c r="G45" i="7" s="1"/>
  <c r="D6" i="7"/>
  <c r="G6" i="7" s="1"/>
  <c r="D37" i="7"/>
  <c r="G37" i="7" s="1"/>
  <c r="D20" i="7"/>
  <c r="G20" i="7" s="1"/>
  <c r="D46" i="7"/>
  <c r="G46" i="7" s="1"/>
  <c r="D39" i="7"/>
  <c r="G39" i="7" s="1"/>
  <c r="D57" i="7"/>
  <c r="G57" i="7" s="1"/>
  <c r="D7" i="7"/>
  <c r="G7" i="7" s="1"/>
  <c r="D14" i="7"/>
  <c r="G14" i="7" s="1"/>
  <c r="D23" i="7"/>
  <c r="G23" i="7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G128" i="7" l="1"/>
  <c r="H89" i="5"/>
  <c r="G89" i="5"/>
  <c r="G90" i="5" s="1"/>
  <c r="G44" i="5"/>
  <c r="H44" i="5"/>
  <c r="H46" i="6"/>
  <c r="G127" i="5"/>
  <c r="G128" i="5" s="1"/>
  <c r="H127" i="5"/>
  <c r="AD73" i="4"/>
  <c r="AD72" i="4"/>
  <c r="AD71" i="4"/>
  <c r="AD70" i="4"/>
  <c r="AD69" i="4"/>
  <c r="AD68" i="4"/>
  <c r="AD67" i="4"/>
  <c r="AD66" i="4"/>
  <c r="AD65" i="4"/>
  <c r="AD64" i="4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G233" i="3"/>
  <c r="B233" i="3"/>
  <c r="G232" i="3"/>
  <c r="B232" i="3"/>
  <c r="G231" i="3"/>
  <c r="B231" i="3"/>
  <c r="C231" i="3" s="1"/>
  <c r="G230" i="3"/>
  <c r="B230" i="3"/>
  <c r="G229" i="3"/>
  <c r="B229" i="3"/>
  <c r="G228" i="3"/>
  <c r="B228" i="3"/>
  <c r="G227" i="3"/>
  <c r="B227" i="3"/>
  <c r="G226" i="3"/>
  <c r="B226" i="3"/>
  <c r="G225" i="3"/>
  <c r="B225" i="3"/>
  <c r="G224" i="3"/>
  <c r="B224" i="3"/>
  <c r="G223" i="3"/>
  <c r="B223" i="3"/>
  <c r="G222" i="3"/>
  <c r="B222" i="3"/>
  <c r="G221" i="3"/>
  <c r="B221" i="3"/>
  <c r="G220" i="3"/>
  <c r="B220" i="3"/>
  <c r="C220" i="3" s="1"/>
  <c r="G219" i="3"/>
  <c r="B219" i="3"/>
  <c r="G218" i="3"/>
  <c r="B218" i="3"/>
  <c r="G217" i="3"/>
  <c r="B217" i="3"/>
  <c r="G216" i="3"/>
  <c r="B216" i="3"/>
  <c r="G215" i="3"/>
  <c r="B215" i="3"/>
  <c r="G214" i="3"/>
  <c r="B214" i="3"/>
  <c r="G213" i="3"/>
  <c r="B213" i="3"/>
  <c r="G212" i="3"/>
  <c r="B212" i="3"/>
  <c r="G211" i="3"/>
  <c r="B211" i="3"/>
  <c r="G210" i="3"/>
  <c r="B210" i="3"/>
  <c r="G209" i="3"/>
  <c r="B209" i="3"/>
  <c r="C209" i="3" s="1"/>
  <c r="G208" i="3"/>
  <c r="B208" i="3"/>
  <c r="G207" i="3"/>
  <c r="B207" i="3"/>
  <c r="G206" i="3"/>
  <c r="B206" i="3"/>
  <c r="G205" i="3"/>
  <c r="B205" i="3"/>
  <c r="G204" i="3"/>
  <c r="B204" i="3"/>
  <c r="G203" i="3"/>
  <c r="B203" i="3"/>
  <c r="C203" i="3" s="1"/>
  <c r="G202" i="3"/>
  <c r="B202" i="3"/>
  <c r="C202" i="3" s="1"/>
  <c r="G201" i="3"/>
  <c r="B201" i="3"/>
  <c r="G200" i="3"/>
  <c r="B200" i="3"/>
  <c r="G199" i="3"/>
  <c r="B199" i="3"/>
  <c r="G198" i="3"/>
  <c r="B198" i="3"/>
  <c r="G197" i="3"/>
  <c r="B197" i="3"/>
  <c r="G196" i="3"/>
  <c r="B196" i="3"/>
  <c r="C195" i="3"/>
  <c r="G195" i="3"/>
  <c r="B195" i="3"/>
  <c r="G194" i="3"/>
  <c r="B194" i="3"/>
  <c r="G193" i="3"/>
  <c r="B193" i="3"/>
  <c r="G192" i="3"/>
  <c r="B192" i="3"/>
  <c r="G191" i="3"/>
  <c r="B191" i="3"/>
  <c r="G190" i="3"/>
  <c r="B190" i="3"/>
  <c r="G189" i="3"/>
  <c r="B189" i="3"/>
  <c r="G188" i="3"/>
  <c r="B188" i="3"/>
  <c r="G187" i="3"/>
  <c r="B187" i="3"/>
  <c r="G186" i="3"/>
  <c r="B186" i="3"/>
  <c r="C186" i="3" s="1"/>
  <c r="C185" i="3"/>
  <c r="G185" i="3"/>
  <c r="B185" i="3"/>
  <c r="G184" i="3"/>
  <c r="B184" i="3"/>
  <c r="G183" i="3"/>
  <c r="B183" i="3"/>
  <c r="G182" i="3"/>
  <c r="B182" i="3"/>
  <c r="G181" i="3"/>
  <c r="B181" i="3"/>
  <c r="G180" i="3"/>
  <c r="B180" i="3"/>
  <c r="G179" i="3"/>
  <c r="B179" i="3"/>
  <c r="G178" i="3"/>
  <c r="B178" i="3"/>
  <c r="C178" i="3" s="1"/>
  <c r="G177" i="3"/>
  <c r="B177" i="3"/>
  <c r="G176" i="3"/>
  <c r="B176" i="3"/>
  <c r="G175" i="3"/>
  <c r="B175" i="3"/>
  <c r="G174" i="3"/>
  <c r="B174" i="3"/>
  <c r="G173" i="3"/>
  <c r="B173" i="3"/>
  <c r="C173" i="3" s="1"/>
  <c r="G172" i="3"/>
  <c r="B172" i="3"/>
  <c r="G171" i="3"/>
  <c r="B171" i="3"/>
  <c r="G170" i="3"/>
  <c r="B170" i="3"/>
  <c r="G169" i="3"/>
  <c r="B169" i="3"/>
  <c r="G168" i="3"/>
  <c r="B168" i="3"/>
  <c r="G167" i="3"/>
  <c r="B167" i="3"/>
  <c r="C167" i="3" s="1"/>
  <c r="G166" i="3"/>
  <c r="B166" i="3"/>
  <c r="G165" i="3"/>
  <c r="B165" i="3"/>
  <c r="G164" i="3"/>
  <c r="B164" i="3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C12" i="3" s="1"/>
  <c r="B11" i="3"/>
  <c r="B10" i="3"/>
  <c r="B9" i="3"/>
  <c r="B8" i="3"/>
  <c r="B7" i="3"/>
  <c r="B6" i="3"/>
  <c r="B5" i="3"/>
  <c r="B4" i="3"/>
  <c r="C172" i="3" l="1"/>
  <c r="C233" i="3"/>
  <c r="G45" i="5"/>
  <c r="C169" i="3"/>
  <c r="H169" i="3" s="1"/>
  <c r="C181" i="3"/>
  <c r="C193" i="3"/>
  <c r="I193" i="3" s="1"/>
  <c r="C205" i="3"/>
  <c r="C217" i="3"/>
  <c r="I217" i="3" s="1"/>
  <c r="C229" i="3"/>
  <c r="C4" i="3"/>
  <c r="I4" i="3" s="1"/>
  <c r="C226" i="3"/>
  <c r="C170" i="3"/>
  <c r="H170" i="3" s="1"/>
  <c r="C182" i="3"/>
  <c r="C194" i="3"/>
  <c r="I194" i="3" s="1"/>
  <c r="C206" i="3"/>
  <c r="H206" i="3" s="1"/>
  <c r="C218" i="3"/>
  <c r="I218" i="3" s="1"/>
  <c r="C230" i="3"/>
  <c r="C171" i="3"/>
  <c r="H171" i="3" s="1"/>
  <c r="C183" i="3"/>
  <c r="C207" i="3"/>
  <c r="I207" i="3" s="1"/>
  <c r="C219" i="3"/>
  <c r="C197" i="3"/>
  <c r="I197" i="3" s="1"/>
  <c r="C221" i="3"/>
  <c r="I221" i="3" s="1"/>
  <c r="C175" i="3"/>
  <c r="I175" i="3" s="1"/>
  <c r="C187" i="3"/>
  <c r="C199" i="3"/>
  <c r="H199" i="3" s="1"/>
  <c r="C211" i="3"/>
  <c r="I211" i="3" s="1"/>
  <c r="C223" i="3"/>
  <c r="C188" i="3"/>
  <c r="I188" i="3" s="1"/>
  <c r="C200" i="3"/>
  <c r="H200" i="3" s="1"/>
  <c r="C212" i="3"/>
  <c r="C224" i="3"/>
  <c r="I224" i="3" s="1"/>
  <c r="C165" i="3"/>
  <c r="H165" i="3" s="1"/>
  <c r="C177" i="3"/>
  <c r="C189" i="3"/>
  <c r="H189" i="3" s="1"/>
  <c r="C201" i="3"/>
  <c r="I201" i="3" s="1"/>
  <c r="C213" i="3"/>
  <c r="C225" i="3"/>
  <c r="H225" i="3" s="1"/>
  <c r="C179" i="3"/>
  <c r="I179" i="3" s="1"/>
  <c r="C191" i="3"/>
  <c r="C215" i="3"/>
  <c r="I215" i="3" s="1"/>
  <c r="C227" i="3"/>
  <c r="H227" i="3" s="1"/>
  <c r="C228" i="3"/>
  <c r="C196" i="3"/>
  <c r="H196" i="3" s="1"/>
  <c r="C164" i="3"/>
  <c r="H164" i="3" s="1"/>
  <c r="C192" i="3"/>
  <c r="H192" i="3" s="1"/>
  <c r="C210" i="3"/>
  <c r="H210" i="3" s="1"/>
  <c r="C8" i="3"/>
  <c r="I8" i="3" s="1"/>
  <c r="C44" i="3"/>
  <c r="H44" i="3" s="1"/>
  <c r="C32" i="3"/>
  <c r="H32" i="3" s="1"/>
  <c r="C20" i="3"/>
  <c r="I20" i="3" s="1"/>
  <c r="C26" i="3"/>
  <c r="H26" i="3" s="1"/>
  <c r="C222" i="3"/>
  <c r="I222" i="3" s="1"/>
  <c r="C15" i="3"/>
  <c r="H15" i="3" s="1"/>
  <c r="C180" i="3"/>
  <c r="H180" i="3" s="1"/>
  <c r="C190" i="3"/>
  <c r="H190" i="3" s="1"/>
  <c r="C5" i="3"/>
  <c r="H5" i="3" s="1"/>
  <c r="C17" i="3"/>
  <c r="H17" i="3" s="1"/>
  <c r="C29" i="3"/>
  <c r="I29" i="3" s="1"/>
  <c r="C41" i="3"/>
  <c r="I41" i="3" s="1"/>
  <c r="C53" i="3"/>
  <c r="I53" i="3" s="1"/>
  <c r="C65" i="3"/>
  <c r="I65" i="3" s="1"/>
  <c r="C166" i="3"/>
  <c r="I166" i="3" s="1"/>
  <c r="C176" i="3"/>
  <c r="I176" i="3" s="1"/>
  <c r="C6" i="3"/>
  <c r="I6" i="3" s="1"/>
  <c r="C18" i="3"/>
  <c r="H18" i="3" s="1"/>
  <c r="C30" i="3"/>
  <c r="I30" i="3" s="1"/>
  <c r="C42" i="3"/>
  <c r="I42" i="3" s="1"/>
  <c r="C54" i="3"/>
  <c r="I54" i="3" s="1"/>
  <c r="C66" i="3"/>
  <c r="I66" i="3" s="1"/>
  <c r="C216" i="3"/>
  <c r="I216" i="3" s="1"/>
  <c r="C7" i="3"/>
  <c r="I7" i="3" s="1"/>
  <c r="C19" i="3"/>
  <c r="I19" i="3" s="1"/>
  <c r="C31" i="3"/>
  <c r="H31" i="3" s="1"/>
  <c r="C43" i="3"/>
  <c r="I43" i="3" s="1"/>
  <c r="C67" i="3"/>
  <c r="I67" i="3" s="1"/>
  <c r="C168" i="3"/>
  <c r="H168" i="3" s="1"/>
  <c r="C11" i="3"/>
  <c r="H11" i="3" s="1"/>
  <c r="C23" i="3"/>
  <c r="I23" i="3" s="1"/>
  <c r="C35" i="3"/>
  <c r="I35" i="3" s="1"/>
  <c r="C47" i="3"/>
  <c r="I47" i="3" s="1"/>
  <c r="C198" i="3"/>
  <c r="H198" i="3" s="1"/>
  <c r="C208" i="3"/>
  <c r="I208" i="3" s="1"/>
  <c r="C232" i="3"/>
  <c r="I232" i="3" s="1"/>
  <c r="C174" i="3"/>
  <c r="I174" i="3" s="1"/>
  <c r="C184" i="3"/>
  <c r="H184" i="3" s="1"/>
  <c r="C204" i="3"/>
  <c r="H204" i="3" s="1"/>
  <c r="C214" i="3"/>
  <c r="I214" i="3" s="1"/>
  <c r="C10" i="3"/>
  <c r="I10" i="3" s="1"/>
  <c r="C22" i="3"/>
  <c r="I22" i="3" s="1"/>
  <c r="C34" i="3"/>
  <c r="I34" i="3" s="1"/>
  <c r="C27" i="3"/>
  <c r="I27" i="3" s="1"/>
  <c r="C16" i="3"/>
  <c r="I16" i="3" s="1"/>
  <c r="H172" i="3"/>
  <c r="I172" i="3"/>
  <c r="I184" i="3"/>
  <c r="I212" i="3"/>
  <c r="H212" i="3"/>
  <c r="I220" i="3"/>
  <c r="H220" i="3"/>
  <c r="H228" i="3"/>
  <c r="I228" i="3"/>
  <c r="I165" i="3"/>
  <c r="I169" i="3"/>
  <c r="I173" i="3"/>
  <c r="H173" i="3"/>
  <c r="I177" i="3"/>
  <c r="H177" i="3"/>
  <c r="I181" i="3"/>
  <c r="H181" i="3"/>
  <c r="I185" i="3"/>
  <c r="H185" i="3"/>
  <c r="I205" i="3"/>
  <c r="H205" i="3"/>
  <c r="I209" i="3"/>
  <c r="H209" i="3"/>
  <c r="I213" i="3"/>
  <c r="H213" i="3"/>
  <c r="I225" i="3"/>
  <c r="I229" i="3"/>
  <c r="H229" i="3"/>
  <c r="I233" i="3"/>
  <c r="H233" i="3"/>
  <c r="H188" i="3"/>
  <c r="I170" i="3"/>
  <c r="H178" i="3"/>
  <c r="I178" i="3"/>
  <c r="H182" i="3"/>
  <c r="I182" i="3"/>
  <c r="H194" i="3"/>
  <c r="I202" i="3"/>
  <c r="H202" i="3"/>
  <c r="H230" i="3"/>
  <c r="I230" i="3"/>
  <c r="I167" i="3"/>
  <c r="H167" i="3"/>
  <c r="I171" i="3"/>
  <c r="I187" i="3"/>
  <c r="H187" i="3"/>
  <c r="I191" i="3"/>
  <c r="H191" i="3"/>
  <c r="I195" i="3"/>
  <c r="H195" i="3"/>
  <c r="I199" i="3"/>
  <c r="I203" i="3"/>
  <c r="H203" i="3"/>
  <c r="I219" i="3"/>
  <c r="H219" i="3"/>
  <c r="I223" i="3"/>
  <c r="H223" i="3"/>
  <c r="I227" i="3"/>
  <c r="I231" i="3"/>
  <c r="H231" i="3"/>
  <c r="H174" i="3"/>
  <c r="H186" i="3"/>
  <c r="I186" i="3"/>
  <c r="I226" i="3"/>
  <c r="H226" i="3"/>
  <c r="I183" i="3"/>
  <c r="H183" i="3"/>
  <c r="C13" i="3"/>
  <c r="H13" i="3" s="1"/>
  <c r="C25" i="3"/>
  <c r="H25" i="3" s="1"/>
  <c r="C37" i="3"/>
  <c r="I37" i="3" s="1"/>
  <c r="C49" i="3"/>
  <c r="I49" i="3" s="1"/>
  <c r="C51" i="3"/>
  <c r="I51" i="3" s="1"/>
  <c r="C9" i="3"/>
  <c r="H9" i="3" s="1"/>
  <c r="C33" i="3"/>
  <c r="H33" i="3" s="1"/>
  <c r="C45" i="3"/>
  <c r="I45" i="3" s="1"/>
  <c r="C57" i="3"/>
  <c r="H57" i="3" s="1"/>
  <c r="C46" i="3"/>
  <c r="I46" i="3" s="1"/>
  <c r="C58" i="3"/>
  <c r="I58" i="3" s="1"/>
  <c r="C70" i="3"/>
  <c r="I70" i="3" s="1"/>
  <c r="C59" i="3"/>
  <c r="I59" i="3" s="1"/>
  <c r="C71" i="3"/>
  <c r="I71" i="3" s="1"/>
  <c r="C24" i="3"/>
  <c r="I24" i="3" s="1"/>
  <c r="C36" i="3"/>
  <c r="I36" i="3" s="1"/>
  <c r="C48" i="3"/>
  <c r="I48" i="3" s="1"/>
  <c r="C60" i="3"/>
  <c r="I60" i="3" s="1"/>
  <c r="C72" i="3"/>
  <c r="I72" i="3" s="1"/>
  <c r="C68" i="3"/>
  <c r="H68" i="3" s="1"/>
  <c r="C56" i="3"/>
  <c r="I56" i="3" s="1"/>
  <c r="C55" i="3"/>
  <c r="H55" i="3" s="1"/>
  <c r="C61" i="3"/>
  <c r="H61" i="3" s="1"/>
  <c r="C73" i="3"/>
  <c r="I73" i="3" s="1"/>
  <c r="C28" i="3"/>
  <c r="I28" i="3" s="1"/>
  <c r="C39" i="3"/>
  <c r="I39" i="3" s="1"/>
  <c r="C40" i="3"/>
  <c r="I40" i="3" s="1"/>
  <c r="C63" i="3"/>
  <c r="I63" i="3" s="1"/>
  <c r="C52" i="3"/>
  <c r="H52" i="3" s="1"/>
  <c r="C64" i="3"/>
  <c r="I64" i="3" s="1"/>
  <c r="C14" i="3"/>
  <c r="I14" i="3" s="1"/>
  <c r="C21" i="3"/>
  <c r="I21" i="3" s="1"/>
  <c r="C62" i="3"/>
  <c r="I62" i="3" s="1"/>
  <c r="C50" i="3"/>
  <c r="I50" i="3" s="1"/>
  <c r="C69" i="3"/>
  <c r="H69" i="3" s="1"/>
  <c r="C38" i="3"/>
  <c r="I38" i="3" s="1"/>
  <c r="H19" i="3"/>
  <c r="I5" i="3"/>
  <c r="I44" i="3"/>
  <c r="H53" i="3"/>
  <c r="I12" i="3"/>
  <c r="H12" i="3"/>
  <c r="H4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79" i="3"/>
  <c r="B114" i="3"/>
  <c r="C114" i="3" s="1"/>
  <c r="B115" i="3"/>
  <c r="C115" i="3" s="1"/>
  <c r="B116" i="3"/>
  <c r="C116" i="3" s="1"/>
  <c r="B117" i="3"/>
  <c r="C117" i="3" s="1"/>
  <c r="B118" i="3"/>
  <c r="C118" i="3" s="1"/>
  <c r="B119" i="3"/>
  <c r="C119" i="3" s="1"/>
  <c r="B120" i="3"/>
  <c r="C120" i="3" s="1"/>
  <c r="B121" i="3"/>
  <c r="C121" i="3" s="1"/>
  <c r="B122" i="3"/>
  <c r="C122" i="3" s="1"/>
  <c r="B123" i="3"/>
  <c r="C123" i="3" s="1"/>
  <c r="B124" i="3"/>
  <c r="C124" i="3" s="1"/>
  <c r="B125" i="3"/>
  <c r="C125" i="3" s="1"/>
  <c r="B126" i="3"/>
  <c r="C126" i="3" s="1"/>
  <c r="B127" i="3"/>
  <c r="C127" i="3" s="1"/>
  <c r="B128" i="3"/>
  <c r="C128" i="3" s="1"/>
  <c r="B129" i="3"/>
  <c r="C129" i="3" s="1"/>
  <c r="I129" i="3" s="1"/>
  <c r="B130" i="3"/>
  <c r="C130" i="3" s="1"/>
  <c r="H130" i="3" s="1"/>
  <c r="B131" i="3"/>
  <c r="C131" i="3" s="1"/>
  <c r="B132" i="3"/>
  <c r="C132" i="3" s="1"/>
  <c r="B133" i="3"/>
  <c r="C133" i="3" s="1"/>
  <c r="B134" i="3"/>
  <c r="C134" i="3" s="1"/>
  <c r="B135" i="3"/>
  <c r="C135" i="3" s="1"/>
  <c r="B136" i="3"/>
  <c r="C136" i="3" s="1"/>
  <c r="I136" i="3" s="1"/>
  <c r="B137" i="3"/>
  <c r="C137" i="3" s="1"/>
  <c r="H137" i="3" s="1"/>
  <c r="B138" i="3"/>
  <c r="C138" i="3" s="1"/>
  <c r="B139" i="3"/>
  <c r="C139" i="3" s="1"/>
  <c r="B140" i="3"/>
  <c r="C140" i="3" s="1"/>
  <c r="B141" i="3"/>
  <c r="C141" i="3" s="1"/>
  <c r="I141" i="3" s="1"/>
  <c r="B142" i="3"/>
  <c r="C142" i="3" s="1"/>
  <c r="H142" i="3" s="1"/>
  <c r="B143" i="3"/>
  <c r="C143" i="3" s="1"/>
  <c r="B144" i="3"/>
  <c r="C144" i="3" s="1"/>
  <c r="B145" i="3"/>
  <c r="C145" i="3" s="1"/>
  <c r="B146" i="3"/>
  <c r="C146" i="3" s="1"/>
  <c r="I146" i="3" s="1"/>
  <c r="B147" i="3"/>
  <c r="C147" i="3" s="1"/>
  <c r="B148" i="3"/>
  <c r="C148" i="3" s="1"/>
  <c r="I148" i="3" s="1"/>
  <c r="B149" i="3"/>
  <c r="C149" i="3" s="1"/>
  <c r="I149" i="3" s="1"/>
  <c r="B150" i="3"/>
  <c r="C150" i="3" s="1"/>
  <c r="B95" i="3"/>
  <c r="C95" i="3" s="1"/>
  <c r="B96" i="3"/>
  <c r="C96" i="3" s="1"/>
  <c r="H96" i="3" s="1"/>
  <c r="B97" i="3"/>
  <c r="C97" i="3" s="1"/>
  <c r="H97" i="3" s="1"/>
  <c r="B98" i="3"/>
  <c r="C98" i="3" s="1"/>
  <c r="H98" i="3" s="1"/>
  <c r="B99" i="3"/>
  <c r="C99" i="3" s="1"/>
  <c r="B100" i="3"/>
  <c r="C100" i="3" s="1"/>
  <c r="B101" i="3"/>
  <c r="C101" i="3" s="1"/>
  <c r="B102" i="3"/>
  <c r="C102" i="3" s="1"/>
  <c r="B103" i="3"/>
  <c r="C103" i="3" s="1"/>
  <c r="H103" i="3" s="1"/>
  <c r="B104" i="3"/>
  <c r="C104" i="3" s="1"/>
  <c r="H104" i="3" s="1"/>
  <c r="B105" i="3"/>
  <c r="C105" i="3" s="1"/>
  <c r="B106" i="3"/>
  <c r="C106" i="3" s="1"/>
  <c r="B107" i="3"/>
  <c r="C107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C113" i="3" s="1"/>
  <c r="B80" i="3"/>
  <c r="C80" i="3" s="1"/>
  <c r="H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H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H92" i="3" s="1"/>
  <c r="B93" i="3"/>
  <c r="C93" i="3" s="1"/>
  <c r="B94" i="3"/>
  <c r="C94" i="3" s="1"/>
  <c r="B158" i="3"/>
  <c r="C158" i="3" s="1"/>
  <c r="B151" i="3"/>
  <c r="C151" i="3" s="1"/>
  <c r="B152" i="3"/>
  <c r="C152" i="3" s="1"/>
  <c r="B153" i="3"/>
  <c r="C153" i="3" s="1"/>
  <c r="B154" i="3"/>
  <c r="C154" i="3" s="1"/>
  <c r="B155" i="3"/>
  <c r="C155" i="3" s="1"/>
  <c r="B156" i="3"/>
  <c r="C156" i="3" s="1"/>
  <c r="B157" i="3"/>
  <c r="C157" i="3" s="1"/>
  <c r="H157" i="3" s="1"/>
  <c r="B79" i="3"/>
  <c r="C79" i="3" s="1"/>
  <c r="H201" i="3" l="1"/>
  <c r="I210" i="3"/>
  <c r="H197" i="3"/>
  <c r="H8" i="3"/>
  <c r="I189" i="3"/>
  <c r="H41" i="3"/>
  <c r="H221" i="3"/>
  <c r="H175" i="3"/>
  <c r="H207" i="3"/>
  <c r="H224" i="3"/>
  <c r="H215" i="3"/>
  <c r="H218" i="3"/>
  <c r="H166" i="3"/>
  <c r="I200" i="3"/>
  <c r="H217" i="3"/>
  <c r="H193" i="3"/>
  <c r="I196" i="3"/>
  <c r="H211" i="3"/>
  <c r="H179" i="3"/>
  <c r="I164" i="3"/>
  <c r="I108" i="3"/>
  <c r="I206" i="3"/>
  <c r="H47" i="3"/>
  <c r="I18" i="3"/>
  <c r="H222" i="3"/>
  <c r="I15" i="3"/>
  <c r="H30" i="3"/>
  <c r="H34" i="3"/>
  <c r="I180" i="3"/>
  <c r="H22" i="3"/>
  <c r="H6" i="3"/>
  <c r="I11" i="3"/>
  <c r="H72" i="3"/>
  <c r="I68" i="3"/>
  <c r="H232" i="3"/>
  <c r="H7" i="3"/>
  <c r="I192" i="3"/>
  <c r="I190" i="3"/>
  <c r="H58" i="3"/>
  <c r="H49" i="3"/>
  <c r="I32" i="3"/>
  <c r="I31" i="3"/>
  <c r="H214" i="3"/>
  <c r="I26" i="3"/>
  <c r="H43" i="3"/>
  <c r="H20" i="3"/>
  <c r="H42" i="3"/>
  <c r="H208" i="3"/>
  <c r="I204" i="3"/>
  <c r="I17" i="3"/>
  <c r="H67" i="3"/>
  <c r="H65" i="3"/>
  <c r="H29" i="3"/>
  <c r="H51" i="3"/>
  <c r="H10" i="3"/>
  <c r="H54" i="3"/>
  <c r="I168" i="3"/>
  <c r="H63" i="3"/>
  <c r="H23" i="3"/>
  <c r="H66" i="3"/>
  <c r="H216" i="3"/>
  <c r="H37" i="3"/>
  <c r="H27" i="3"/>
  <c r="I25" i="3"/>
  <c r="H35" i="3"/>
  <c r="H70" i="3"/>
  <c r="I198" i="3"/>
  <c r="H176" i="3"/>
  <c r="H48" i="3"/>
  <c r="H45" i="3"/>
  <c r="I57" i="3"/>
  <c r="H16" i="3"/>
  <c r="H46" i="3"/>
  <c r="H36" i="3"/>
  <c r="I9" i="3"/>
  <c r="H71" i="3"/>
  <c r="I33" i="3"/>
  <c r="H24" i="3"/>
  <c r="H60" i="3"/>
  <c r="I13" i="3"/>
  <c r="H59" i="3"/>
  <c r="H73" i="3"/>
  <c r="I55" i="3"/>
  <c r="H56" i="3"/>
  <c r="I61" i="3"/>
  <c r="I69" i="3"/>
  <c r="H62" i="3"/>
  <c r="H28" i="3"/>
  <c r="H14" i="3"/>
  <c r="H39" i="3"/>
  <c r="H40" i="3"/>
  <c r="H38" i="3"/>
  <c r="H50" i="3"/>
  <c r="H64" i="3"/>
  <c r="I134" i="3"/>
  <c r="I52" i="3"/>
  <c r="H21" i="3"/>
  <c r="H129" i="3"/>
  <c r="I83" i="3"/>
  <c r="H83" i="3"/>
  <c r="H82" i="3"/>
  <c r="I82" i="3"/>
  <c r="H93" i="3"/>
  <c r="I93" i="3"/>
  <c r="I135" i="3"/>
  <c r="H135" i="3"/>
  <c r="I122" i="3"/>
  <c r="H122" i="3"/>
  <c r="H79" i="3"/>
  <c r="I79" i="3"/>
  <c r="H113" i="3"/>
  <c r="I113" i="3"/>
  <c r="H145" i="3"/>
  <c r="I145" i="3"/>
  <c r="I121" i="3"/>
  <c r="H121" i="3"/>
  <c r="H112" i="3"/>
  <c r="I112" i="3"/>
  <c r="H100" i="3"/>
  <c r="I100" i="3"/>
  <c r="H144" i="3"/>
  <c r="I144" i="3"/>
  <c r="I132" i="3"/>
  <c r="H132" i="3"/>
  <c r="I120" i="3"/>
  <c r="H120" i="3"/>
  <c r="H156" i="3"/>
  <c r="I156" i="3"/>
  <c r="H89" i="3"/>
  <c r="I89" i="3"/>
  <c r="I111" i="3"/>
  <c r="H111" i="3"/>
  <c r="H99" i="3"/>
  <c r="I99" i="3"/>
  <c r="H143" i="3"/>
  <c r="I143" i="3"/>
  <c r="I131" i="3"/>
  <c r="H131" i="3"/>
  <c r="I119" i="3"/>
  <c r="H119" i="3"/>
  <c r="H105" i="3"/>
  <c r="I105" i="3"/>
  <c r="H94" i="3"/>
  <c r="I94" i="3"/>
  <c r="I81" i="3"/>
  <c r="H81" i="3"/>
  <c r="I123" i="3"/>
  <c r="H123" i="3"/>
  <c r="H102" i="3"/>
  <c r="I102" i="3"/>
  <c r="H91" i="3"/>
  <c r="I91" i="3"/>
  <c r="H101" i="3"/>
  <c r="I101" i="3"/>
  <c r="I133" i="3"/>
  <c r="H133" i="3"/>
  <c r="H90" i="3"/>
  <c r="I90" i="3"/>
  <c r="H155" i="3"/>
  <c r="I155" i="3"/>
  <c r="H88" i="3"/>
  <c r="I88" i="3"/>
  <c r="I110" i="3"/>
  <c r="H110" i="3"/>
  <c r="H118" i="3"/>
  <c r="I118" i="3"/>
  <c r="H154" i="3"/>
  <c r="I154" i="3"/>
  <c r="H87" i="3"/>
  <c r="I87" i="3"/>
  <c r="I109" i="3"/>
  <c r="H109" i="3"/>
  <c r="H117" i="3"/>
  <c r="I117" i="3"/>
  <c r="I153" i="3"/>
  <c r="H153" i="3"/>
  <c r="I140" i="3"/>
  <c r="H140" i="3"/>
  <c r="H128" i="3"/>
  <c r="I128" i="3"/>
  <c r="H116" i="3"/>
  <c r="I116" i="3"/>
  <c r="H158" i="3"/>
  <c r="I158" i="3"/>
  <c r="I125" i="3"/>
  <c r="H125" i="3"/>
  <c r="I124" i="3"/>
  <c r="H124" i="3"/>
  <c r="I147" i="3"/>
  <c r="H147" i="3"/>
  <c r="I152" i="3"/>
  <c r="H152" i="3"/>
  <c r="H85" i="3"/>
  <c r="I85" i="3"/>
  <c r="I107" i="3"/>
  <c r="H107" i="3"/>
  <c r="I95" i="3"/>
  <c r="H95" i="3"/>
  <c r="H139" i="3"/>
  <c r="I139" i="3"/>
  <c r="H127" i="3"/>
  <c r="I127" i="3"/>
  <c r="H115" i="3"/>
  <c r="I115" i="3"/>
  <c r="I151" i="3"/>
  <c r="H151" i="3"/>
  <c r="I84" i="3"/>
  <c r="H84" i="3"/>
  <c r="H106" i="3"/>
  <c r="I106" i="3"/>
  <c r="I150" i="3"/>
  <c r="H150" i="3"/>
  <c r="I138" i="3"/>
  <c r="H138" i="3"/>
  <c r="I126" i="3"/>
  <c r="H126" i="3"/>
  <c r="H114" i="3"/>
  <c r="I114" i="3"/>
  <c r="H141" i="3"/>
  <c r="I130" i="3"/>
  <c r="H136" i="3"/>
  <c r="I104" i="3"/>
  <c r="I92" i="3"/>
  <c r="I80" i="3"/>
  <c r="H108" i="3"/>
  <c r="I103" i="3"/>
  <c r="I142" i="3"/>
  <c r="H134" i="3"/>
  <c r="H149" i="3"/>
  <c r="H148" i="3"/>
  <c r="I137" i="3"/>
  <c r="H146" i="3"/>
  <c r="I157" i="3"/>
  <c r="I98" i="3"/>
  <c r="I86" i="3"/>
  <c r="I97" i="3"/>
  <c r="I96" i="3"/>
  <c r="K67" i="2"/>
  <c r="H67" i="2"/>
  <c r="G67" i="2"/>
  <c r="K66" i="2"/>
  <c r="H66" i="2"/>
  <c r="J66" i="2" s="1"/>
  <c r="G66" i="2"/>
  <c r="K65" i="2"/>
  <c r="H65" i="2"/>
  <c r="G65" i="2"/>
  <c r="K64" i="2"/>
  <c r="H64" i="2"/>
  <c r="G64" i="2"/>
  <c r="K63" i="2"/>
  <c r="H63" i="2"/>
  <c r="G63" i="2"/>
  <c r="K62" i="2"/>
  <c r="H62" i="2"/>
  <c r="J62" i="2" s="1"/>
  <c r="G62" i="2"/>
  <c r="K61" i="2"/>
  <c r="H61" i="2"/>
  <c r="G61" i="2"/>
  <c r="K60" i="2"/>
  <c r="H60" i="2"/>
  <c r="G60" i="2"/>
  <c r="K59" i="2"/>
  <c r="H59" i="2"/>
  <c r="G59" i="2"/>
  <c r="K58" i="2"/>
  <c r="H58" i="2"/>
  <c r="J58" i="2" s="1"/>
  <c r="G58" i="2"/>
  <c r="K57" i="2"/>
  <c r="H57" i="2"/>
  <c r="J57" i="2" s="1"/>
  <c r="G57" i="2"/>
  <c r="K56" i="2"/>
  <c r="H56" i="2"/>
  <c r="G56" i="2"/>
  <c r="K55" i="2"/>
  <c r="H55" i="2"/>
  <c r="J55" i="2" s="1"/>
  <c r="G55" i="2"/>
  <c r="K54" i="2"/>
  <c r="H54" i="2"/>
  <c r="G54" i="2"/>
  <c r="K53" i="2"/>
  <c r="H53" i="2"/>
  <c r="G53" i="2"/>
  <c r="K52" i="2"/>
  <c r="H52" i="2"/>
  <c r="J52" i="2" s="1"/>
  <c r="G52" i="2"/>
  <c r="K51" i="2"/>
  <c r="H51" i="2"/>
  <c r="G51" i="2"/>
  <c r="K50" i="2"/>
  <c r="H50" i="2"/>
  <c r="G50" i="2"/>
  <c r="K49" i="2"/>
  <c r="H49" i="2"/>
  <c r="G49" i="2"/>
  <c r="K48" i="2"/>
  <c r="H48" i="2"/>
  <c r="G48" i="2"/>
  <c r="K47" i="2"/>
  <c r="H47" i="2"/>
  <c r="G47" i="2"/>
  <c r="K46" i="2"/>
  <c r="H46" i="2"/>
  <c r="G46" i="2"/>
  <c r="K45" i="2"/>
  <c r="H45" i="2"/>
  <c r="G45" i="2"/>
  <c r="K44" i="2"/>
  <c r="H44" i="2"/>
  <c r="G44" i="2"/>
  <c r="K43" i="2"/>
  <c r="H43" i="2"/>
  <c r="G43" i="2"/>
  <c r="K42" i="2"/>
  <c r="H42" i="2"/>
  <c r="G42" i="2"/>
  <c r="K41" i="2"/>
  <c r="H41" i="2"/>
  <c r="G41" i="2"/>
  <c r="K40" i="2"/>
  <c r="H40" i="2"/>
  <c r="G40" i="2"/>
  <c r="K39" i="2"/>
  <c r="K68" i="2" s="1"/>
  <c r="H39" i="2"/>
  <c r="G39" i="2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63" i="2" l="1"/>
  <c r="J64" i="2"/>
  <c r="K85" i="1"/>
  <c r="J61" i="2"/>
  <c r="J42" i="2"/>
  <c r="J46" i="2"/>
  <c r="J50" i="2"/>
  <c r="J67" i="2"/>
  <c r="J39" i="2"/>
  <c r="J43" i="2"/>
  <c r="J47" i="2"/>
  <c r="J51" i="2"/>
  <c r="J54" i="2"/>
  <c r="J40" i="2"/>
  <c r="J44" i="2"/>
  <c r="J48" i="2"/>
  <c r="J59" i="2"/>
  <c r="J56" i="2"/>
  <c r="J41" i="2"/>
  <c r="J45" i="2"/>
  <c r="J49" i="2"/>
  <c r="J60" i="2"/>
  <c r="J53" i="2"/>
  <c r="J65" i="2"/>
  <c r="I234" i="3"/>
  <c r="H234" i="3"/>
  <c r="I74" i="3"/>
  <c r="H74" i="3"/>
  <c r="H75" i="3" s="1"/>
  <c r="I159" i="3"/>
  <c r="H159" i="3"/>
  <c r="J68" i="2" l="1"/>
  <c r="J69" i="2" s="1"/>
  <c r="H235" i="3"/>
  <c r="H160" i="3"/>
  <c r="F95" i="2"/>
  <c r="K95" i="2" s="1"/>
  <c r="F96" i="2"/>
  <c r="K96" i="2" s="1"/>
  <c r="F97" i="2"/>
  <c r="K97" i="2" s="1"/>
  <c r="F98" i="2"/>
  <c r="K98" i="2" s="1"/>
  <c r="F99" i="2"/>
  <c r="F74" i="2"/>
  <c r="F75" i="2"/>
  <c r="F76" i="2"/>
  <c r="F77" i="2"/>
  <c r="F78" i="2"/>
  <c r="K78" i="2" s="1"/>
  <c r="F79" i="2"/>
  <c r="K79" i="2" s="1"/>
  <c r="F80" i="2"/>
  <c r="F81" i="2"/>
  <c r="F82" i="2"/>
  <c r="K82" i="2" s="1"/>
  <c r="F83" i="2"/>
  <c r="K83" i="2" s="1"/>
  <c r="F84" i="2"/>
  <c r="K84" i="2" s="1"/>
  <c r="F85" i="2"/>
  <c r="K85" i="2" s="1"/>
  <c r="F86" i="2"/>
  <c r="F87" i="2"/>
  <c r="F88" i="2"/>
  <c r="F89" i="2"/>
  <c r="K89" i="2" s="1"/>
  <c r="F90" i="2"/>
  <c r="F91" i="2"/>
  <c r="K91" i="2" s="1"/>
  <c r="F92" i="2"/>
  <c r="F93" i="2"/>
  <c r="K93" i="2" s="1"/>
  <c r="F94" i="2"/>
  <c r="K94" i="2" s="1"/>
  <c r="F73" i="2"/>
  <c r="K73" i="2" s="1"/>
  <c r="H99" i="2"/>
  <c r="G99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H73" i="2"/>
  <c r="G7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G28" i="2"/>
  <c r="G29" i="2"/>
  <c r="G30" i="2"/>
  <c r="G31" i="2"/>
  <c r="G32" i="2"/>
  <c r="G3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F13" i="2"/>
  <c r="K13" i="2" s="1"/>
  <c r="F33" i="2"/>
  <c r="F5" i="2"/>
  <c r="J5" i="2" s="1"/>
  <c r="F6" i="2"/>
  <c r="K6" i="2" s="1"/>
  <c r="F7" i="2"/>
  <c r="K7" i="2" s="1"/>
  <c r="F8" i="2"/>
  <c r="F9" i="2"/>
  <c r="F10" i="2"/>
  <c r="F11" i="2"/>
  <c r="F12" i="2"/>
  <c r="F14" i="2"/>
  <c r="K14" i="2" s="1"/>
  <c r="F15" i="2"/>
  <c r="F16" i="2"/>
  <c r="F17" i="2"/>
  <c r="K17" i="2" s="1"/>
  <c r="F18" i="2"/>
  <c r="K18" i="2" s="1"/>
  <c r="F19" i="2"/>
  <c r="F20" i="2"/>
  <c r="K20" i="2" s="1"/>
  <c r="F21" i="2"/>
  <c r="K21" i="2" s="1"/>
  <c r="F22" i="2"/>
  <c r="K22" i="2" s="1"/>
  <c r="F23" i="2"/>
  <c r="K23" i="2" s="1"/>
  <c r="F24" i="2"/>
  <c r="F25" i="2"/>
  <c r="F26" i="2"/>
  <c r="F27" i="2"/>
  <c r="F28" i="2"/>
  <c r="F29" i="2"/>
  <c r="F30" i="2"/>
  <c r="K30" i="2" s="1"/>
  <c r="F31" i="2"/>
  <c r="F32" i="2"/>
  <c r="F4" i="2"/>
  <c r="B21" i="4"/>
  <c r="B20" i="4"/>
  <c r="J11" i="2" l="1"/>
  <c r="J96" i="2"/>
  <c r="J84" i="2"/>
  <c r="J98" i="2"/>
  <c r="J25" i="2"/>
  <c r="J10" i="2"/>
  <c r="J97" i="2"/>
  <c r="J85" i="2"/>
  <c r="J83" i="2"/>
  <c r="J94" i="2"/>
  <c r="J29" i="2"/>
  <c r="J7" i="2"/>
  <c r="J73" i="2"/>
  <c r="J9" i="2"/>
  <c r="J8" i="2"/>
  <c r="J82" i="2"/>
  <c r="J90" i="2"/>
  <c r="J32" i="2"/>
  <c r="J77" i="2"/>
  <c r="J19" i="2"/>
  <c r="J88" i="2"/>
  <c r="J76" i="2"/>
  <c r="J87" i="2"/>
  <c r="J75" i="2"/>
  <c r="J4" i="2"/>
  <c r="J33" i="2"/>
  <c r="J86" i="2"/>
  <c r="J74" i="2"/>
  <c r="J31" i="2"/>
  <c r="J28" i="2"/>
  <c r="J16" i="2"/>
  <c r="K32" i="2"/>
  <c r="J99" i="2"/>
  <c r="J27" i="2"/>
  <c r="J15" i="2"/>
  <c r="K10" i="2"/>
  <c r="K76" i="2"/>
  <c r="J26" i="2"/>
  <c r="K8" i="2"/>
  <c r="J12" i="2"/>
  <c r="K88" i="2"/>
  <c r="J24" i="2"/>
  <c r="J81" i="2"/>
  <c r="K90" i="2"/>
  <c r="J92" i="2"/>
  <c r="J80" i="2"/>
  <c r="J23" i="2"/>
  <c r="J79" i="2"/>
  <c r="J22" i="2"/>
  <c r="J78" i="2"/>
  <c r="K99" i="2"/>
  <c r="J21" i="2"/>
  <c r="K74" i="2"/>
  <c r="J91" i="2"/>
  <c r="J30" i="2"/>
  <c r="K86" i="2"/>
  <c r="K33" i="2"/>
  <c r="K5" i="2"/>
  <c r="J95" i="2"/>
  <c r="K75" i="2"/>
  <c r="K87" i="2"/>
  <c r="K77" i="2"/>
  <c r="J20" i="2"/>
  <c r="J89" i="2"/>
  <c r="K80" i="2"/>
  <c r="K92" i="2"/>
  <c r="J18" i="2"/>
  <c r="K81" i="2"/>
  <c r="K19" i="2"/>
  <c r="K31" i="2"/>
  <c r="K29" i="2"/>
  <c r="J6" i="2"/>
  <c r="K28" i="2"/>
  <c r="K16" i="2"/>
  <c r="J17" i="2"/>
  <c r="K27" i="2"/>
  <c r="K15" i="2"/>
  <c r="K26" i="2"/>
  <c r="K12" i="2"/>
  <c r="K25" i="2"/>
  <c r="K11" i="2"/>
  <c r="J14" i="2"/>
  <c r="K24" i="2"/>
  <c r="J13" i="2"/>
  <c r="K9" i="2"/>
  <c r="J93" i="2"/>
  <c r="K100" i="2" l="1"/>
  <c r="J100" i="2"/>
  <c r="J34" i="2"/>
  <c r="D23" i="1"/>
  <c r="K23" i="1" s="1"/>
  <c r="I23" i="1"/>
  <c r="J23" i="1" s="1"/>
  <c r="D21" i="1"/>
  <c r="K21" i="1" s="1"/>
  <c r="I21" i="1"/>
  <c r="J21" i="1" s="1"/>
  <c r="A82" i="4"/>
  <c r="B48" i="4"/>
  <c r="D96" i="1" s="1"/>
  <c r="B47" i="4"/>
  <c r="D95" i="1" s="1"/>
  <c r="B43" i="4"/>
  <c r="D91" i="1" s="1"/>
  <c r="B42" i="4"/>
  <c r="D90" i="1" s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2" i="4"/>
  <c r="B23" i="4"/>
  <c r="B24" i="4"/>
  <c r="B25" i="4"/>
  <c r="B26" i="4"/>
  <c r="B27" i="4"/>
  <c r="B28" i="4"/>
  <c r="B29" i="4"/>
  <c r="B30" i="4"/>
  <c r="B31" i="4"/>
  <c r="B32" i="4"/>
  <c r="D33" i="1" s="1"/>
  <c r="K33" i="1" s="1"/>
  <c r="B33" i="4"/>
  <c r="B34" i="4"/>
  <c r="B35" i="4"/>
  <c r="B36" i="4"/>
  <c r="E129" i="1"/>
  <c r="E130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89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89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90" i="1"/>
  <c r="F91" i="1"/>
  <c r="F92" i="1"/>
  <c r="F93" i="1"/>
  <c r="F94" i="1"/>
  <c r="F95" i="1"/>
  <c r="F89" i="1"/>
  <c r="D129" i="1"/>
  <c r="D113" i="1"/>
  <c r="D112" i="1"/>
  <c r="D100" i="1"/>
  <c r="D116" i="1"/>
  <c r="D32" i="1"/>
  <c r="K32" i="1" s="1"/>
  <c r="D117" i="1"/>
  <c r="D130" i="1"/>
  <c r="K130" i="1" s="1"/>
  <c r="D114" i="1"/>
  <c r="D115" i="1"/>
  <c r="D118" i="1"/>
  <c r="D119" i="1"/>
  <c r="D120" i="1"/>
  <c r="D121" i="1"/>
  <c r="D122" i="1"/>
  <c r="D123" i="1"/>
  <c r="D124" i="1"/>
  <c r="K124" i="1" s="1"/>
  <c r="D125" i="1"/>
  <c r="D126" i="1"/>
  <c r="K126" i="1" s="1"/>
  <c r="D127" i="1"/>
  <c r="D128" i="1"/>
  <c r="D92" i="1"/>
  <c r="D93" i="1"/>
  <c r="D94" i="1"/>
  <c r="D97" i="1"/>
  <c r="D98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D89" i="1"/>
  <c r="D25" i="1"/>
  <c r="K25" i="1" s="1"/>
  <c r="D37" i="1"/>
  <c r="K37" i="1" s="1"/>
  <c r="D36" i="1"/>
  <c r="K36" i="1" s="1"/>
  <c r="D34" i="1"/>
  <c r="K34" i="1" s="1"/>
  <c r="D35" i="1"/>
  <c r="K35" i="1" s="1"/>
  <c r="I32" i="1"/>
  <c r="J32" i="1" s="1"/>
  <c r="D30" i="1"/>
  <c r="K30" i="1" s="1"/>
  <c r="D28" i="1"/>
  <c r="K28" i="1" s="1"/>
  <c r="I28" i="1"/>
  <c r="J28" i="1" s="1"/>
  <c r="D12" i="1"/>
  <c r="K12" i="1" s="1"/>
  <c r="D5" i="1"/>
  <c r="K5" i="1" s="1"/>
  <c r="I24" i="1"/>
  <c r="J24" i="1" s="1"/>
  <c r="I25" i="1"/>
  <c r="J25" i="1" s="1"/>
  <c r="I26" i="1"/>
  <c r="J26" i="1" s="1"/>
  <c r="I27" i="1"/>
  <c r="J27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6" i="1"/>
  <c r="J36" i="1" s="1"/>
  <c r="I37" i="1"/>
  <c r="J37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4" i="1"/>
  <c r="K127" i="1" l="1"/>
  <c r="K102" i="1"/>
  <c r="J101" i="2"/>
  <c r="K120" i="1"/>
  <c r="K105" i="1"/>
  <c r="K111" i="1"/>
  <c r="K98" i="1"/>
  <c r="K121" i="1"/>
  <c r="K113" i="1"/>
  <c r="K129" i="1"/>
  <c r="K118" i="1"/>
  <c r="K115" i="1"/>
  <c r="K128" i="1"/>
  <c r="K114" i="1"/>
  <c r="K116" i="1"/>
  <c r="K101" i="1"/>
  <c r="K123" i="1"/>
  <c r="K100" i="1"/>
  <c r="K99" i="1"/>
  <c r="K108" i="1"/>
  <c r="K93" i="1"/>
  <c r="K109" i="1"/>
  <c r="J99" i="1"/>
  <c r="J123" i="1"/>
  <c r="J111" i="1"/>
  <c r="K89" i="1"/>
  <c r="J104" i="1"/>
  <c r="J92" i="1"/>
  <c r="J98" i="1"/>
  <c r="K94" i="1"/>
  <c r="J102" i="1"/>
  <c r="J90" i="1"/>
  <c r="J93" i="1"/>
  <c r="K117" i="1"/>
  <c r="J126" i="1"/>
  <c r="J114" i="1"/>
  <c r="J127" i="1"/>
  <c r="J115" i="1"/>
  <c r="K96" i="1"/>
  <c r="K125" i="1"/>
  <c r="K112" i="1"/>
  <c r="K97" i="1"/>
  <c r="J94" i="1"/>
  <c r="J121" i="1"/>
  <c r="J109" i="1"/>
  <c r="J100" i="1"/>
  <c r="J129" i="1"/>
  <c r="J116" i="1"/>
  <c r="J97" i="1"/>
  <c r="J112" i="1"/>
  <c r="J96" i="1"/>
  <c r="J95" i="1"/>
  <c r="J122" i="1"/>
  <c r="J110" i="1"/>
  <c r="J108" i="1"/>
  <c r="J106" i="1"/>
  <c r="J113" i="1"/>
  <c r="J89" i="1"/>
  <c r="J120" i="1"/>
  <c r="J107" i="1"/>
  <c r="J103" i="1"/>
  <c r="J91" i="1"/>
  <c r="J118" i="1"/>
  <c r="J117" i="1"/>
  <c r="J105" i="1"/>
  <c r="J125" i="1"/>
  <c r="J119" i="1"/>
  <c r="J101" i="1"/>
  <c r="J128" i="1"/>
  <c r="J130" i="1"/>
  <c r="J124" i="1"/>
  <c r="K92" i="1"/>
  <c r="K104" i="1"/>
  <c r="K103" i="1"/>
  <c r="K106" i="1"/>
  <c r="K90" i="1"/>
  <c r="K107" i="1"/>
  <c r="K122" i="1"/>
  <c r="K91" i="1"/>
  <c r="K95" i="1"/>
  <c r="K110" i="1"/>
  <c r="K119" i="1"/>
  <c r="J4" i="1"/>
  <c r="D7" i="1"/>
  <c r="K7" i="1" s="1"/>
  <c r="D8" i="1"/>
  <c r="K8" i="1" s="1"/>
  <c r="D9" i="1"/>
  <c r="K9" i="1" s="1"/>
  <c r="D10" i="1"/>
  <c r="K10" i="1" s="1"/>
  <c r="D11" i="1"/>
  <c r="K11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2" i="1"/>
  <c r="K22" i="1" s="1"/>
  <c r="D24" i="1"/>
  <c r="K24" i="1" s="1"/>
  <c r="D26" i="1"/>
  <c r="K26" i="1" s="1"/>
  <c r="D27" i="1"/>
  <c r="K27" i="1" s="1"/>
  <c r="D29" i="1"/>
  <c r="K29" i="1" s="1"/>
  <c r="D31" i="1"/>
  <c r="K31" i="1" s="1"/>
  <c r="D6" i="1"/>
  <c r="K6" i="1" s="1"/>
  <c r="D4" i="1"/>
  <c r="K131" i="1" l="1"/>
  <c r="K4" i="2"/>
  <c r="K34" i="2" s="1"/>
  <c r="J35" i="2" s="1"/>
  <c r="K4" i="1"/>
  <c r="K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</author>
  </authors>
  <commentList>
    <comment ref="E60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Hallway</t>
        </r>
      </text>
    </comment>
  </commentList>
</comments>
</file>

<file path=xl/sharedStrings.xml><?xml version="1.0" encoding="utf-8"?>
<sst xmlns="http://schemas.openxmlformats.org/spreadsheetml/2006/main" count="2394" uniqueCount="617">
  <si>
    <t>Space</t>
  </si>
  <si>
    <t>Orientation</t>
  </si>
  <si>
    <t>U</t>
  </si>
  <si>
    <t>A(m^2)</t>
  </si>
  <si>
    <t>CLTDsel</t>
  </si>
  <si>
    <t>LM</t>
  </si>
  <si>
    <t>k</t>
  </si>
  <si>
    <t>Ti</t>
  </si>
  <si>
    <t>Tave</t>
  </si>
  <si>
    <t>CLTD adj</t>
  </si>
  <si>
    <t>Q(W)</t>
  </si>
  <si>
    <t xml:space="preserve">EXTERNAL WALL LOAD </t>
  </si>
  <si>
    <t>GLASS LOAD</t>
  </si>
  <si>
    <t>To</t>
  </si>
  <si>
    <t>SHGF</t>
  </si>
  <si>
    <t>SCL</t>
  </si>
  <si>
    <t>SC</t>
  </si>
  <si>
    <t>Qth (W)</t>
  </si>
  <si>
    <t>Qsg (W)</t>
  </si>
  <si>
    <t>INFILTRATION LOAD</t>
  </si>
  <si>
    <t>SPACE</t>
  </si>
  <si>
    <t>L/s</t>
  </si>
  <si>
    <t>Wo</t>
  </si>
  <si>
    <t>Wi</t>
  </si>
  <si>
    <t>Qs (W)</t>
  </si>
  <si>
    <t>Ql (W)</t>
  </si>
  <si>
    <t>CR</t>
  </si>
  <si>
    <t xml:space="preserve"> MINOR OPERATING ROOM</t>
  </si>
  <si>
    <t xml:space="preserve"> Examination/Treatment AREA</t>
  </si>
  <si>
    <t>HALLWAY</t>
  </si>
  <si>
    <t>WAITING AREA (CR)</t>
  </si>
  <si>
    <t>Canteen</t>
  </si>
  <si>
    <t xml:space="preserve"> OPD clinic Ob-gyne</t>
  </si>
  <si>
    <t xml:space="preserve"> Staff Dining</t>
  </si>
  <si>
    <t xml:space="preserve"> Dietician's Office</t>
  </si>
  <si>
    <t xml:space="preserve"> Cooking Area</t>
  </si>
  <si>
    <t>Ultrasound</t>
  </si>
  <si>
    <t>Pressing Area</t>
  </si>
  <si>
    <t>Film File Storage</t>
  </si>
  <si>
    <t>Work Area (laboratory)</t>
  </si>
  <si>
    <t>EMERGENCY ROOM</t>
  </si>
  <si>
    <t>Cadaver Holding Room</t>
  </si>
  <si>
    <t>SECOND FLOOR</t>
  </si>
  <si>
    <t>Total Load:</t>
  </si>
  <si>
    <t>References</t>
  </si>
  <si>
    <t>Daily Range</t>
  </si>
  <si>
    <r>
      <t>T</t>
    </r>
    <r>
      <rPr>
        <sz val="8"/>
        <color theme="1"/>
        <rFont val="Calibri"/>
        <family val="2"/>
        <scheme val="minor"/>
      </rPr>
      <t>db</t>
    </r>
  </si>
  <si>
    <t>E</t>
  </si>
  <si>
    <t>N</t>
  </si>
  <si>
    <t>W</t>
  </si>
  <si>
    <t>S</t>
  </si>
  <si>
    <t>Washing Area</t>
  </si>
  <si>
    <t xml:space="preserve"> Dietician's Office CR</t>
  </si>
  <si>
    <t>Length</t>
  </si>
  <si>
    <t>Area</t>
  </si>
  <si>
    <t>Power House</t>
  </si>
  <si>
    <t>Maintenance Office</t>
  </si>
  <si>
    <t>Maintenance Office CR</t>
  </si>
  <si>
    <t>Female Toilet</t>
  </si>
  <si>
    <t>Male Toilet</t>
  </si>
  <si>
    <t>THIRD FLOOR</t>
  </si>
  <si>
    <t>5 Bed Ward</t>
  </si>
  <si>
    <t>Stairs E</t>
  </si>
  <si>
    <t>Stairs N</t>
  </si>
  <si>
    <t>Stairs W</t>
  </si>
  <si>
    <t>Hallway</t>
  </si>
  <si>
    <t>Fire Exit</t>
  </si>
  <si>
    <t>Isolation Room</t>
  </si>
  <si>
    <t>Isolation Room W</t>
  </si>
  <si>
    <t>Isolation Room E</t>
  </si>
  <si>
    <t>Isolation Room S</t>
  </si>
  <si>
    <t>Private Room</t>
  </si>
  <si>
    <t>Solarium</t>
  </si>
  <si>
    <t>Admitting</t>
  </si>
  <si>
    <t>Admitting N</t>
  </si>
  <si>
    <t>Admitting W</t>
  </si>
  <si>
    <t>Billing</t>
  </si>
  <si>
    <t>Cashier</t>
  </si>
  <si>
    <t>Personel's Dining W</t>
  </si>
  <si>
    <t>Personel's Dining S</t>
  </si>
  <si>
    <t>Stairs S</t>
  </si>
  <si>
    <t>Water Tank S</t>
  </si>
  <si>
    <t>Water Tank E</t>
  </si>
  <si>
    <t>Water Tank N</t>
  </si>
  <si>
    <t>5 Bed Ward E</t>
  </si>
  <si>
    <t>5 Bed Ward N</t>
  </si>
  <si>
    <t>5 Bed Ward W</t>
  </si>
  <si>
    <t>Doors</t>
  </si>
  <si>
    <t>Windows</t>
  </si>
  <si>
    <t>Isolation Room CR</t>
  </si>
  <si>
    <t>Personel's Dining CR</t>
  </si>
  <si>
    <t>Hallway S</t>
  </si>
  <si>
    <t>Personel's Dining CR W</t>
  </si>
  <si>
    <t>Personel's Dining CR S</t>
  </si>
  <si>
    <t>Wall Length</t>
  </si>
  <si>
    <t>Reference</t>
  </si>
  <si>
    <t>First Floor</t>
  </si>
  <si>
    <t>Walls</t>
  </si>
  <si>
    <t>Wall</t>
  </si>
  <si>
    <t>Third Floor</t>
  </si>
  <si>
    <t>Awning or Sliding</t>
  </si>
  <si>
    <t>Fixed</t>
  </si>
  <si>
    <t>Famale Toilet</t>
  </si>
  <si>
    <t>Minor Operating Room</t>
  </si>
  <si>
    <t>Exaination/Treatment and Obs Area</t>
  </si>
  <si>
    <t>Exaination/Treatment and Obs Area CR</t>
  </si>
  <si>
    <t>Emergency Room</t>
  </si>
  <si>
    <t>Ultrasound CR</t>
  </si>
  <si>
    <t>Ultrasound N</t>
  </si>
  <si>
    <t>Ultrasound W</t>
  </si>
  <si>
    <t>OPB Clinic OB-Gyne W</t>
  </si>
  <si>
    <t>OPB Clinic OB-Gyne S</t>
  </si>
  <si>
    <t>OPB Clinic OB-Gyne CR</t>
  </si>
  <si>
    <t>Canteen W</t>
  </si>
  <si>
    <t>Canteen S</t>
  </si>
  <si>
    <t>Canteen E</t>
  </si>
  <si>
    <t>Dietary</t>
  </si>
  <si>
    <t>Dietitian Office</t>
  </si>
  <si>
    <t>Cooking Area S</t>
  </si>
  <si>
    <t>Cooking Area E</t>
  </si>
  <si>
    <t>Waiting Area CR</t>
  </si>
  <si>
    <t>Work Area Laboratory</t>
  </si>
  <si>
    <t>Width</t>
  </si>
  <si>
    <t>Total:</t>
  </si>
  <si>
    <t>5-Bed Ward 1</t>
  </si>
  <si>
    <t>5-Bed Ward 3</t>
  </si>
  <si>
    <t>5-Bed Ward 4</t>
  </si>
  <si>
    <t>Hallway (W)</t>
  </si>
  <si>
    <t>CSSR</t>
  </si>
  <si>
    <t>Sterile Supply Room</t>
  </si>
  <si>
    <t>Recovery Room</t>
  </si>
  <si>
    <t>Hallway (S)</t>
  </si>
  <si>
    <t>Lounge Area</t>
  </si>
  <si>
    <t>DR-1</t>
  </si>
  <si>
    <t>DR-2</t>
  </si>
  <si>
    <t>DR-3</t>
  </si>
  <si>
    <t>Anesthesia Off. And Storage</t>
  </si>
  <si>
    <t>Sterile Storage</t>
  </si>
  <si>
    <t>Clean-up Room</t>
  </si>
  <si>
    <t>Sub-Ster Room</t>
  </si>
  <si>
    <t>Delivery Room</t>
  </si>
  <si>
    <t>Chief of Clinics</t>
  </si>
  <si>
    <t>Conference Room</t>
  </si>
  <si>
    <t>Chief of Hospital</t>
  </si>
  <si>
    <t>Reception (CR)</t>
  </si>
  <si>
    <t xml:space="preserve">5 Bed Ward </t>
  </si>
  <si>
    <t>5-Bed Ward</t>
  </si>
  <si>
    <t>5-Bed Ward W</t>
  </si>
  <si>
    <t>5-Bed Ward N</t>
  </si>
  <si>
    <t>Isolation room W</t>
  </si>
  <si>
    <t>Isolation room S</t>
  </si>
  <si>
    <t>Isolation room CR</t>
  </si>
  <si>
    <t>Sterile Supply Room N</t>
  </si>
  <si>
    <t>Sterile Supply Room W</t>
  </si>
  <si>
    <t>Recovery Room S</t>
  </si>
  <si>
    <t>Recovery Room W</t>
  </si>
  <si>
    <t>Recovery Room CR</t>
  </si>
  <si>
    <t>Major Operating Room S</t>
  </si>
  <si>
    <t>Major Operating Room E</t>
  </si>
  <si>
    <t>Delivery Room N</t>
  </si>
  <si>
    <t>Delivery Room E</t>
  </si>
  <si>
    <t>FIRST FLOOR</t>
  </si>
  <si>
    <t>Total Load</t>
  </si>
  <si>
    <t>DR 1</t>
  </si>
  <si>
    <t>DR 2</t>
  </si>
  <si>
    <t>DR 3</t>
  </si>
  <si>
    <t xml:space="preserve">Anesthesia Off. and Storage </t>
  </si>
  <si>
    <t>Overall Total Load:</t>
  </si>
  <si>
    <t>Overall Total Load</t>
  </si>
  <si>
    <t>Volume</t>
  </si>
  <si>
    <t>5-Bed Ward 2</t>
  </si>
  <si>
    <t>Isolation Room 1</t>
  </si>
  <si>
    <t>Private Room 1</t>
  </si>
  <si>
    <t>Private Room 2</t>
  </si>
  <si>
    <t>Chief Nurse</t>
  </si>
  <si>
    <t>Treatment Room</t>
  </si>
  <si>
    <t>Nurse Station</t>
  </si>
  <si>
    <t>Dirty Utility</t>
  </si>
  <si>
    <t>Clean Linen</t>
  </si>
  <si>
    <t>Private Room 3</t>
  </si>
  <si>
    <t>Private Room 4</t>
  </si>
  <si>
    <t>Isolation Room 2</t>
  </si>
  <si>
    <t>Reception</t>
  </si>
  <si>
    <t>Private Room 5</t>
  </si>
  <si>
    <t>3-Bed Ward 1</t>
  </si>
  <si>
    <t>Elevator</t>
  </si>
  <si>
    <t>3-Bed Ward 2</t>
  </si>
  <si>
    <t>Private Room 6</t>
  </si>
  <si>
    <t>3-Bed Ward 3</t>
  </si>
  <si>
    <t>3-Bed Ward 4</t>
  </si>
  <si>
    <t>Private Room 7</t>
  </si>
  <si>
    <t>Private Room 8</t>
  </si>
  <si>
    <t>Sub-Ster Room 1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</si>
  <si>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</si>
  <si>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</si>
  <si>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</si>
  <si>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</si>
  <si>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</si>
  <si>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</si>
  <si>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</si>
  <si>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>Work Area 1</t>
  </si>
  <si>
    <t xml:space="preserve">Major Operating Room </t>
  </si>
  <si>
    <t>Sub-Ster Room 2</t>
  </si>
  <si>
    <t>Jan.Clo.</t>
  </si>
  <si>
    <t>Clean up room</t>
  </si>
  <si>
    <t>Nurse Station CR</t>
  </si>
  <si>
    <t>5-Bed Ward 2 CR</t>
  </si>
  <si>
    <t>5-Bed Ward 1 CR</t>
  </si>
  <si>
    <t>5-Bed Ward 3 CR</t>
  </si>
  <si>
    <t>5-Bed Ward 4 CR</t>
  </si>
  <si>
    <t>Isolation Room 1 CR</t>
  </si>
  <si>
    <t>Private Room 1 CR</t>
  </si>
  <si>
    <t>Private Room 2 CR</t>
  </si>
  <si>
    <t>Chief Nurse CR</t>
  </si>
  <si>
    <t>Private Room 3 CR</t>
  </si>
  <si>
    <t>Private Room 4 CR</t>
  </si>
  <si>
    <t>Isolation Room 2 CR</t>
  </si>
  <si>
    <t>Private Room 5 CR</t>
  </si>
  <si>
    <t>Chief of Hospital CR</t>
  </si>
  <si>
    <t>3-Bed Ward 1 CR</t>
  </si>
  <si>
    <t>3-Bed Ward 2 CR</t>
  </si>
  <si>
    <t>Private Room 6 CR</t>
  </si>
  <si>
    <t>3-Bed Ward 3 CR</t>
  </si>
  <si>
    <t>3-Bed Ward 4 CR</t>
  </si>
  <si>
    <t>Private Room 7 CR</t>
  </si>
  <si>
    <t>Private Room 8 CR</t>
  </si>
  <si>
    <t>Chief of Clinics CR</t>
  </si>
  <si>
    <t>Labor Room CR</t>
  </si>
  <si>
    <t>Autoclave area CR</t>
  </si>
  <si>
    <t>Sterile Instrument Supply Storage Area</t>
  </si>
  <si>
    <t>Anesthesia Office &amp; Storage</t>
  </si>
  <si>
    <t>Hallway 1</t>
  </si>
  <si>
    <t>Hallway 2</t>
  </si>
  <si>
    <t>Hallway 3</t>
  </si>
  <si>
    <t>Hallway 4</t>
  </si>
  <si>
    <t>Hallway 5</t>
  </si>
  <si>
    <t>no. of changes/hr</t>
  </si>
  <si>
    <t>Area (m2)</t>
  </si>
  <si>
    <t>1.1 Power House</t>
  </si>
  <si>
    <t>1.2 Work Area</t>
  </si>
  <si>
    <t>1.3 Storage Room</t>
  </si>
  <si>
    <t>1.4 Maintenance Office</t>
  </si>
  <si>
    <t>1.5 Female toilet</t>
  </si>
  <si>
    <t>1.6 Male Toilet</t>
  </si>
  <si>
    <t>1.7 Minor Operating Room</t>
  </si>
  <si>
    <t>1.8 Equipment and  supply storage area</t>
  </si>
  <si>
    <t>1.9 Examination/Treatment Area</t>
  </si>
  <si>
    <t>1.10 Cadaver Holding Room</t>
  </si>
  <si>
    <t>1.11 Supply Room</t>
  </si>
  <si>
    <t>1.12 Bulk Storage</t>
  </si>
  <si>
    <t>1.13 Pharmacy</t>
  </si>
  <si>
    <t>1.14 Medical Records Office</t>
  </si>
  <si>
    <t>1.15 Medical Records</t>
  </si>
  <si>
    <t>1.16 PHILHEALTH</t>
  </si>
  <si>
    <t>1.17 Doctor's Duty</t>
  </si>
  <si>
    <t>1.18 Nurse Station (ER)</t>
  </si>
  <si>
    <t>1.21 Work Area (laboratory)</t>
  </si>
  <si>
    <t>1.23 Waiting area</t>
  </si>
  <si>
    <t>1.24 OPD clinic dental 1</t>
  </si>
  <si>
    <t>1.25 OPD clinic dental 2</t>
  </si>
  <si>
    <t>1.26 Elevator</t>
  </si>
  <si>
    <t>1.27 OPD clinic surgery 1</t>
  </si>
  <si>
    <t>1.28 OPD clinic surgery 2</t>
  </si>
  <si>
    <t>1.29 Cashier</t>
  </si>
  <si>
    <t>1.30 Billing</t>
  </si>
  <si>
    <t>1.31 Admitting</t>
  </si>
  <si>
    <t>1.32 Film File Storage</t>
  </si>
  <si>
    <t>1.33 Radiologist Office</t>
  </si>
  <si>
    <t>1.34 Dark Room</t>
  </si>
  <si>
    <t>1.35 Control Booth</t>
  </si>
  <si>
    <t>1.37 OPD Clinic Pedia 1</t>
  </si>
  <si>
    <t>1.38 OPD Clinic Pedia 2</t>
  </si>
  <si>
    <t>1.39 OPD Records</t>
  </si>
  <si>
    <t>1.40 OPD info. And admitting</t>
  </si>
  <si>
    <t>1.41 OPD Clinic Medical 1</t>
  </si>
  <si>
    <t>1.42 OPD Clinic Medical 2</t>
  </si>
  <si>
    <t>1.44 Waste Disposal Area</t>
  </si>
  <si>
    <t>1.46 Pressing Area</t>
  </si>
  <si>
    <t xml:space="preserve">1.47 Linen Storage </t>
  </si>
  <si>
    <t>1.49 Linen Office</t>
  </si>
  <si>
    <t>1.50 Admin Office</t>
  </si>
  <si>
    <t>1.51 Male Toilet</t>
  </si>
  <si>
    <t>1.53 Washing Area</t>
  </si>
  <si>
    <t>1.54 Receiving Sorting Area</t>
  </si>
  <si>
    <t>1.55 Administrative office</t>
  </si>
  <si>
    <t>1.56 Social Welfare</t>
  </si>
  <si>
    <t>1.57 Female Toilet</t>
  </si>
  <si>
    <t xml:space="preserve">1.58 OPD Info. And admitting </t>
  </si>
  <si>
    <t>1.59 OPD records</t>
  </si>
  <si>
    <t>1.60 Ultrasound</t>
  </si>
  <si>
    <t>1.61 Cooking Area</t>
  </si>
  <si>
    <t xml:space="preserve">1.62 Dry storage </t>
  </si>
  <si>
    <t>1.63 Cold Storage</t>
  </si>
  <si>
    <t>1.64 Supply Receiving Area</t>
  </si>
  <si>
    <t>1.65 Dietician's Office</t>
  </si>
  <si>
    <t>1.66 Dietary</t>
  </si>
  <si>
    <t>1.67 Staff Dining</t>
  </si>
  <si>
    <t>1.68 OPD clinic Ob-gyne</t>
  </si>
  <si>
    <t>1.69 Garbage Disposal area</t>
  </si>
  <si>
    <t>1.70 Canteen</t>
  </si>
  <si>
    <t>Ground</t>
  </si>
  <si>
    <t>Second</t>
  </si>
  <si>
    <t>Qs</t>
  </si>
  <si>
    <t>Ql</t>
  </si>
  <si>
    <t>no.of changes/hr</t>
  </si>
  <si>
    <t>Waiting Area 1</t>
  </si>
  <si>
    <t>Waiting Area 2</t>
  </si>
  <si>
    <t>Private Room 9</t>
  </si>
  <si>
    <t>Private Room 10</t>
  </si>
  <si>
    <t>Private Room 11</t>
  </si>
  <si>
    <t>Private Room 12</t>
  </si>
  <si>
    <t>Waiting Area</t>
  </si>
  <si>
    <t>Private Room 13</t>
  </si>
  <si>
    <t>Private Room 14</t>
  </si>
  <si>
    <t>Solarium 1</t>
  </si>
  <si>
    <t>Stretcher's Wheelchair Nook 1</t>
  </si>
  <si>
    <t>Stretcher's Wheelchair Nook 2</t>
  </si>
  <si>
    <t>Solarium 2</t>
  </si>
  <si>
    <t>Water Tank 1 and 2</t>
  </si>
  <si>
    <t>Chapel</t>
  </si>
  <si>
    <t>Personel's dining</t>
  </si>
  <si>
    <t>Third</t>
  </si>
  <si>
    <t>1.4 Maintenance Office CR</t>
  </si>
  <si>
    <t>1.9 Examination/Treatment Area CR</t>
  </si>
  <si>
    <t>1.18 Nurse Station (ER) CR</t>
  </si>
  <si>
    <t>1.23 Waiting area CR</t>
  </si>
  <si>
    <t>1.60 Ultrasound CR</t>
  </si>
  <si>
    <t>1.65 Dietician's Office CR</t>
  </si>
  <si>
    <t>1.68 OPD clinic Ob-gyne CR</t>
  </si>
  <si>
    <t>Private Room 9 CR</t>
  </si>
  <si>
    <t>Private Room 10 CR</t>
  </si>
  <si>
    <t>Private Room 11 CR</t>
  </si>
  <si>
    <t>Private Room 12 CR</t>
  </si>
  <si>
    <t>Private Room 13 CR</t>
  </si>
  <si>
    <t>Private Room 14 CR</t>
  </si>
  <si>
    <t>Personel's dining CR</t>
  </si>
  <si>
    <t>Total</t>
  </si>
  <si>
    <t>GROUND FLOOR</t>
  </si>
  <si>
    <t>Equipment</t>
  </si>
  <si>
    <t>WATTAGE</t>
  </si>
  <si>
    <t>Cs</t>
  </si>
  <si>
    <t>Cl</t>
  </si>
  <si>
    <t>CLF</t>
  </si>
  <si>
    <t>Maintenance office</t>
  </si>
  <si>
    <t>CEILING ORBITAL FAN, 70W  
SMOKE DETECTOR, 0.8W</t>
  </si>
  <si>
    <t>Minor operating room</t>
  </si>
  <si>
    <t>SMOKE DETECTOR, 0.4W
CARDIOPULMONARY BYPASS MACHINE, 150 W
SURGICAL LGHTS, 25W
AUTOCLAVE, 2000W ELECTROSURGERY, 109 W</t>
  </si>
  <si>
    <t>Examination/Treament Area</t>
  </si>
  <si>
    <t>CEILING ORBITAL FAN, 70W 
 SMOKE DETECTOR, 0.8W</t>
  </si>
  <si>
    <t>Supply Room</t>
  </si>
  <si>
    <t>TELEPHONE, 5W
COMPUTER, 225W
CEILING ORBITAL FAN, 70W  SMOKE DETECTOR, 0.8W</t>
  </si>
  <si>
    <t>Pharmacy</t>
  </si>
  <si>
    <t>Medical records office</t>
  </si>
  <si>
    <t>Philhealth</t>
  </si>
  <si>
    <t>Doctors on duty</t>
  </si>
  <si>
    <t>Emergency room</t>
  </si>
  <si>
    <t>Patho. office</t>
  </si>
  <si>
    <t>Radiologist office</t>
  </si>
  <si>
    <t>TV, 125W               TELEPHONE, 5W               SMOKE DETECTOR, 1.6W
CEILING ORBITAL FAN, 70W</t>
  </si>
  <si>
    <t>X-ray Room</t>
  </si>
  <si>
    <t>X-RAY MACHINE, 1500W
SMOKE DETECTOR, 0.8W</t>
  </si>
  <si>
    <t>OPD Clinic Dental 1</t>
  </si>
  <si>
    <t>OPD Clinic Dental 2</t>
  </si>
  <si>
    <t>OPD Clinic surgery 1</t>
  </si>
  <si>
    <t>OPD Clinic Pedia 1</t>
  </si>
  <si>
    <t>OPD Clinic Pedia 2</t>
  </si>
  <si>
    <t>OPD Clinic Medical 1</t>
  </si>
  <si>
    <t>OPD Clinic Medical 2</t>
  </si>
  <si>
    <t>OPD info and admitting 1</t>
  </si>
  <si>
    <t>OPD ob-gyne</t>
  </si>
  <si>
    <t>TV, 125W
TELEPHONE, 5W
CASH REGISTER, 100W
COMPUTER, 225W
CEILING ORBITAL FAN, 70W
SMOKE DETECTOR, 0.8W</t>
  </si>
  <si>
    <t>Administrative Office</t>
  </si>
  <si>
    <t>TELEPHONE, 5W
TV, 125W
COMPUTER, 225W
CEILING ORBITAL FAN, 70W SMOKE DETECTOR, 0.8W</t>
  </si>
  <si>
    <t>Admin Office</t>
  </si>
  <si>
    <t>Social Welfare</t>
  </si>
  <si>
    <t>OPD info and admitting 2</t>
  </si>
  <si>
    <t>TELEPHONE, 5W
COMPUTER, 225W
CEILING ORBITAL FAN, 70W
  SMOKE DETECTOR, 0.8W</t>
  </si>
  <si>
    <t>TV, 150W
TELEPHONE, 5W
ULTRASOUND MACHINE, 95W
SMOKE DETECTOR, 0.4W</t>
  </si>
  <si>
    <t xml:space="preserve">TV, 150W
TELEPHONE, 5W
SMOKE DETECTOR, 1.2W
CEILING ORBITAL FAN, 70W
EXHAUST FAN, 40W 
</t>
  </si>
  <si>
    <t>Dietitians office</t>
  </si>
  <si>
    <t xml:space="preserve">TV, 150W
TELEPHONE, 5W
SMOKE DETECTOR, 0.4W
</t>
  </si>
  <si>
    <t>dry storage</t>
  </si>
  <si>
    <t>SMOKE DETECTOR, 0.4W</t>
  </si>
  <si>
    <t>cold storage</t>
  </si>
  <si>
    <t>Supply recieving area</t>
  </si>
  <si>
    <t>TV, 125 W                 TELEPHONE, 5 W      COMPUTER, 225 W</t>
  </si>
  <si>
    <t>SMOKE DETECTOR, 0.8W
SPEAKER, 4W
FIRE ALARM, 1 W                    CCTV(14), 56W</t>
  </si>
  <si>
    <t>Cooking Area</t>
  </si>
  <si>
    <t>OVEN, 1200 W
REFRIGERATOR, 780W 
WATER DISPENSER, 600W</t>
  </si>
  <si>
    <t>Staff Dining</t>
  </si>
  <si>
    <t>SMOKE DETECTOR, 0.4W 
FRIDGE, 150W 
WATER DISPENSER, 600W</t>
  </si>
  <si>
    <t>SECOND FLOOR PLAN</t>
  </si>
  <si>
    <t>Wattage</t>
  </si>
  <si>
    <t>CS</t>
  </si>
  <si>
    <t>5- Bed Ward 1</t>
  </si>
  <si>
    <t>SMOKE DETECTOR, 0.4W CEILING ORBITAL FAN, 25W</t>
  </si>
  <si>
    <t>5- Bed Ward 2</t>
  </si>
  <si>
    <t>5- Bed Ward 3</t>
  </si>
  <si>
    <t>5- Bed Ward 4</t>
  </si>
  <si>
    <t>SMOKE DETECTOR, 0.4W 
TELEPHONE, 5W 
TV, 150 W 
WALL FAN,25 W</t>
  </si>
  <si>
    <t>SMOKE DETECTOR, 0.4W 
TELEPHONE, 5W 
 TV, 150 W 
MINIFRIDGE,0.66W</t>
  </si>
  <si>
    <t>SMOKE DETECTOR, 0.4W TELEPHONE, 5W</t>
  </si>
  <si>
    <t>SMOKE DETECTOR, 0.4W 
TELEPHONE, 5W
 COMPUTER, 225W</t>
  </si>
  <si>
    <t>SMOKE DETECTOR, 0.4W
CEILING ORBITAL FAN, 70W</t>
  </si>
  <si>
    <t xml:space="preserve">Reception </t>
  </si>
  <si>
    <t>SMOKE DETECTOR, 0.4W
TELEPHONE, 5W</t>
  </si>
  <si>
    <t xml:space="preserve">TELEPHONE, 5W
TV, 125W
COMPUTER, 225W 
WATER DISPENSER, 600 W SMOKE DETECTOR, 0.8 W                     </t>
  </si>
  <si>
    <t>SMOKE DETECTOR, 0.4 W</t>
  </si>
  <si>
    <t>Pre-Mature Nursery</t>
  </si>
  <si>
    <t>BreastFeeding Room</t>
  </si>
  <si>
    <t>Pre-operation Area</t>
  </si>
  <si>
    <t>SMOKE DETECTOR, 0.4W
CARDIOPULMONARY BYPASS
MACHINE, 150 W
SURGICAL LGHTS, 25W
AUTOCLAVE, 2000W</t>
  </si>
  <si>
    <t>Autoclave Area</t>
  </si>
  <si>
    <t>AUTOCLAVE, 1400 W
SMOKE DETECTOR, 0.4 W</t>
  </si>
  <si>
    <t>TELEPHONE, 15W
SMOKE DETECTOR, 0.4 W
 FRIDGE, 200 W</t>
  </si>
  <si>
    <t>Anesthesia Office</t>
  </si>
  <si>
    <t>SMOKE DETECTOR 0.4 W                 TELEPHONE, 5 W      COMPUTER, 225 W ANESTHESIA SYSTEM, 166 W</t>
  </si>
  <si>
    <t>Major Operating Room</t>
  </si>
  <si>
    <t>SMOKE DETECTOR, 0.4 W
CARDIOPULMONARY BYPASS
MACHINE, 150 W
SURGICAL LGHTS, 25W VACUUM SUCTION, 302 W
AUTOCLAVE, 2000W</t>
  </si>
  <si>
    <t>Clean Up Room</t>
  </si>
  <si>
    <t>SMOKE DETECTOR, 0.8W
SPEAKER, 4W
FIRE ALARM 1 W                    CCTV (10), 40 W</t>
  </si>
  <si>
    <t>THIRD FLOOR PLAN</t>
  </si>
  <si>
    <t>Qw (W)</t>
  </si>
  <si>
    <t>SMOKE DETECTOR, 0.4W TELEPHONE, 5W               WALL FAN, 25W                     TV, 150 W</t>
  </si>
  <si>
    <t>Private Room 15</t>
  </si>
  <si>
    <t>Private Room 16</t>
  </si>
  <si>
    <t xml:space="preserve">Admitting </t>
  </si>
  <si>
    <t>Personel's Dining</t>
  </si>
  <si>
    <t>SMOKE DETECTOR, 0.4W 
Fridge, 150W 
WATER, DISPENSER 600W
Oven 1200W</t>
  </si>
  <si>
    <t>HEAT DETECTOR, 0.16 W    CEILING ORBITAL FAN, 50 W</t>
  </si>
  <si>
    <t>SMOKE DETECTOR, 0.8W
SPEAKER, 4W
FIRE ALARM,1W                    CCTV (10), 40W</t>
  </si>
  <si>
    <t xml:space="preserve">THIRD FLOOR </t>
  </si>
  <si>
    <t>TYPE 6, roof without suspended ceiling</t>
  </si>
  <si>
    <t>CLTDmax</t>
  </si>
  <si>
    <t>CLTDadj</t>
  </si>
  <si>
    <t>Spaces</t>
  </si>
  <si>
    <t>A</t>
  </si>
  <si>
    <t>Q</t>
  </si>
  <si>
    <t>Work Area</t>
  </si>
  <si>
    <t>Storage Room</t>
  </si>
  <si>
    <t>Maintenance Room</t>
  </si>
  <si>
    <t>Maintenance Room CR</t>
  </si>
  <si>
    <t>Equipment and Supply Storage Area</t>
  </si>
  <si>
    <t>Examination/Treatment OBS CR</t>
  </si>
  <si>
    <t>Examination/Treatment OBS</t>
  </si>
  <si>
    <t>Doctor's on Duty</t>
  </si>
  <si>
    <t>Doctor's on Duty CR</t>
  </si>
  <si>
    <t>Equipment and Supply Storage</t>
  </si>
  <si>
    <t>Pathology Office Laboratory</t>
  </si>
  <si>
    <t>Bulk Storage</t>
  </si>
  <si>
    <t>Medical Record Office</t>
  </si>
  <si>
    <t>Wating Area CR</t>
  </si>
  <si>
    <t>Dark Room</t>
  </si>
  <si>
    <t>Radiologist Office</t>
  </si>
  <si>
    <t>X-Ray Room CR</t>
  </si>
  <si>
    <t>Radiogist Office</t>
  </si>
  <si>
    <t>X Ray Room</t>
  </si>
  <si>
    <t>Waste Disposal Area</t>
  </si>
  <si>
    <t>Linen Storage</t>
  </si>
  <si>
    <t>Washing Area CR</t>
  </si>
  <si>
    <t>OPD Clinic Dental</t>
  </si>
  <si>
    <t>OPD Clinic Pedia</t>
  </si>
  <si>
    <t>OPD Records</t>
  </si>
  <si>
    <t>OPD Info &amp; Admitting</t>
  </si>
  <si>
    <t>OPD Clinic Surgery</t>
  </si>
  <si>
    <t>OPD Clinic Medical</t>
  </si>
  <si>
    <t>OPD Clinic OB-Gyne</t>
  </si>
  <si>
    <t>OPD Clinic OB-Gyne CR</t>
  </si>
  <si>
    <t>Supply Receiving Area</t>
  </si>
  <si>
    <t>Cold Storage</t>
  </si>
  <si>
    <t>Dry Storage</t>
  </si>
  <si>
    <t>Garbage Disposal</t>
  </si>
  <si>
    <t>Dietitians Office</t>
  </si>
  <si>
    <t>Dietitians Office CR</t>
  </si>
  <si>
    <t>Window</t>
  </si>
  <si>
    <t>Door</t>
  </si>
  <si>
    <t>Second Floor</t>
  </si>
  <si>
    <t>5 Bedward</t>
  </si>
  <si>
    <t>5 Bedward CR</t>
  </si>
  <si>
    <t>Private Room CR</t>
  </si>
  <si>
    <t>Ti2</t>
  </si>
  <si>
    <t>3 Bed Ward</t>
  </si>
  <si>
    <t>3 Bed Ward CR</t>
  </si>
  <si>
    <t>Subster Room</t>
  </si>
  <si>
    <t>Pre-mature Nursery</t>
  </si>
  <si>
    <t>Breastfeeding Room</t>
  </si>
  <si>
    <t>Pre-Operation Area</t>
  </si>
  <si>
    <t>Pre Operation Area</t>
  </si>
  <si>
    <t>Autoclave Area CR</t>
  </si>
  <si>
    <t>Clean up Room</t>
  </si>
  <si>
    <t>Jan. Clo</t>
  </si>
  <si>
    <t>Sterile Instrument Supply</t>
  </si>
  <si>
    <t>5 Bed Ward CR</t>
  </si>
  <si>
    <t>Clean Utility</t>
  </si>
  <si>
    <t>Water Tank</t>
  </si>
  <si>
    <t>Occ</t>
  </si>
  <si>
    <t>L/s-person</t>
  </si>
  <si>
    <t>Examination/Treatment Area</t>
  </si>
  <si>
    <t>Medical Records Office</t>
  </si>
  <si>
    <t>PHILHEALTH</t>
  </si>
  <si>
    <t>Doctor's Duty</t>
  </si>
  <si>
    <t>Control Booth</t>
  </si>
  <si>
    <t>Dietician's Office</t>
  </si>
  <si>
    <t>OPD clinic Ob-gyne</t>
  </si>
  <si>
    <t xml:space="preserve">OPD Info. And Admitting </t>
  </si>
  <si>
    <t>OPD info. And Admitting</t>
  </si>
  <si>
    <t>Occ.</t>
  </si>
  <si>
    <t>Qs(W)</t>
  </si>
  <si>
    <t>Ql(W)</t>
  </si>
  <si>
    <t>Sterile Supply room</t>
  </si>
  <si>
    <t>Gain/person</t>
  </si>
  <si>
    <t>Sensible</t>
  </si>
  <si>
    <t>Latent</t>
  </si>
  <si>
    <t>OCCUPANT LOAD</t>
  </si>
  <si>
    <t>VENTILATION LOAD</t>
  </si>
  <si>
    <t>LIGHTING LOAD</t>
  </si>
  <si>
    <t>Fu</t>
  </si>
  <si>
    <t>Fb</t>
  </si>
  <si>
    <t>1.43 Hospital Main Lobby</t>
  </si>
  <si>
    <t>Sterile instrument supply storage area</t>
  </si>
  <si>
    <t>anesthesia office and storage</t>
  </si>
  <si>
    <t>Privaate Room 6</t>
  </si>
  <si>
    <t xml:space="preserve">Water Tank </t>
  </si>
  <si>
    <t>Hospital main lobby</t>
  </si>
  <si>
    <t>DOOR PARTITION LOAD</t>
  </si>
  <si>
    <t>Partition Door</t>
  </si>
  <si>
    <t>power house</t>
  </si>
  <si>
    <t>hallway</t>
  </si>
  <si>
    <t>maitenance room</t>
  </si>
  <si>
    <t>cr</t>
  </si>
  <si>
    <t>female toilet</t>
  </si>
  <si>
    <t xml:space="preserve">hallway </t>
  </si>
  <si>
    <t>male toilet</t>
  </si>
  <si>
    <t>minor operating room</t>
  </si>
  <si>
    <t>equipment and supply storage area</t>
  </si>
  <si>
    <t>cadaver holding room</t>
  </si>
  <si>
    <t xml:space="preserve">supply room </t>
  </si>
  <si>
    <t>pharmacy</t>
  </si>
  <si>
    <t>bulk storage</t>
  </si>
  <si>
    <t>medical records office</t>
  </si>
  <si>
    <t>philhealth</t>
  </si>
  <si>
    <t>doctors on duty</t>
  </si>
  <si>
    <t>work area laboratory</t>
  </si>
  <si>
    <t>waiting area</t>
  </si>
  <si>
    <t xml:space="preserve">cr </t>
  </si>
  <si>
    <t>opd clinic dental</t>
  </si>
  <si>
    <t>opd clinic surgery</t>
  </si>
  <si>
    <t>cashier</t>
  </si>
  <si>
    <t>billing</t>
  </si>
  <si>
    <t>admitting</t>
  </si>
  <si>
    <t xml:space="preserve">radiologist office </t>
  </si>
  <si>
    <t>film file storage room</t>
  </si>
  <si>
    <t>xray room</t>
  </si>
  <si>
    <t>opd clinic pedia 1</t>
  </si>
  <si>
    <t>opd clinic pedia 2</t>
  </si>
  <si>
    <t>opd clinic medical</t>
  </si>
  <si>
    <t>social welfare</t>
  </si>
  <si>
    <t>opd info admitting</t>
  </si>
  <si>
    <t>ultrasound</t>
  </si>
  <si>
    <t>dietary</t>
  </si>
  <si>
    <t>supply receiving area</t>
  </si>
  <si>
    <t>canteen</t>
  </si>
  <si>
    <t>opd clinic ob gyne</t>
  </si>
  <si>
    <t>Partition</t>
  </si>
  <si>
    <t>5 bed ward</t>
  </si>
  <si>
    <t>isolation room 1</t>
  </si>
  <si>
    <t>private room</t>
  </si>
  <si>
    <t>private room 2</t>
  </si>
  <si>
    <t xml:space="preserve">chief nurse </t>
  </si>
  <si>
    <t>treatment room</t>
  </si>
  <si>
    <t>dirty utility</t>
  </si>
  <si>
    <t>clean linen</t>
  </si>
  <si>
    <t>private room 4</t>
  </si>
  <si>
    <t>isolation room</t>
  </si>
  <si>
    <t>reception</t>
  </si>
  <si>
    <t>chief  of hospital</t>
  </si>
  <si>
    <t>3 bed ward</t>
  </si>
  <si>
    <t>private room 5</t>
  </si>
  <si>
    <t>private room 6</t>
  </si>
  <si>
    <t>conference room</t>
  </si>
  <si>
    <t>private room 7</t>
  </si>
  <si>
    <t>private room 8</t>
  </si>
  <si>
    <t xml:space="preserve">chief of clinics </t>
  </si>
  <si>
    <t>cssr</t>
  </si>
  <si>
    <t>delivery room</t>
  </si>
  <si>
    <t>labor room</t>
  </si>
  <si>
    <t xml:space="preserve">breast feeding room </t>
  </si>
  <si>
    <t>pre operation area</t>
  </si>
  <si>
    <t>major operating room</t>
  </si>
  <si>
    <t>sub ster room</t>
  </si>
  <si>
    <t>jan clo</t>
  </si>
  <si>
    <t>clean up room</t>
  </si>
  <si>
    <t>sterile instrument supply storage area</t>
  </si>
  <si>
    <t>lounge area</t>
  </si>
  <si>
    <t>dr 1</t>
  </si>
  <si>
    <t>dr 2</t>
  </si>
  <si>
    <t>dr 3</t>
  </si>
  <si>
    <t>5 bed ward 1</t>
  </si>
  <si>
    <t>5 bed ward 2</t>
  </si>
  <si>
    <t>5 bed ward 3</t>
  </si>
  <si>
    <t>5 bed ward 4</t>
  </si>
  <si>
    <t>private room 1</t>
  </si>
  <si>
    <t>private room 3</t>
  </si>
  <si>
    <t>isolation room 9</t>
  </si>
  <si>
    <t>3 bed ward 1</t>
  </si>
  <si>
    <t>3 bed ward 2</t>
  </si>
  <si>
    <t>private room 9</t>
  </si>
  <si>
    <t>private room 10</t>
  </si>
  <si>
    <t>private room 11</t>
  </si>
  <si>
    <t>private room 12</t>
  </si>
  <si>
    <t>private room 13</t>
  </si>
  <si>
    <t>private room 14</t>
  </si>
  <si>
    <t>private room 15</t>
  </si>
  <si>
    <t>private room 16</t>
  </si>
  <si>
    <t>solarium 1</t>
  </si>
  <si>
    <t>solarium 2</t>
  </si>
  <si>
    <t>personel's dinning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</si>
</sst>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4" fillId="7" borderId="0" applyNumberFormat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1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2" xfId="0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0" fillId="0" borderId="1" xfId="0" applyFont="1" applyBorder="1"/>
    <xf numFmtId="0" fontId="4" fillId="3" borderId="10" xfId="0" applyFont="1" applyFill="1" applyBorder="1" applyAlignment="1">
      <alignment horizontal="center"/>
    </xf>
    <xf numFmtId="0" fontId="0" fillId="0" borderId="0" xfId="0" applyNumberFormat="1"/>
    <xf numFmtId="0" fontId="0" fillId="4" borderId="1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8" xfId="0" applyFont="1" applyBorder="1"/>
    <xf numFmtId="0" fontId="0" fillId="4" borderId="8" xfId="0" applyFont="1" applyFill="1" applyBorder="1"/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5" borderId="1" xfId="0" applyFont="1" applyFill="1" applyBorder="1"/>
    <xf numFmtId="0" fontId="1" fillId="5" borderId="1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1" fillId="0" borderId="13" xfId="0" applyFont="1" applyBorder="1"/>
    <xf numFmtId="0" fontId="0" fillId="0" borderId="13" xfId="0" applyBorder="1"/>
    <xf numFmtId="0" fontId="0" fillId="2" borderId="0" xfId="0" applyFill="1"/>
    <xf numFmtId="0" fontId="0" fillId="0" borderId="0" xfId="0" applyFill="1" applyAlignment="1">
      <alignment horizontal="center"/>
    </xf>
    <xf numFmtId="0" fontId="1" fillId="5" borderId="1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2" xfId="0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7" xfId="0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0" fillId="0" borderId="0" xfId="0" applyFont="1"/>
    <xf numFmtId="0" fontId="13" fillId="0" borderId="1" xfId="0" applyFont="1" applyBorder="1"/>
    <xf numFmtId="0" fontId="0" fillId="0" borderId="7" xfId="0" applyFill="1" applyBorder="1"/>
    <xf numFmtId="0" fontId="13" fillId="0" borderId="8" xfId="0" applyFont="1" applyBorder="1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1" xfId="2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2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10" xfId="0" applyBorder="1"/>
    <xf numFmtId="0" fontId="0" fillId="8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" fillId="0" borderId="0" xfId="0" applyFont="1" applyFill="1" applyBorder="1" applyAlignment="1"/>
    <xf numFmtId="0" fontId="0" fillId="0" borderId="0" xfId="0" applyAlignment="1">
      <alignment vertical="center"/>
    </xf>
    <xf numFmtId="0" fontId="8" fillId="0" borderId="0" xfId="2" applyFont="1" applyFill="1" applyAlignment="1"/>
    <xf numFmtId="0" fontId="0" fillId="0" borderId="1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9" xfId="0" applyFill="1" applyBorder="1"/>
    <xf numFmtId="0" fontId="16" fillId="7" borderId="0" xfId="3" applyFont="1" applyBorder="1" applyAlignment="1">
      <alignment horizontal="center" vertical="center"/>
    </xf>
    <xf numFmtId="0" fontId="16" fillId="0" borderId="0" xfId="3" applyFont="1" applyFill="1" applyBorder="1" applyAlignment="1">
      <alignment vertical="center"/>
    </xf>
    <xf numFmtId="0" fontId="0" fillId="0" borderId="13" xfId="0" applyBorder="1" applyAlignment="1">
      <alignment horizontal="left"/>
    </xf>
    <xf numFmtId="0" fontId="0" fillId="0" borderId="14" xfId="0" applyBorder="1"/>
    <xf numFmtId="0" fontId="0" fillId="8" borderId="13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5" xfId="0" applyBorder="1"/>
    <xf numFmtId="0" fontId="0" fillId="8" borderId="13" xfId="0" applyFill="1" applyBorder="1"/>
    <xf numFmtId="0" fontId="0" fillId="0" borderId="16" xfId="0" applyBorder="1"/>
    <xf numFmtId="0" fontId="0" fillId="0" borderId="13" xfId="0" applyBorder="1" applyAlignment="1">
      <alignment horizontal="center"/>
    </xf>
    <xf numFmtId="0" fontId="12" fillId="0" borderId="0" xfId="0" applyFont="1" applyAlignment="1">
      <alignment horizontal="center"/>
    </xf>
  </cellXfs>
  <cellStyles count="4">
    <cellStyle name="Accent5" xfId="3" builtinId="45"/>
    <cellStyle name="Hyperlink" xfId="1" builtinId="8"/>
    <cellStyle name="Normal" xfId="0" builtinId="0"/>
    <cellStyle name="Title" xfId="2" builtinId="15"/>
  </cellStyles>
  <dxfs count="29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K37" totalsRowShown="0" headerRowDxfId="298" headerRowBorderDxfId="297" tableBorderDxfId="296" totalsRowBorderDxfId="295">
  <tableColumns count="11">
    <tableColumn id="1" xr3:uid="{00000000-0010-0000-0000-000001000000}" name="Space" dataDxfId="294"/>
    <tableColumn id="2" xr3:uid="{00000000-0010-0000-0000-000002000000}" name="Orientation" dataDxfId="293"/>
    <tableColumn id="3" xr3:uid="{00000000-0010-0000-0000-000003000000}" name="U" dataDxfId="292"/>
    <tableColumn id="4" xr3:uid="{00000000-0010-0000-0000-000004000000}" name="A(m^2)" dataDxfId="291"/>
    <tableColumn id="5" xr3:uid="{00000000-0010-0000-0000-000005000000}" name="CLTDsel" dataDxfId="290"/>
    <tableColumn id="6" xr3:uid="{00000000-0010-0000-0000-000006000000}" name="LM" dataDxfId="289"/>
    <tableColumn id="7" xr3:uid="{00000000-0010-0000-0000-000007000000}" name="k" dataDxfId="288"/>
    <tableColumn id="8" xr3:uid="{00000000-0010-0000-0000-000008000000}" name="Ti" dataDxfId="287"/>
    <tableColumn id="9" xr3:uid="{00000000-0010-0000-0000-000009000000}" name="Tave" dataDxfId="286">
      <calculatedColumnFormula>(References!T$4)-(References!T$3/2)</calculatedColumnFormula>
    </tableColumn>
    <tableColumn id="10" xr3:uid="{00000000-0010-0000-0000-00000A000000}" name="CLTD adj" dataDxfId="285">
      <calculatedColumnFormula>(E4+F4)*G4+(25-H4)+(I4-29)</calculatedColumnFormula>
    </tableColumn>
    <tableColumn id="11" xr3:uid="{00000000-0010-0000-0000-00000B000000}" name="Q(W)" dataDxfId="284">
      <calculatedColumnFormula>C4*D4*E4</calculatedColumnFormula>
    </tableColumn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2:H43" totalsRowShown="0" headerRowDxfId="168" dataDxfId="166" headerRowBorderDxfId="167" tableBorderDxfId="165" totalsRowBorderDxfId="164">
  <tableColumns count="8">
    <tableColumn id="1" xr3:uid="{00000000-0010-0000-0900-000001000000}" name="SPACE" dataDxfId="163"/>
    <tableColumn id="2" xr3:uid="{00000000-0010-0000-0900-000002000000}" name="Equipment" dataDxfId="162"/>
    <tableColumn id="3" xr3:uid="{00000000-0010-0000-0900-000003000000}" name="WATTAGE" dataDxfId="161"/>
    <tableColumn id="4" xr3:uid="{00000000-0010-0000-0900-000004000000}" name="Cs" dataDxfId="160"/>
    <tableColumn id="5" xr3:uid="{00000000-0010-0000-0900-000005000000}" name="Cl" dataDxfId="159"/>
    <tableColumn id="6" xr3:uid="{00000000-0010-0000-0900-000006000000}" name="CLF" dataDxfId="158"/>
    <tableColumn id="7" xr3:uid="{00000000-0010-0000-0900-000007000000}" name="Qs (W)" dataDxfId="157">
      <calculatedColumnFormula>D3*C3*F3</calculatedColumnFormula>
    </tableColumn>
    <tableColumn id="8" xr3:uid="{00000000-0010-0000-0900-000008000000}" name="Ql (W)" dataDxfId="156">
      <calculatedColumnFormula>C3*E3</calculatedColumnFormula>
    </tableColumn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48:H88" totalsRowShown="0" headerRowDxfId="155" headerRowBorderDxfId="154" tableBorderDxfId="153" totalsRowBorderDxfId="152">
  <tableColumns count="8">
    <tableColumn id="1" xr3:uid="{00000000-0010-0000-0A00-000001000000}" name="SPACE" dataDxfId="151"/>
    <tableColumn id="2" xr3:uid="{00000000-0010-0000-0A00-000002000000}" name="Equipment" dataDxfId="150"/>
    <tableColumn id="3" xr3:uid="{00000000-0010-0000-0A00-000003000000}" name="Wattage" dataDxfId="149"/>
    <tableColumn id="4" xr3:uid="{00000000-0010-0000-0A00-000004000000}" name="CS" dataDxfId="148"/>
    <tableColumn id="5" xr3:uid="{00000000-0010-0000-0A00-000005000000}" name="Cl" dataDxfId="147"/>
    <tableColumn id="6" xr3:uid="{00000000-0010-0000-0A00-000006000000}" name="CLF" dataDxfId="146"/>
    <tableColumn id="7" xr3:uid="{00000000-0010-0000-0A00-000007000000}" name="Qs (W)" dataDxfId="145">
      <calculatedColumnFormula>D49*C49*F49</calculatedColumnFormula>
    </tableColumn>
    <tableColumn id="8" xr3:uid="{00000000-0010-0000-0A00-000008000000}" name="Ql (W)" dataDxfId="144">
      <calculatedColumnFormula>E49*C49</calculatedColumnFormula>
    </tableColumn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93:H126" totalsRowShown="0" headerRowDxfId="143" headerRowBorderDxfId="142" tableBorderDxfId="141" totalsRowBorderDxfId="140">
  <tableColumns count="8">
    <tableColumn id="1" xr3:uid="{00000000-0010-0000-0B00-000001000000}" name="SPACE" dataDxfId="139"/>
    <tableColumn id="2" xr3:uid="{00000000-0010-0000-0B00-000002000000}" name="Equipment" dataDxfId="138"/>
    <tableColumn id="3" xr3:uid="{00000000-0010-0000-0B00-000003000000}" name="Wattage" dataDxfId="137"/>
    <tableColumn id="4" xr3:uid="{00000000-0010-0000-0B00-000004000000}" name="Cs" dataDxfId="136"/>
    <tableColumn id="5" xr3:uid="{00000000-0010-0000-0B00-000005000000}" name="Cl" dataDxfId="135"/>
    <tableColumn id="6" xr3:uid="{00000000-0010-0000-0B00-000006000000}" name="CLF" dataDxfId="134"/>
    <tableColumn id="7" xr3:uid="{00000000-0010-0000-0B00-000007000000}" name="Qs (W)" dataDxfId="133">
      <calculatedColumnFormula>C94*D94*F94</calculatedColumnFormula>
    </tableColumn>
    <tableColumn id="8" xr3:uid="{00000000-0010-0000-0B00-000008000000}" name="Qw (W)" dataDxfId="132">
      <calculatedColumnFormula>E94*C94</calculatedColumnFormula>
    </tableColumn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3:H45" totalsRowShown="0" headerRowDxfId="131" headerRowBorderDxfId="130" tableBorderDxfId="129" totalsRowBorderDxfId="128">
  <tableColumns count="8">
    <tableColumn id="1" xr3:uid="{00000000-0010-0000-0C00-000001000000}" name="SPACE" dataDxfId="127"/>
    <tableColumn id="2" xr3:uid="{00000000-0010-0000-0C00-000002000000}" name="U" dataDxfId="126"/>
    <tableColumn id="3" xr3:uid="{00000000-0010-0000-0C00-000003000000}" name="Area (m2)" dataDxfId="125"/>
    <tableColumn id="4" xr3:uid="{00000000-0010-0000-0C00-000004000000}" name="CLTDmax" dataDxfId="124"/>
    <tableColumn id="5" xr3:uid="{00000000-0010-0000-0C00-000005000000}" name="Ti" dataDxfId="123"/>
    <tableColumn id="6" xr3:uid="{00000000-0010-0000-0C00-000006000000}" name="Tave" dataDxfId="122"/>
    <tableColumn id="7" xr3:uid="{00000000-0010-0000-0C00-000007000000}" name="CLTDadj" dataDxfId="121">
      <calculatedColumnFormula>((D4*0.75)+(25-E4)+(F4-29))*0.75</calculatedColumnFormula>
    </tableColumn>
    <tableColumn id="8" xr3:uid="{00000000-0010-0000-0C00-000008000000}" name="Q(W)" dataDxfId="120">
      <calculatedColumnFormula>B4*C4*G4</calculatedColumnFormula>
    </tableColumn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28888AD-FAC4-4746-BE8F-8D913DF32DCA}" name="Table14" displayName="Table14" ref="A2:G127" totalsRowShown="0" headerRowDxfId="119" headerRowBorderDxfId="118" tableBorderDxfId="117" totalsRowBorderDxfId="116">
  <tableColumns count="7">
    <tableColumn id="1" xr3:uid="{4E1DC0C9-598E-4994-AFE8-B00879D35919}" name="Space" dataDxfId="115"/>
    <tableColumn id="2" xr3:uid="{71CBC0BB-288C-4671-ABD5-0DF85B6DCF16}" name="Spaces" dataDxfId="114"/>
    <tableColumn id="3" xr3:uid="{7D94CF3A-C813-4FB1-BAF7-2398EC8F7EAF}" name="U" dataDxfId="113"/>
    <tableColumn id="4" xr3:uid="{1A9AD3AF-56A6-477B-A341-CDA4879B377B}" name="A" dataDxfId="112">
      <calculatedColumnFormula>L3-K3-J3</calculatedColumnFormula>
    </tableColumn>
    <tableColumn id="5" xr3:uid="{723123A9-A1C8-464B-8910-806DBD7925B7}" name="Ti" dataDxfId="111"/>
    <tableColumn id="6" xr3:uid="{78FF601C-F441-410C-A0B2-028F9D3958AA}" name="Ti2" dataDxfId="110"/>
    <tableColumn id="7" xr3:uid="{3AEEAE33-6A48-4268-9273-8967C5C197D7}" name="Q" dataDxfId="109">
      <calculatedColumnFormula>ABS(Table14[[#This Row],[U]]*Table14[[#This Row],[A]]*(Table14[[#This Row],[Ti2]]-Table14[[#This Row],[Ti]]))</calculatedColumnFormula>
    </tableColumn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31899BE-6D43-4780-B2C8-79A730E6EFFC}" name="Table15" displayName="Table15" ref="A132:G235" totalsRowShown="0" headerRowDxfId="108" headerRowBorderDxfId="107" tableBorderDxfId="106" totalsRowBorderDxfId="105">
  <tableColumns count="7">
    <tableColumn id="1" xr3:uid="{D136893A-5630-4A93-9982-52A1F74E9F17}" name="Space" dataDxfId="104"/>
    <tableColumn id="2" xr3:uid="{81FEBC66-ABFB-43F5-8B94-763B7C21CB4D}" name="Spaces" dataDxfId="103"/>
    <tableColumn id="3" xr3:uid="{DFDEFECE-726D-4C26-9029-E1CE8236BA73}" name="U" dataDxfId="102"/>
    <tableColumn id="4" xr3:uid="{B5E263B1-9D4D-4D55-ACE4-E2C849E5DB45}" name="A" dataDxfId="101">
      <calculatedColumnFormula>L133-K133-J133</calculatedColumnFormula>
    </tableColumn>
    <tableColumn id="5" xr3:uid="{43F0F934-554C-4EF7-AB82-60689E0E1F39}" name="Ti" dataDxfId="100"/>
    <tableColumn id="6" xr3:uid="{72494491-CCEB-4D63-8321-2462C0C45181}" name="Ti2" dataDxfId="99"/>
    <tableColumn id="7" xr3:uid="{0FDBDDF0-5A0E-45EB-8AAC-492770EE374D}" name="Q" dataDxfId="98">
      <calculatedColumnFormula>ABS(C133*D133*(F133-E133))</calculatedColumnFormula>
    </tableColumn>
  </tableColumns>
  <tableStyleInfo name="TableStyleMedium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9E64176-3762-411E-915C-3A2B15344CE9}" name="Table16" displayName="Table16" ref="A238:G332" totalsRowShown="0" headerRowDxfId="87" headerRowBorderDxfId="96" tableBorderDxfId="97" totalsRowBorderDxfId="95">
  <tableColumns count="7">
    <tableColumn id="1" xr3:uid="{E1B21954-D95E-4E77-8F7E-9BF171F53ABD}" name="Space" dataDxfId="94"/>
    <tableColumn id="2" xr3:uid="{9A0A81A6-EAC2-40DB-98A0-F6C33A9ABE9E}" name="Spaces" dataDxfId="93"/>
    <tableColumn id="3" xr3:uid="{EE7332AB-518F-4AF8-988D-FAD3F673E90B}" name="U" dataDxfId="92"/>
    <tableColumn id="4" xr3:uid="{3FECA8D3-8E4E-4B18-8963-86EA7EE3F7DE}" name="A" dataDxfId="91">
      <calculatedColumnFormula>L239-K239-J239</calculatedColumnFormula>
    </tableColumn>
    <tableColumn id="5" xr3:uid="{6CFCE4A0-E28D-42A0-9D9D-19B0A3988502}" name="Ti" dataDxfId="90"/>
    <tableColumn id="6" xr3:uid="{1DB9D519-27AC-4C85-AE9E-373838F14A5B}" name="Ti2" dataDxfId="89"/>
    <tableColumn id="7" xr3:uid="{01139900-E6F6-42A8-890F-6EC86307D2E5}" name="Q" dataDxfId="88">
      <calculatedColumnFormula>ABS(C239*D239*(F239-E239))</calculatedColumnFormula>
    </tableColumn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27CC219-BFBC-4995-9250-F3D008AE5082}" name="Table17" displayName="Table17" ref="A3:I40" totalsRowShown="0" headerRowDxfId="73" dataDxfId="86" headerRowBorderDxfId="84" tableBorderDxfId="85" totalsRowBorderDxfId="83">
  <tableColumns count="9">
    <tableColumn id="1" xr3:uid="{35BCDE26-A683-42D4-8FAC-2984DEEF2AE3}" name="SPACE" dataDxfId="82"/>
    <tableColumn id="2" xr3:uid="{4E25DD92-7DA4-4539-A6F5-418A24A5000C}" name="Occ" dataDxfId="81"/>
    <tableColumn id="3" xr3:uid="{05B66128-26F1-4D59-A099-994D6DD6CA8F}" name="L/s" dataDxfId="80">
      <calculatedColumnFormula>B4*K4</calculatedColumnFormula>
    </tableColumn>
    <tableColumn id="4" xr3:uid="{5BB5BF05-DEDD-4D44-89DA-1FDFB50D8CC8}" name="To" dataDxfId="79"/>
    <tableColumn id="5" xr3:uid="{CA08DFD4-1349-460D-AFB6-EEA50D7CD073}" name="Ti" dataDxfId="78"/>
    <tableColumn id="6" xr3:uid="{2820DCA1-3D1C-4037-8FA9-A45285294B53}" name="Wo" dataDxfId="77"/>
    <tableColumn id="7" xr3:uid="{CFA20C73-0A1D-41FF-8AAC-923EB8E47121}" name="Wi" dataDxfId="76"/>
    <tableColumn id="8" xr3:uid="{3600AE7A-C5DA-44D9-B695-550DE8F6F2E9}" name="Qs (W)" dataDxfId="75">
      <calculatedColumnFormula>1.232*C4*(D4-E4)</calculatedColumnFormula>
    </tableColumn>
    <tableColumn id="9" xr3:uid="{7353AE30-EBF5-4B2E-8E16-6C796A665AF9}" name="Qw (W)" dataDxfId="74">
      <calculatedColumnFormula>3000*C4*(F4-G4)</calculatedColumnFormula>
    </tableColumn>
  </tableColumns>
  <tableStyleInfo name="TableStyleMedium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B07B74-FE36-42ED-9579-5E641AA2EDC3}" name="Table18" displayName="Table18" ref="A44:I89" totalsRowShown="0" headerRowDxfId="59" dataDxfId="60" headerRowBorderDxfId="71" tableBorderDxfId="72" totalsRowBorderDxfId="70">
  <tableColumns count="9">
    <tableColumn id="1" xr3:uid="{17086970-8AEE-4F2F-BD9B-79E99E86C1EF}" name="SPACE" dataDxfId="69"/>
    <tableColumn id="2" xr3:uid="{FDC3A3E8-C7D4-416E-BC52-118F49BF06E2}" name="Occ." dataDxfId="68"/>
    <tableColumn id="3" xr3:uid="{531FACDC-8F24-4047-9556-92BA66A07109}" name="L/s" dataDxfId="67">
      <calculatedColumnFormula>B45*K45</calculatedColumnFormula>
    </tableColumn>
    <tableColumn id="4" xr3:uid="{7B7C4AFA-714D-4B7F-8A41-BEAC941CC2A1}" name="To" dataDxfId="66"/>
    <tableColumn id="5" xr3:uid="{98ECAD5D-0D95-4652-ACE8-C5C2077FEA71}" name="Ti" dataDxfId="65"/>
    <tableColumn id="6" xr3:uid="{BEAADBB2-1E91-4AB9-B4E7-5789DA5E307F}" name="Wo" dataDxfId="64"/>
    <tableColumn id="7" xr3:uid="{8E076247-6DF4-4F31-9DA4-4B79DE847403}" name="Wi" dataDxfId="63">
      <calculatedColumnFormula>_xlfn.IFS(E45=22.5,0.00848061,E45=22,0.00821976,E45=24,0.00929323)</calculatedColumnFormula>
    </tableColumn>
    <tableColumn id="8" xr3:uid="{7F335890-15A9-4FFA-A6E3-2C17AB1D107C}" name="Qs(W)" dataDxfId="62">
      <calculatedColumnFormula>1.232*C45*(D45-E45)</calculatedColumnFormula>
    </tableColumn>
    <tableColumn id="9" xr3:uid="{BD5E0BE3-E229-49AB-949A-008A09179B05}" name="Ql(W)" dataDxfId="61">
      <calculatedColumnFormula>3000*C45*(F45-G45)</calculatedColumnFormula>
    </tableColumn>
  </tableColumns>
  <tableStyleInfo name="TableStyleMedium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347EE21-EDF3-4E70-B2F9-92126128FAD3}" name="Table19" displayName="Table19" ref="A93:I123" totalsRowShown="0" headerRowDxfId="45" dataDxfId="46" headerRowBorderDxfId="57" tableBorderDxfId="58" totalsRowBorderDxfId="56">
  <tableColumns count="9">
    <tableColumn id="1" xr3:uid="{A80BB982-A565-4B6D-8690-BAE5CFB113E6}" name="Space" dataDxfId="55"/>
    <tableColumn id="2" xr3:uid="{C223869E-02B0-4F09-945B-69AF94D74A25}" name="Occ." dataDxfId="54"/>
    <tableColumn id="3" xr3:uid="{59456674-4594-4AB4-A889-CDC974264D0C}" name="L/s" dataDxfId="53">
      <calculatedColumnFormula>B94*K94</calculatedColumnFormula>
    </tableColumn>
    <tableColumn id="4" xr3:uid="{7A897F4F-2F5A-4CDA-84F3-509E518B5149}" name="To" dataDxfId="52"/>
    <tableColumn id="5" xr3:uid="{62C1724A-BAD2-4694-A7E4-E9651EBF92E9}" name="Ti" dataDxfId="51"/>
    <tableColumn id="6" xr3:uid="{DE1EF03B-2E17-4F1B-BA40-3C7BEB699132}" name="Wo" dataDxfId="50"/>
    <tableColumn id="7" xr3:uid="{9819D587-4718-4F60-80DE-D0437A783436}" name="Wi" dataDxfId="49">
      <calculatedColumnFormula>_xlfn.IFS(E94=22.5,0.00848031,E94=24,0.009293235,E94=22,0.00821976)</calculatedColumnFormula>
    </tableColumn>
    <tableColumn id="8" xr3:uid="{5BA5127E-739F-4085-B1EE-49DB73303ABB}" name="Qs(W)" dataDxfId="48">
      <calculatedColumnFormula>1.232*C94*(D94-E94)</calculatedColumnFormula>
    </tableColumn>
    <tableColumn id="9" xr3:uid="{A159DEC9-750D-4218-845E-4D78F1C7A32A}" name="Ql(W)" dataDxfId="47">
      <calculatedColumnFormula>3000*C94*(F94-G94)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8:K130" totalsRowShown="0" headerRowDxfId="283" headerRowBorderDxfId="282" tableBorderDxfId="281" totalsRowBorderDxfId="280">
  <tableColumns count="11">
    <tableColumn id="1" xr3:uid="{00000000-0010-0000-0100-000001000000}" name="Space" dataDxfId="279"/>
    <tableColumn id="2" xr3:uid="{00000000-0010-0000-0100-000002000000}" name="Orientation" dataDxfId="278"/>
    <tableColumn id="3" xr3:uid="{00000000-0010-0000-0100-000003000000}" name="U" dataDxfId="277"/>
    <tableColumn id="4" xr3:uid="{00000000-0010-0000-0100-000004000000}" name="A(m^2)" dataDxfId="276">
      <calculatedColumnFormula>(References!C41*4)-(References!B41*1)-(References!A41*2)</calculatedColumnFormula>
    </tableColumn>
    <tableColumn id="5" xr3:uid="{00000000-0010-0000-0100-000005000000}" name="CLTDsel" dataDxfId="275">
      <calculatedColumnFormula>_xlfn.IFS(B89="E",25,B89="N",13,B89="W",33,B89="S",22)</calculatedColumnFormula>
    </tableColumn>
    <tableColumn id="6" xr3:uid="{00000000-0010-0000-0100-000006000000}" name="LM" dataDxfId="274">
      <calculatedColumnFormula>_xlfn.IFS(B89="E",-0.55,B89="N",2.22,B89="W",-0.55,B89="S",-3.88)</calculatedColumnFormula>
    </tableColumn>
    <tableColumn id="7" xr3:uid="{00000000-0010-0000-0100-000007000000}" name="k" dataDxfId="273"/>
    <tableColumn id="8" xr3:uid="{00000000-0010-0000-0100-000008000000}" name="Ti" dataDxfId="272"/>
    <tableColumn id="9" xr3:uid="{00000000-0010-0000-0100-000009000000}" name="Tave" dataDxfId="271">
      <calculatedColumnFormula>(References!T$4)-(References!T$3/2)</calculatedColumnFormula>
    </tableColumn>
    <tableColumn id="10" xr3:uid="{00000000-0010-0000-0100-00000A000000}" name="CLTD adj" dataDxfId="270">
      <calculatedColumnFormula>(E89+F89)*G89+(25-H89)+(I89-29)</calculatedColumnFormula>
    </tableColumn>
    <tableColumn id="11" xr3:uid="{00000000-0010-0000-0100-00000B000000}" name="Q(W)" dataDxfId="269">
      <calculatedColumnFormula>C89*D89*E89</calculatedColumnFormula>
    </tableColumn>
  </tableColumns>
  <tableStyleInfo name="TableStyleMedium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2EB245A-4806-4F08-BBEA-8C77027C3C99}" name="Table20" displayName="Table20" ref="A93:H123" totalsRowShown="0" headerRowDxfId="26" dataDxfId="27" headerRowBorderDxfId="37" tableBorderDxfId="38" totalsRowBorderDxfId="36">
  <tableColumns count="8">
    <tableColumn id="1" xr3:uid="{03F64902-62E8-4945-9FF2-E7BBDCCBFF87}" name="SPACE" dataDxfId="35"/>
    <tableColumn id="2" xr3:uid="{5790F6E5-7EC4-466D-B70A-F8916F9CDD5D}" name="Occ" dataDxfId="34"/>
    <tableColumn id="3" xr3:uid="{6A6473E5-B765-4711-917B-0CCA62E27675}" name="Gain/person" dataDxfId="33"/>
    <tableColumn id="4" xr3:uid="{BB8634C4-3252-4295-B3D3-1A6984B9D452}" name="Sensible" dataDxfId="32"/>
    <tableColumn id="5" xr3:uid="{C028CA10-C8B4-4C78-82E6-A648688B008A}" name="Latent" dataDxfId="31"/>
    <tableColumn id="6" xr3:uid="{0212E0DC-41B0-4FFD-A3A4-CC0F0B13F3AC}" name="CLF" dataDxfId="30"/>
    <tableColumn id="7" xr3:uid="{32ABB148-1E47-4062-A54A-627BCE00B2B1}" name="Qs (W)" dataDxfId="29">
      <calculatedColumnFormula>B94*C94*D94*F94</calculatedColumnFormula>
    </tableColumn>
    <tableColumn id="8" xr3:uid="{456E9F62-F187-4352-822C-14726BA670EA}" name="Ql (W)" dataDxfId="28">
      <calculatedColumnFormula>B94*C94*E94*F94</calculatedColumnFormula>
    </tableColumn>
  </tableColumns>
  <tableStyleInfo name="TableStyleMedium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67A9A8B-F784-407E-8280-6312D609E0BE}" name="Table21" displayName="Table21" ref="A44:H89" totalsRowShown="0" headerRowDxfId="13" dataDxfId="14" headerRowBorderDxfId="24" tableBorderDxfId="25" totalsRowBorderDxfId="23">
  <tableColumns count="8">
    <tableColumn id="1" xr3:uid="{14940000-1F36-4546-8E68-05E9F3729913}" name="SPACE" dataDxfId="22"/>
    <tableColumn id="2" xr3:uid="{70898D7B-9690-4448-B360-13EF4DB59BBD}" name="Occ" dataDxfId="21"/>
    <tableColumn id="3" xr3:uid="{A1663430-B8B5-4A9E-8F9E-6A8FC725E092}" name="Gain/person" dataDxfId="20"/>
    <tableColumn id="4" xr3:uid="{14B1A547-7EDE-4543-9800-CC1D11CE4997}" name="Sensible" dataDxfId="19"/>
    <tableColumn id="5" xr3:uid="{3EBFF27F-E415-429E-9397-C8ABF68445A0}" name="Latent" dataDxfId="18"/>
    <tableColumn id="6" xr3:uid="{1DB73ABE-18AC-4793-86FA-696C8EF11038}" name="CLF" dataDxfId="17"/>
    <tableColumn id="7" xr3:uid="{50C0AFCB-BB46-416C-AA04-6136E02205B4}" name="Qs (W)" dataDxfId="16">
      <calculatedColumnFormula>B45*C45*D45*F45</calculatedColumnFormula>
    </tableColumn>
    <tableColumn id="8" xr3:uid="{97F30CA9-6A8C-460E-8D62-4C537E12841D}" name="Ql (W)" dataDxfId="15">
      <calculatedColumnFormula>B45*C45*E45</calculatedColumnFormula>
    </tableColumn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DE2EA57-0D8C-47DA-B615-D43D4B2009F8}" name="Table22" displayName="Table22" ref="A3:H40" totalsRowShown="0" headerRowDxfId="0" dataDxfId="1" headerRowBorderDxfId="11" tableBorderDxfId="12" totalsRowBorderDxfId="10">
  <tableColumns count="8">
    <tableColumn id="1" xr3:uid="{F17CC87D-EB89-44FE-AE2E-51EDF5B407CA}" name="SPACE" dataDxfId="9"/>
    <tableColumn id="2" xr3:uid="{16AB8E8F-355D-40DD-A274-F60A12507ABC}" name="Occ" dataDxfId="8"/>
    <tableColumn id="3" xr3:uid="{4A578294-8860-4991-9130-DC39CA0B6719}" name="Gain/person" dataDxfId="7"/>
    <tableColumn id="4" xr3:uid="{E4BF478F-0FCD-46C2-A458-8DEDE604B637}" name="Sensible" dataDxfId="6"/>
    <tableColumn id="5" xr3:uid="{5C2F1278-22AA-4113-874E-90FD07412DDA}" name="Latent" dataDxfId="5"/>
    <tableColumn id="6" xr3:uid="{179DAD5A-545E-4396-8217-CA2D8A353599}" name="CLF" dataDxfId="4"/>
    <tableColumn id="7" xr3:uid="{26DC2615-15F2-417D-A71F-6EE00C2FBB42}" name="Qs (W)" dataDxfId="3">
      <calculatedColumnFormula>B4*C4*D4*F4</calculatedColumnFormula>
    </tableColumn>
    <tableColumn id="8" xr3:uid="{082BA3E2-542E-472C-BCF6-C73E5E7F4963}" name="Ql (W)" dataDxfId="2">
      <calculatedColumnFormula>C4*E4*F4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41:K84" totalsRowShown="0" headerRowDxfId="268" headerRowBorderDxfId="267" tableBorderDxfId="266" totalsRowBorderDxfId="265">
  <tableColumns count="11">
    <tableColumn id="1" xr3:uid="{00000000-0010-0000-0200-000001000000}" name="Space" dataDxfId="264"/>
    <tableColumn id="2" xr3:uid="{00000000-0010-0000-0200-000002000000}" name="Orientation" dataDxfId="263"/>
    <tableColumn id="3" xr3:uid="{00000000-0010-0000-0200-000003000000}" name="U" dataDxfId="262"/>
    <tableColumn id="4" xr3:uid="{00000000-0010-0000-0200-000004000000}" name="A(m^2)" dataDxfId="261"/>
    <tableColumn id="5" xr3:uid="{00000000-0010-0000-0200-000005000000}" name="CLTDsel" dataDxfId="260"/>
    <tableColumn id="6" xr3:uid="{00000000-0010-0000-0200-000006000000}" name="LM" dataDxfId="259"/>
    <tableColumn id="7" xr3:uid="{00000000-0010-0000-0200-000007000000}" name="k" dataDxfId="258"/>
    <tableColumn id="8" xr3:uid="{00000000-0010-0000-0200-000008000000}" name="Ti" dataDxfId="257"/>
    <tableColumn id="9" xr3:uid="{00000000-0010-0000-0200-000009000000}" name="Tave" dataDxfId="256"/>
    <tableColumn id="10" xr3:uid="{00000000-0010-0000-0200-00000A000000}" name="CLTD adj" dataDxfId="255">
      <calculatedColumnFormula>(E42+F42)*G42+(25-H42)+(I42-29)</calculatedColumnFormula>
    </tableColumn>
    <tableColumn id="11" xr3:uid="{00000000-0010-0000-0200-00000B000000}" name="Q(W)" dataDxfId="254">
      <calculatedColumnFormula>C42*D42*J42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3:K33" totalsRowShown="0" headerRowDxfId="253" headerRowBorderDxfId="252" tableBorderDxfId="251" totalsRowBorderDxfId="250">
  <tableColumns count="11">
    <tableColumn id="1" xr3:uid="{00000000-0010-0000-0300-000001000000}" name="Space" dataDxfId="249"/>
    <tableColumn id="2" xr3:uid="{00000000-0010-0000-0300-000002000000}" name="Orientation" dataDxfId="248"/>
    <tableColumn id="3" xr3:uid="{00000000-0010-0000-0300-000003000000}" name="U" dataDxfId="247"/>
    <tableColumn id="4" xr3:uid="{00000000-0010-0000-0300-000004000000}" name="To" dataDxfId="246"/>
    <tableColumn id="5" xr3:uid="{00000000-0010-0000-0300-000005000000}" name="Ti" dataDxfId="245"/>
    <tableColumn id="6" xr3:uid="{00000000-0010-0000-0300-000006000000}" name="A(m^2)" dataDxfId="244">
      <calculatedColumnFormula>References!E5*References!F5</calculatedColumnFormula>
    </tableColumn>
    <tableColumn id="7" xr3:uid="{00000000-0010-0000-0300-000007000000}" name="SHGF" dataDxfId="243">
      <calculatedColumnFormula>_xlfn.IFS(B4="E",685,B4="N",120,B4="W",685,B4="S",230)</calculatedColumnFormula>
    </tableColumn>
    <tableColumn id="8" xr3:uid="{00000000-0010-0000-0300-000008000000}" name="SCL" dataDxfId="242">
      <calculatedColumnFormula>_xlfn.IFS(B4="E",0.8,B4="N",0.91,B4="W",0.82,B4="S",0.83)</calculatedColumnFormula>
    </tableColumn>
    <tableColumn id="9" xr3:uid="{00000000-0010-0000-0300-000009000000}" name="SC" dataDxfId="241"/>
    <tableColumn id="10" xr3:uid="{00000000-0010-0000-0300-00000A000000}" name="Qsg (W)" dataDxfId="240">
      <calculatedColumnFormula>G4*H4*F4*I4</calculatedColumnFormula>
    </tableColumn>
    <tableColumn id="11" xr3:uid="{00000000-0010-0000-0300-00000B000000}" name="Qth (W)" dataDxfId="239">
      <calculatedColumnFormula>(C4*F4)*(D4-E4)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72:K99" totalsRowShown="0" headerRowDxfId="238" dataDxfId="236" headerRowBorderDxfId="237" tableBorderDxfId="235" totalsRowBorderDxfId="234">
  <tableColumns count="11">
    <tableColumn id="1" xr3:uid="{00000000-0010-0000-0400-000001000000}" name="Space" dataDxfId="233"/>
    <tableColumn id="2" xr3:uid="{00000000-0010-0000-0400-000002000000}" name="Orientation" dataDxfId="232"/>
    <tableColumn id="3" xr3:uid="{00000000-0010-0000-0400-000003000000}" name="U" dataDxfId="231"/>
    <tableColumn id="4" xr3:uid="{00000000-0010-0000-0400-000004000000}" name="To" dataDxfId="230"/>
    <tableColumn id="5" xr3:uid="{00000000-0010-0000-0400-000005000000}" name="Ti" dataDxfId="229"/>
    <tableColumn id="6" xr3:uid="{00000000-0010-0000-0400-000006000000}" name="A(m^2)" dataDxfId="228">
      <calculatedColumnFormula>References!E41*References!F41</calculatedColumnFormula>
    </tableColumn>
    <tableColumn id="7" xr3:uid="{00000000-0010-0000-0400-000007000000}" name="SHGF" dataDxfId="227">
      <calculatedColumnFormula>_xlfn.IFS(B73="E",685,B73="N",120,B73="W",685,B73="S",230)</calculatedColumnFormula>
    </tableColumn>
    <tableColumn id="8" xr3:uid="{00000000-0010-0000-0400-000008000000}" name="SCL" dataDxfId="226">
      <calculatedColumnFormula>_xlfn.IFS(B73="E",0.8,B73="N",0.91,B73="W",0.82,B73="S",0.83)</calculatedColumnFormula>
    </tableColumn>
    <tableColumn id="9" xr3:uid="{00000000-0010-0000-0400-000009000000}" name="SC" dataDxfId="225"/>
    <tableColumn id="10" xr3:uid="{00000000-0010-0000-0400-00000A000000}" name="Qsg (W)" dataDxfId="224">
      <calculatedColumnFormula>G73*H73*F73*I73</calculatedColumnFormula>
    </tableColumn>
    <tableColumn id="11" xr3:uid="{00000000-0010-0000-0400-00000B000000}" name="Qth (W)" dataDxfId="223">
      <calculatedColumnFormula>(C73*F73)*(D73-E73)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38:K67" totalsRowShown="0" headerRowDxfId="222" headerRowBorderDxfId="221" tableBorderDxfId="220" totalsRowBorderDxfId="219">
  <tableColumns count="11">
    <tableColumn id="1" xr3:uid="{00000000-0010-0000-0500-000001000000}" name="Space" dataDxfId="218"/>
    <tableColumn id="2" xr3:uid="{00000000-0010-0000-0500-000002000000}" name="Orientation" dataDxfId="217"/>
    <tableColumn id="3" xr3:uid="{00000000-0010-0000-0500-000003000000}" name="U" dataDxfId="216"/>
    <tableColumn id="4" xr3:uid="{00000000-0010-0000-0500-000004000000}" name="To" dataDxfId="215"/>
    <tableColumn id="5" xr3:uid="{00000000-0010-0000-0500-000005000000}" name="Ti" dataDxfId="214"/>
    <tableColumn id="6" xr3:uid="{00000000-0010-0000-0500-000006000000}" name="A(m^2)" dataDxfId="213"/>
    <tableColumn id="7" xr3:uid="{00000000-0010-0000-0500-000007000000}" name="SHGF" dataDxfId="212">
      <calculatedColumnFormula>_xlfn.IFS(B39="N",120,B39="E",685,B39="S",230,B39="W",685)</calculatedColumnFormula>
    </tableColumn>
    <tableColumn id="8" xr3:uid="{00000000-0010-0000-0500-000008000000}" name="SCL" dataDxfId="211">
      <calculatedColumnFormula>_xlfn.IFS(B39="N",0.91,B39="E",0.8,B39="S",0.83,B39="W",0.82)</calculatedColumnFormula>
    </tableColumn>
    <tableColumn id="9" xr3:uid="{00000000-0010-0000-0500-000009000000}" name="SC" dataDxfId="210"/>
    <tableColumn id="10" xr3:uid="{00000000-0010-0000-0500-00000A000000}" name="Qsg (W)" dataDxfId="209">
      <calculatedColumnFormula>I39*H39*G39*F39</calculatedColumnFormula>
    </tableColumn>
    <tableColumn id="11" xr3:uid="{00000000-0010-0000-0500-00000B000000}" name="Qth (W)" dataDxfId="208">
      <calculatedColumnFormula>(C39*F39)*(D39-E39)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78:I158" totalsRowShown="0" headerRowDxfId="207" headerRowBorderDxfId="206" tableBorderDxfId="205" totalsRowBorderDxfId="204">
  <tableColumns count="9">
    <tableColumn id="1" xr3:uid="{00000000-0010-0000-0600-000001000000}" name="SPACE" dataDxfId="203"/>
    <tableColumn id="2" xr3:uid="{00000000-0010-0000-0600-000002000000}" name="Volume" dataDxfId="202">
      <calculatedColumnFormula>References!AB4*4</calculatedColumnFormula>
    </tableColumn>
    <tableColumn id="3" xr3:uid="{00000000-0010-0000-0600-000003000000}" name="L/s" dataDxfId="201">
      <calculatedColumnFormula>((0.15+0.01*3+0.007*(D79-E79))*B79)/3.6</calculatedColumnFormula>
    </tableColumn>
    <tableColumn id="4" xr3:uid="{00000000-0010-0000-0600-000004000000}" name="To" dataDxfId="200"/>
    <tableColumn id="5" xr3:uid="{00000000-0010-0000-0600-000005000000}" name="Ti" dataDxfId="199"/>
    <tableColumn id="6" xr3:uid="{00000000-0010-0000-0600-000006000000}" name="Wo" dataDxfId="198"/>
    <tableColumn id="7" xr3:uid="{00000000-0010-0000-0600-000007000000}" name="Wi" dataDxfId="197">
      <calculatedColumnFormula>_xlfn.IFS(E79=22.5,0.00848061,E79=22,0.00821976,E79=24,0.00929323)</calculatedColumnFormula>
    </tableColumn>
    <tableColumn id="8" xr3:uid="{00000000-0010-0000-0600-000008000000}" name="Qs (W)" dataDxfId="196">
      <calculatedColumnFormula>1.23*C79*(D79-E79)</calculatedColumnFormula>
    </tableColumn>
    <tableColumn id="9" xr3:uid="{00000000-0010-0000-0600-000009000000}" name="Ql (W)" dataDxfId="195">
      <calculatedColumnFormula>3000*C79*(F79-G79)</calculatedColumnFormula>
    </tableColumn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4" displayName="Table4" ref="A163:I233" totalsRowShown="0" headerRowDxfId="194" headerRowBorderDxfId="193" tableBorderDxfId="192" totalsRowBorderDxfId="191">
  <tableColumns count="9">
    <tableColumn id="1" xr3:uid="{00000000-0010-0000-0700-000001000000}" name="Space" dataDxfId="190"/>
    <tableColumn id="2" xr3:uid="{00000000-0010-0000-0700-000002000000}" name="Volume" dataDxfId="189">
      <calculatedColumnFormula>References!AE4*4</calculatedColumnFormula>
    </tableColumn>
    <tableColumn id="3" xr3:uid="{00000000-0010-0000-0700-000003000000}" name="L/s" dataDxfId="188">
      <calculatedColumnFormula>(References!AD4*B164)/3.6</calculatedColumnFormula>
    </tableColumn>
    <tableColumn id="4" xr3:uid="{00000000-0010-0000-0700-000004000000}" name="To" dataDxfId="187"/>
    <tableColumn id="5" xr3:uid="{00000000-0010-0000-0700-000005000000}" name="Ti" dataDxfId="186"/>
    <tableColumn id="6" xr3:uid="{00000000-0010-0000-0700-000006000000}" name="Wo" dataDxfId="185"/>
    <tableColumn id="7" xr3:uid="{00000000-0010-0000-0700-000007000000}" name="Wi" dataDxfId="184">
      <calculatedColumnFormula>_xlfn.IFS(E164=22.5,0.00848031,E164=24,0.009293235,E164=22,0.00821976)</calculatedColumnFormula>
    </tableColumn>
    <tableColumn id="8" xr3:uid="{00000000-0010-0000-0700-000008000000}" name="Qs" dataDxfId="183">
      <calculatedColumnFormula>1.232*(D164-E164)*C164</calculatedColumnFormula>
    </tableColumn>
    <tableColumn id="9" xr3:uid="{00000000-0010-0000-0700-000009000000}" name="Ql" dataDxfId="182">
      <calculatedColumnFormula>3000*C164*(F164-G164)</calculatedColumnFormula>
    </tableColumn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I73" totalsRowShown="0" headerRowDxfId="181" headerRowBorderDxfId="180" tableBorderDxfId="179" totalsRowBorderDxfId="178">
  <tableColumns count="9">
    <tableColumn id="1" xr3:uid="{00000000-0010-0000-0800-000001000000}" name="SPACE" dataDxfId="177"/>
    <tableColumn id="2" xr3:uid="{00000000-0010-0000-0800-000002000000}" name="Volume" dataDxfId="176">
      <calculatedColumnFormula>References!Z4*4</calculatedColumnFormula>
    </tableColumn>
    <tableColumn id="3" xr3:uid="{00000000-0010-0000-0800-000003000000}" name="L/s" dataDxfId="175">
      <calculatedColumnFormula>(References!Y4*B4)/3.6</calculatedColumnFormula>
    </tableColumn>
    <tableColumn id="4" xr3:uid="{00000000-0010-0000-0800-000004000000}" name="To" dataDxfId="174"/>
    <tableColumn id="5" xr3:uid="{00000000-0010-0000-0800-000005000000}" name="Ti" dataDxfId="173"/>
    <tableColumn id="6" xr3:uid="{00000000-0010-0000-0800-000006000000}" name="Wo" dataDxfId="172"/>
    <tableColumn id="7" xr3:uid="{00000000-0010-0000-0800-000007000000}" name="Wi" dataDxfId="171"/>
    <tableColumn id="8" xr3:uid="{00000000-0010-0000-0800-000008000000}" name="Qs (W)" dataDxfId="170">
      <calculatedColumnFormula>(1.232*(D4-E4)*C4)</calculatedColumnFormula>
    </tableColumn>
    <tableColumn id="9" xr3:uid="{00000000-0010-0000-0800-000009000000}" name="Ql (W)" dataDxfId="169">
      <calculatedColumnFormula>3000*C4*(F4-G4)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31"/>
  <sheetViews>
    <sheetView zoomScale="85" zoomScaleNormal="85" workbookViewId="0">
      <selection sqref="A1:K1"/>
    </sheetView>
  </sheetViews>
  <sheetFormatPr defaultRowHeight="15" x14ac:dyDescent="0.25"/>
  <cols>
    <col min="1" max="1" width="25.7109375" customWidth="1"/>
    <col min="2" max="2" width="12.42578125" customWidth="1"/>
    <col min="4" max="4" width="9.140625" customWidth="1"/>
    <col min="5" max="5" width="10.28515625" customWidth="1"/>
    <col min="10" max="10" width="15.28515625" customWidth="1"/>
    <col min="13" max="13" width="12.140625" customWidth="1"/>
    <col min="14" max="14" width="15.85546875" customWidth="1"/>
    <col min="15" max="15" width="12.28515625" customWidth="1"/>
    <col min="17" max="17" width="11.28515625" customWidth="1"/>
  </cols>
  <sheetData>
    <row r="1" spans="1:18" x14ac:dyDescent="0.25">
      <c r="A1" s="94" t="s">
        <v>11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8" ht="24" thickBot="1" x14ac:dyDescent="0.4">
      <c r="A2" s="92" t="s">
        <v>161</v>
      </c>
      <c r="B2" s="92"/>
      <c r="C2" s="92"/>
      <c r="D2" s="92"/>
      <c r="E2" s="92"/>
      <c r="F2" s="92"/>
      <c r="G2" s="92"/>
      <c r="H2" s="92"/>
      <c r="I2" s="92"/>
      <c r="J2" s="92"/>
      <c r="K2" s="92"/>
    </row>
    <row r="3" spans="1:18" ht="15.75" thickBot="1" x14ac:dyDescent="0.3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8" t="s">
        <v>10</v>
      </c>
      <c r="L3" s="5"/>
      <c r="O3" s="5"/>
    </row>
    <row r="4" spans="1:18" ht="15.75" thickBot="1" x14ac:dyDescent="0.3">
      <c r="A4" s="8" t="s">
        <v>55</v>
      </c>
      <c r="B4" s="6" t="s">
        <v>47</v>
      </c>
      <c r="C4" s="6">
        <v>2.7143999999999999</v>
      </c>
      <c r="D4" s="6">
        <f>6.5*4-References!B5</f>
        <v>22</v>
      </c>
      <c r="E4" s="6">
        <v>25</v>
      </c>
      <c r="F4" s="6">
        <v>-0.55000000000000004</v>
      </c>
      <c r="G4" s="6">
        <v>0.65</v>
      </c>
      <c r="H4" s="6">
        <v>22.5</v>
      </c>
      <c r="I4" s="6">
        <f>(References!T$4)-(References!T$3/2)</f>
        <v>30.45</v>
      </c>
      <c r="J4" s="6">
        <f>(E4+F4)*G4+(25-H4)+(I4-29)</f>
        <v>19.842499999999998</v>
      </c>
      <c r="K4" s="15">
        <f>C4*D4*E4</f>
        <v>1492.92</v>
      </c>
    </row>
    <row r="5" spans="1:18" ht="15.75" thickBot="1" x14ac:dyDescent="0.3">
      <c r="A5" s="8" t="s">
        <v>55</v>
      </c>
      <c r="B5" s="6" t="s">
        <v>48</v>
      </c>
      <c r="C5" s="6">
        <v>2.7143999999999999</v>
      </c>
      <c r="D5" s="6">
        <f>6*4-8</f>
        <v>16</v>
      </c>
      <c r="E5" s="6">
        <v>13</v>
      </c>
      <c r="F5" s="6">
        <v>2.2200000000000002</v>
      </c>
      <c r="G5" s="6">
        <v>0.65</v>
      </c>
      <c r="H5" s="6">
        <v>22.5</v>
      </c>
      <c r="I5" s="6">
        <f>(References!T$4)-(References!T$3/2)</f>
        <v>30.45</v>
      </c>
      <c r="J5" s="6">
        <f t="shared" ref="J5:J37" si="0">(E5+F5)*G5+(25-H5)+(I5-29)</f>
        <v>13.843</v>
      </c>
      <c r="K5" s="15">
        <f t="shared" ref="K5:K37" si="1">C5*D5*E5</f>
        <v>564.59519999999998</v>
      </c>
    </row>
    <row r="6" spans="1:18" ht="15.75" thickBot="1" x14ac:dyDescent="0.3">
      <c r="A6" s="9" t="s">
        <v>56</v>
      </c>
      <c r="B6" s="6" t="s">
        <v>48</v>
      </c>
      <c r="C6" s="6">
        <v>2.7143999999999999</v>
      </c>
      <c r="D6" s="6">
        <f>1.75*4-(References!B7)</f>
        <v>5.8</v>
      </c>
      <c r="E6" s="6">
        <v>13</v>
      </c>
      <c r="F6" s="6">
        <v>2.2200000000000002</v>
      </c>
      <c r="G6" s="6">
        <v>0.65</v>
      </c>
      <c r="H6" s="6">
        <v>22.5</v>
      </c>
      <c r="I6" s="6">
        <f>(References!T$4)-(References!T$3/2)</f>
        <v>30.45</v>
      </c>
      <c r="J6" s="6">
        <f t="shared" si="0"/>
        <v>13.843</v>
      </c>
      <c r="K6" s="15">
        <f t="shared" si="1"/>
        <v>204.66575999999998</v>
      </c>
      <c r="Q6" s="3"/>
      <c r="R6" s="5"/>
    </row>
    <row r="7" spans="1:18" ht="15.75" thickBot="1" x14ac:dyDescent="0.3">
      <c r="A7" s="9" t="s">
        <v>57</v>
      </c>
      <c r="B7" s="6" t="s">
        <v>48</v>
      </c>
      <c r="C7" s="6">
        <v>2.7143999999999999</v>
      </c>
      <c r="D7" s="6">
        <f>1.35*4-(References!B8)</f>
        <v>5.04</v>
      </c>
      <c r="E7" s="6">
        <v>13</v>
      </c>
      <c r="F7" s="6">
        <v>2.2200000000000002</v>
      </c>
      <c r="G7" s="6">
        <v>0.65</v>
      </c>
      <c r="H7" s="6">
        <v>24</v>
      </c>
      <c r="I7" s="6">
        <f>(References!T$4)-(References!T$3/2)</f>
        <v>30.45</v>
      </c>
      <c r="J7" s="6">
        <f t="shared" si="0"/>
        <v>12.343</v>
      </c>
      <c r="K7" s="15">
        <f t="shared" si="1"/>
        <v>177.847488</v>
      </c>
      <c r="Q7" s="3"/>
      <c r="R7" s="3"/>
    </row>
    <row r="8" spans="1:18" ht="15.75" thickBot="1" x14ac:dyDescent="0.3">
      <c r="A8" s="8" t="s">
        <v>58</v>
      </c>
      <c r="B8" s="6" t="s">
        <v>48</v>
      </c>
      <c r="C8" s="6">
        <v>2.7143999999999999</v>
      </c>
      <c r="D8" s="6">
        <f>3*4-(References!B9)</f>
        <v>11.28</v>
      </c>
      <c r="E8" s="6">
        <v>13</v>
      </c>
      <c r="F8" s="6">
        <v>2.2200000000000002</v>
      </c>
      <c r="G8" s="6">
        <v>0.65</v>
      </c>
      <c r="H8" s="6">
        <v>24</v>
      </c>
      <c r="I8" s="6">
        <f>(References!T$4)-(References!T$3/2)</f>
        <v>30.45</v>
      </c>
      <c r="J8" s="6">
        <f t="shared" si="0"/>
        <v>12.343</v>
      </c>
      <c r="K8" s="15">
        <f t="shared" si="1"/>
        <v>398.03961599999997</v>
      </c>
    </row>
    <row r="9" spans="1:18" ht="15.75" thickBot="1" x14ac:dyDescent="0.3">
      <c r="A9" s="8" t="s">
        <v>59</v>
      </c>
      <c r="B9" s="6" t="s">
        <v>48</v>
      </c>
      <c r="C9" s="6">
        <v>2.7143999999999999</v>
      </c>
      <c r="D9" s="6">
        <f>3*4-(References!B10)</f>
        <v>11.28</v>
      </c>
      <c r="E9" s="6">
        <v>13</v>
      </c>
      <c r="F9" s="6">
        <v>2.2200000000000002</v>
      </c>
      <c r="G9" s="6">
        <v>0.65</v>
      </c>
      <c r="H9" s="6">
        <v>24</v>
      </c>
      <c r="I9" s="6">
        <f>(References!T$4)-(References!T$3/2)</f>
        <v>30.45</v>
      </c>
      <c r="J9" s="6">
        <f t="shared" si="0"/>
        <v>12.343</v>
      </c>
      <c r="K9" s="15">
        <f t="shared" si="1"/>
        <v>398.03961599999997</v>
      </c>
    </row>
    <row r="10" spans="1:18" ht="15.75" thickBot="1" x14ac:dyDescent="0.3">
      <c r="A10" s="10" t="s">
        <v>27</v>
      </c>
      <c r="B10" s="6" t="s">
        <v>48</v>
      </c>
      <c r="C10" s="6">
        <v>2.7143999999999999</v>
      </c>
      <c r="D10" s="6">
        <f>3.8*4-(References!B11)</f>
        <v>13.6</v>
      </c>
      <c r="E10" s="6">
        <v>13</v>
      </c>
      <c r="F10" s="6">
        <v>2.2200000000000002</v>
      </c>
      <c r="G10" s="6">
        <v>0.65</v>
      </c>
      <c r="H10" s="6">
        <v>22</v>
      </c>
      <c r="I10" s="6">
        <f>(References!T$4)-(References!T$3/2)</f>
        <v>30.45</v>
      </c>
      <c r="J10" s="6">
        <f t="shared" si="0"/>
        <v>14.343</v>
      </c>
      <c r="K10" s="15">
        <f t="shared" si="1"/>
        <v>479.90591999999992</v>
      </c>
    </row>
    <row r="11" spans="1:18" ht="15.75" thickBot="1" x14ac:dyDescent="0.3">
      <c r="A11" s="8" t="s">
        <v>28</v>
      </c>
      <c r="B11" s="6" t="s">
        <v>48</v>
      </c>
      <c r="C11" s="6">
        <v>2.7143999999999999</v>
      </c>
      <c r="D11" s="6">
        <f>6*4-(References!B12)</f>
        <v>19.600000000000001</v>
      </c>
      <c r="E11" s="6">
        <v>13</v>
      </c>
      <c r="F11" s="6">
        <v>2.2200000000000002</v>
      </c>
      <c r="G11" s="6">
        <v>0.65</v>
      </c>
      <c r="H11" s="6">
        <v>22.5</v>
      </c>
      <c r="I11" s="6">
        <f>(References!T$4)-(References!T$3/2)</f>
        <v>30.45</v>
      </c>
      <c r="J11" s="6">
        <f t="shared" si="0"/>
        <v>13.843</v>
      </c>
      <c r="K11" s="15">
        <f t="shared" si="1"/>
        <v>691.62912000000006</v>
      </c>
    </row>
    <row r="12" spans="1:18" ht="15.75" thickBot="1" x14ac:dyDescent="0.3">
      <c r="A12" s="8" t="s">
        <v>28</v>
      </c>
      <c r="B12" s="6" t="s">
        <v>49</v>
      </c>
      <c r="C12" s="6">
        <v>2.7143999999999999</v>
      </c>
      <c r="D12" s="6">
        <f>7.4*4</f>
        <v>29.6</v>
      </c>
      <c r="E12" s="6">
        <v>33</v>
      </c>
      <c r="F12" s="6">
        <v>-0.55000000000000004</v>
      </c>
      <c r="G12" s="6">
        <v>0.65</v>
      </c>
      <c r="H12" s="6">
        <v>22.5</v>
      </c>
      <c r="I12" s="6">
        <f>(References!T$4)-(References!T$3/2)</f>
        <v>30.45</v>
      </c>
      <c r="J12" s="6">
        <f t="shared" si="0"/>
        <v>25.0425</v>
      </c>
      <c r="K12" s="15">
        <f t="shared" si="1"/>
        <v>2651.4259199999997</v>
      </c>
    </row>
    <row r="13" spans="1:18" ht="15.75" thickBot="1" x14ac:dyDescent="0.3">
      <c r="A13" s="11" t="s">
        <v>26</v>
      </c>
      <c r="B13" s="6" t="s">
        <v>48</v>
      </c>
      <c r="C13" s="6">
        <v>2.7143999999999999</v>
      </c>
      <c r="D13" s="6">
        <f>2.2*4-References!B14</f>
        <v>8.08</v>
      </c>
      <c r="E13" s="6">
        <v>13</v>
      </c>
      <c r="F13" s="6">
        <v>2.2200000000000002</v>
      </c>
      <c r="G13" s="6">
        <v>0.65</v>
      </c>
      <c r="H13" s="6">
        <v>24</v>
      </c>
      <c r="I13" s="6">
        <f>(References!T$4)-(References!T$3/2)</f>
        <v>30.45</v>
      </c>
      <c r="J13" s="6">
        <f t="shared" si="0"/>
        <v>12.343</v>
      </c>
      <c r="K13" s="15">
        <f t="shared" si="1"/>
        <v>285.12057599999997</v>
      </c>
    </row>
    <row r="14" spans="1:18" ht="15.75" thickBot="1" x14ac:dyDescent="0.3">
      <c r="A14" s="10" t="s">
        <v>41</v>
      </c>
      <c r="B14" s="6" t="s">
        <v>47</v>
      </c>
      <c r="C14" s="6">
        <v>2.7143999999999999</v>
      </c>
      <c r="D14" s="6">
        <f>6*4-(References!B15)</f>
        <v>22.4</v>
      </c>
      <c r="E14" s="6">
        <v>25</v>
      </c>
      <c r="F14" s="6">
        <v>-0.55000000000000004</v>
      </c>
      <c r="G14" s="6">
        <v>0.65</v>
      </c>
      <c r="H14" s="6">
        <v>22.5</v>
      </c>
      <c r="I14" s="6">
        <f>(References!T$4)-(References!T$3/2)</f>
        <v>30.45</v>
      </c>
      <c r="J14" s="6">
        <f t="shared" si="0"/>
        <v>19.842499999999998</v>
      </c>
      <c r="K14" s="15">
        <f t="shared" si="1"/>
        <v>1520.0639999999999</v>
      </c>
    </row>
    <row r="15" spans="1:18" ht="15.75" thickBot="1" x14ac:dyDescent="0.3">
      <c r="A15" s="12" t="s">
        <v>40</v>
      </c>
      <c r="B15" s="6" t="s">
        <v>49</v>
      </c>
      <c r="C15" s="6">
        <v>2.7143999999999999</v>
      </c>
      <c r="D15" s="6">
        <f>(8.25*4)-(References!B16)-(2*2.5*1)</f>
        <v>23.6</v>
      </c>
      <c r="E15" s="6">
        <v>33</v>
      </c>
      <c r="F15" s="6">
        <v>-0.55000000000000004</v>
      </c>
      <c r="G15" s="6">
        <v>0.65</v>
      </c>
      <c r="H15" s="6">
        <v>22.5</v>
      </c>
      <c r="I15" s="6">
        <f>(References!T$4)-(References!T$3/2)</f>
        <v>30.45</v>
      </c>
      <c r="J15" s="6">
        <f t="shared" si="0"/>
        <v>25.0425</v>
      </c>
      <c r="K15" s="15">
        <f t="shared" si="1"/>
        <v>2113.9747200000002</v>
      </c>
    </row>
    <row r="16" spans="1:18" ht="15.75" thickBot="1" x14ac:dyDescent="0.3">
      <c r="A16" s="13" t="s">
        <v>29</v>
      </c>
      <c r="B16" s="6" t="s">
        <v>49</v>
      </c>
      <c r="C16" s="6">
        <v>2.7143999999999999</v>
      </c>
      <c r="D16" s="6">
        <f>15.75*4-(References!B17)-(2*2.5*1)</f>
        <v>49.85</v>
      </c>
      <c r="E16" s="6">
        <v>33</v>
      </c>
      <c r="F16" s="6">
        <v>-0.55000000000000004</v>
      </c>
      <c r="G16" s="6">
        <v>0.65</v>
      </c>
      <c r="H16" s="6">
        <v>22.5</v>
      </c>
      <c r="I16" s="6">
        <f>(References!T$4)-(References!T$3/2)</f>
        <v>30.45</v>
      </c>
      <c r="J16" s="6">
        <f t="shared" si="0"/>
        <v>25.0425</v>
      </c>
      <c r="K16" s="15">
        <f t="shared" si="1"/>
        <v>4465.3237199999994</v>
      </c>
    </row>
    <row r="17" spans="1:11" ht="15.75" thickBot="1" x14ac:dyDescent="0.3">
      <c r="A17" s="10" t="s">
        <v>39</v>
      </c>
      <c r="B17" s="6" t="s">
        <v>47</v>
      </c>
      <c r="C17" s="6">
        <v>2.7143999999999999</v>
      </c>
      <c r="D17" s="6">
        <f>6*4-References!B18</f>
        <v>21.6</v>
      </c>
      <c r="E17" s="6">
        <v>25</v>
      </c>
      <c r="F17" s="6">
        <v>-0.55000000000000004</v>
      </c>
      <c r="G17" s="6">
        <v>0.65</v>
      </c>
      <c r="H17" s="6">
        <v>22.5</v>
      </c>
      <c r="I17" s="6">
        <f>(References!T$4)-(References!T$3/2)</f>
        <v>30.45</v>
      </c>
      <c r="J17" s="6">
        <f t="shared" si="0"/>
        <v>19.842499999999998</v>
      </c>
      <c r="K17" s="15">
        <f t="shared" si="1"/>
        <v>1465.7760000000001</v>
      </c>
    </row>
    <row r="18" spans="1:11" ht="15.75" thickBot="1" x14ac:dyDescent="0.3">
      <c r="A18" s="13" t="s">
        <v>30</v>
      </c>
      <c r="B18" s="6" t="s">
        <v>47</v>
      </c>
      <c r="C18" s="6">
        <v>2.7143999999999999</v>
      </c>
      <c r="D18" s="6">
        <f>1.62*4-References!B19</f>
        <v>6.12</v>
      </c>
      <c r="E18" s="6">
        <v>25</v>
      </c>
      <c r="F18" s="6">
        <v>-0.55000000000000004</v>
      </c>
      <c r="G18" s="6">
        <v>0.65</v>
      </c>
      <c r="H18" s="6">
        <v>24</v>
      </c>
      <c r="I18" s="6">
        <f>(References!T$4)-(References!T$3/2)</f>
        <v>30.45</v>
      </c>
      <c r="J18" s="6">
        <f t="shared" si="0"/>
        <v>18.342499999999998</v>
      </c>
      <c r="K18" s="15">
        <f t="shared" si="1"/>
        <v>415.30319999999995</v>
      </c>
    </row>
    <row r="19" spans="1:11" ht="15.75" thickBot="1" x14ac:dyDescent="0.3">
      <c r="A19" s="10" t="s">
        <v>38</v>
      </c>
      <c r="B19" s="6" t="s">
        <v>47</v>
      </c>
      <c r="C19" s="6">
        <v>2.7143999999999999</v>
      </c>
      <c r="D19" s="6">
        <f>1.6*4-(References!B20)</f>
        <v>6.04</v>
      </c>
      <c r="E19" s="6">
        <v>25</v>
      </c>
      <c r="F19" s="6">
        <v>-0.55000000000000004</v>
      </c>
      <c r="G19" s="6">
        <v>0.65</v>
      </c>
      <c r="H19" s="6">
        <v>24</v>
      </c>
      <c r="I19" s="6">
        <f>(References!T$4)-(References!T$3/2)</f>
        <v>30.45</v>
      </c>
      <c r="J19" s="6">
        <f t="shared" si="0"/>
        <v>18.342499999999998</v>
      </c>
      <c r="K19" s="15">
        <f t="shared" si="1"/>
        <v>409.87439999999998</v>
      </c>
    </row>
    <row r="20" spans="1:11" ht="15.75" thickBot="1" x14ac:dyDescent="0.3">
      <c r="A20" s="10" t="s">
        <v>37</v>
      </c>
      <c r="B20" s="6" t="s">
        <v>47</v>
      </c>
      <c r="C20" s="6">
        <v>2.7143999999999999</v>
      </c>
      <c r="D20" s="6">
        <f>3*4-References!B21</f>
        <v>10</v>
      </c>
      <c r="E20" s="6">
        <v>25</v>
      </c>
      <c r="F20" s="6">
        <v>-0.55000000000000004</v>
      </c>
      <c r="G20" s="6">
        <v>0.65</v>
      </c>
      <c r="H20" s="6">
        <v>22.5</v>
      </c>
      <c r="I20" s="6">
        <f>(References!T$4)-(References!T$3/2)</f>
        <v>30.45</v>
      </c>
      <c r="J20" s="6">
        <f t="shared" si="0"/>
        <v>19.842499999999998</v>
      </c>
      <c r="K20" s="15">
        <f>C20*D20*E20</f>
        <v>678.59999999999991</v>
      </c>
    </row>
    <row r="21" spans="1:11" ht="15.75" thickBot="1" x14ac:dyDescent="0.3">
      <c r="A21" s="10" t="s">
        <v>36</v>
      </c>
      <c r="B21" s="7" t="s">
        <v>48</v>
      </c>
      <c r="C21" s="6">
        <v>2.7143999999999999</v>
      </c>
      <c r="D21" s="6">
        <f>1.4*4-(0.6*0.6)</f>
        <v>5.2399999999999993</v>
      </c>
      <c r="E21" s="6">
        <v>13</v>
      </c>
      <c r="F21" s="6">
        <v>2.2200000000000002</v>
      </c>
      <c r="G21" s="6">
        <v>0.65</v>
      </c>
      <c r="H21" s="6">
        <v>22.5</v>
      </c>
      <c r="I21" s="6">
        <f>(References!T$4)-(References!T$3/2)</f>
        <v>30.45</v>
      </c>
      <c r="J21" s="6">
        <f>(E21+F21)*G21+(25-H21)+(I21-29)</f>
        <v>13.843</v>
      </c>
      <c r="K21" s="15">
        <f>C21*D21*E21</f>
        <v>184.90492799999996</v>
      </c>
    </row>
    <row r="22" spans="1:11" ht="15.75" thickBot="1" x14ac:dyDescent="0.3">
      <c r="A22" s="10" t="s">
        <v>36</v>
      </c>
      <c r="B22" s="6" t="s">
        <v>49</v>
      </c>
      <c r="C22" s="6">
        <v>2.7143999999999999</v>
      </c>
      <c r="D22" s="6">
        <f>6*4-References!B22</f>
        <v>19.2</v>
      </c>
      <c r="E22" s="6">
        <v>33</v>
      </c>
      <c r="F22" s="6">
        <v>-0.55000000000000004</v>
      </c>
      <c r="G22" s="6">
        <v>0.65</v>
      </c>
      <c r="H22" s="6">
        <v>22.5</v>
      </c>
      <c r="I22" s="6">
        <f>(References!T$4)-(References!T$3/2)</f>
        <v>30.45</v>
      </c>
      <c r="J22" s="6">
        <f t="shared" si="0"/>
        <v>25.0425</v>
      </c>
      <c r="K22" s="15">
        <f t="shared" si="1"/>
        <v>1719.8438399999998</v>
      </c>
    </row>
    <row r="23" spans="1:11" ht="15.75" thickBot="1" x14ac:dyDescent="0.3">
      <c r="A23" s="10" t="s">
        <v>107</v>
      </c>
      <c r="B23" s="7" t="s">
        <v>48</v>
      </c>
      <c r="C23" s="6">
        <v>2.7143999999999999</v>
      </c>
      <c r="D23" s="6">
        <f>1.6*4</f>
        <v>6.4</v>
      </c>
      <c r="E23" s="6">
        <v>13</v>
      </c>
      <c r="F23" s="6">
        <v>2.2200000000000002</v>
      </c>
      <c r="G23" s="6">
        <v>0.65</v>
      </c>
      <c r="H23" s="6">
        <v>24</v>
      </c>
      <c r="I23" s="6">
        <f>(References!T$4)-(References!T$3/2)</f>
        <v>30.45</v>
      </c>
      <c r="J23" s="6">
        <f>(E23+F23)*G23+(25-H23)+(I23-29)</f>
        <v>12.343</v>
      </c>
      <c r="K23" s="15">
        <f>C23*D23*E23</f>
        <v>225.83808000000002</v>
      </c>
    </row>
    <row r="24" spans="1:11" ht="15.75" thickBot="1" x14ac:dyDescent="0.3">
      <c r="A24" s="10" t="s">
        <v>107</v>
      </c>
      <c r="B24" s="6" t="s">
        <v>49</v>
      </c>
      <c r="C24" s="6">
        <v>2.7143999999999999</v>
      </c>
      <c r="D24" s="6">
        <f>1.85*4-References!B23</f>
        <v>7.04</v>
      </c>
      <c r="E24" s="6">
        <v>33</v>
      </c>
      <c r="F24" s="6">
        <v>-0.55000000000000004</v>
      </c>
      <c r="G24" s="6">
        <v>0.65</v>
      </c>
      <c r="H24" s="6">
        <v>24</v>
      </c>
      <c r="I24" s="6">
        <f>(References!T$4)-(References!T$3/2)</f>
        <v>30.45</v>
      </c>
      <c r="J24" s="6">
        <f t="shared" si="0"/>
        <v>23.5425</v>
      </c>
      <c r="K24" s="15">
        <f t="shared" si="1"/>
        <v>630.60940800000003</v>
      </c>
    </row>
    <row r="25" spans="1:11" ht="15.75" thickBot="1" x14ac:dyDescent="0.3">
      <c r="A25" s="10" t="s">
        <v>35</v>
      </c>
      <c r="B25" s="6" t="s">
        <v>50</v>
      </c>
      <c r="C25" s="6">
        <v>2.7143999999999999</v>
      </c>
      <c r="D25" s="6">
        <f>(2.73*4)-(1.8)+(1.3*4)-(1.8)</f>
        <v>12.52</v>
      </c>
      <c r="E25" s="6">
        <v>22</v>
      </c>
      <c r="F25" s="6">
        <v>-3.88</v>
      </c>
      <c r="G25" s="6">
        <v>0.65</v>
      </c>
      <c r="H25" s="7">
        <v>24</v>
      </c>
      <c r="I25" s="6">
        <f>(References!T$4)-(References!T$3/2)</f>
        <v>30.45</v>
      </c>
      <c r="J25" s="6">
        <f t="shared" si="0"/>
        <v>14.228</v>
      </c>
      <c r="K25" s="15">
        <f t="shared" si="1"/>
        <v>747.65433599999994</v>
      </c>
    </row>
    <row r="26" spans="1:11" ht="15.75" thickBot="1" x14ac:dyDescent="0.3">
      <c r="A26" s="10" t="s">
        <v>35</v>
      </c>
      <c r="B26" s="7" t="s">
        <v>47</v>
      </c>
      <c r="C26" s="6">
        <v>2.7143999999999999</v>
      </c>
      <c r="D26" s="6">
        <f>6*4-References!B25</f>
        <v>19.8</v>
      </c>
      <c r="E26" s="6">
        <v>25</v>
      </c>
      <c r="F26" s="6">
        <v>-0.55000000000000004</v>
      </c>
      <c r="G26" s="6">
        <v>0.65</v>
      </c>
      <c r="H26" s="7">
        <v>24</v>
      </c>
      <c r="I26" s="6">
        <f>(References!T$4)-(References!T$3/2)</f>
        <v>30.45</v>
      </c>
      <c r="J26" s="6">
        <f t="shared" si="0"/>
        <v>18.342499999999998</v>
      </c>
      <c r="K26" s="15">
        <f t="shared" si="1"/>
        <v>1343.6279999999999</v>
      </c>
    </row>
    <row r="27" spans="1:11" ht="15.75" thickBot="1" x14ac:dyDescent="0.3">
      <c r="A27" s="10" t="s">
        <v>34</v>
      </c>
      <c r="B27" s="7" t="s">
        <v>50</v>
      </c>
      <c r="C27" s="6">
        <v>2.7143999999999999</v>
      </c>
      <c r="D27" s="6">
        <f>3.6*4-References!B26</f>
        <v>11.600000000000001</v>
      </c>
      <c r="E27" s="6">
        <v>22</v>
      </c>
      <c r="F27" s="6">
        <v>-3.88</v>
      </c>
      <c r="G27" s="6">
        <v>0.65</v>
      </c>
      <c r="H27" s="7">
        <v>22.5</v>
      </c>
      <c r="I27" s="6">
        <f>(References!T$4)-(References!T$3/2)</f>
        <v>30.45</v>
      </c>
      <c r="J27" s="6">
        <f t="shared" si="0"/>
        <v>15.728</v>
      </c>
      <c r="K27" s="15">
        <f t="shared" si="1"/>
        <v>692.71488000000011</v>
      </c>
    </row>
    <row r="28" spans="1:11" ht="15.75" thickBot="1" x14ac:dyDescent="0.3">
      <c r="A28" s="10" t="s">
        <v>52</v>
      </c>
      <c r="B28" s="7" t="s">
        <v>50</v>
      </c>
      <c r="C28" s="6">
        <v>2.7143999999999999</v>
      </c>
      <c r="D28" s="6">
        <f>1.4*4</f>
        <v>5.6</v>
      </c>
      <c r="E28" s="6">
        <v>22</v>
      </c>
      <c r="F28" s="6">
        <v>-3.88</v>
      </c>
      <c r="G28" s="6">
        <v>0.65</v>
      </c>
      <c r="H28" s="7">
        <v>24</v>
      </c>
      <c r="I28" s="6">
        <f>(References!T$4)-(References!T$3/2)</f>
        <v>30.45</v>
      </c>
      <c r="J28" s="6">
        <f t="shared" ref="J28" si="2">(E28+F28)*G28+(25-H28)+(I28-29)</f>
        <v>14.228</v>
      </c>
      <c r="K28" s="15">
        <f t="shared" si="1"/>
        <v>334.41407999999996</v>
      </c>
    </row>
    <row r="29" spans="1:11" ht="15.75" thickBot="1" x14ac:dyDescent="0.3">
      <c r="A29" s="10" t="s">
        <v>33</v>
      </c>
      <c r="B29" s="7" t="s">
        <v>50</v>
      </c>
      <c r="C29" s="6">
        <v>2.7143999999999999</v>
      </c>
      <c r="D29" s="6">
        <f>7.13*4-References!B28</f>
        <v>26.12</v>
      </c>
      <c r="E29" s="6">
        <v>22</v>
      </c>
      <c r="F29" s="6">
        <v>-3.88</v>
      </c>
      <c r="G29" s="6">
        <v>0.65</v>
      </c>
      <c r="H29" s="6">
        <v>22.5</v>
      </c>
      <c r="I29" s="6">
        <f>(References!T$4)-(References!T$3/2)</f>
        <v>30.45</v>
      </c>
      <c r="J29" s="6">
        <f t="shared" si="0"/>
        <v>15.728</v>
      </c>
      <c r="K29" s="15">
        <f t="shared" si="1"/>
        <v>1559.8028159999999</v>
      </c>
    </row>
    <row r="30" spans="1:11" ht="15.75" thickBot="1" x14ac:dyDescent="0.3">
      <c r="A30" s="10" t="s">
        <v>32</v>
      </c>
      <c r="B30" s="7" t="s">
        <v>49</v>
      </c>
      <c r="C30" s="6">
        <v>2.7143999999999999</v>
      </c>
      <c r="D30" s="6">
        <f>2.75*4-(0.6*0.6)</f>
        <v>10.64</v>
      </c>
      <c r="E30" s="6">
        <v>33</v>
      </c>
      <c r="F30" s="6">
        <v>-0.55000000000000004</v>
      </c>
      <c r="G30" s="6">
        <v>0.65</v>
      </c>
      <c r="H30" s="6">
        <v>22.5</v>
      </c>
      <c r="I30" s="6">
        <f>(References!T$4)-(References!T$3/2)</f>
        <v>30.45</v>
      </c>
      <c r="J30" s="6">
        <f t="shared" si="0"/>
        <v>25.0425</v>
      </c>
      <c r="K30" s="15">
        <f t="shared" si="1"/>
        <v>953.08012800000006</v>
      </c>
    </row>
    <row r="31" spans="1:11" ht="15.75" thickBot="1" x14ac:dyDescent="0.3">
      <c r="A31" s="10" t="s">
        <v>32</v>
      </c>
      <c r="B31" s="7" t="s">
        <v>50</v>
      </c>
      <c r="C31" s="6">
        <v>2.7143999999999999</v>
      </c>
      <c r="D31" s="6">
        <f>5.4*4-References!B30</f>
        <v>19.400000000000002</v>
      </c>
      <c r="E31" s="6">
        <v>22</v>
      </c>
      <c r="F31" s="6">
        <v>-3.88</v>
      </c>
      <c r="G31" s="6">
        <v>0.65</v>
      </c>
      <c r="H31" s="6">
        <v>22.5</v>
      </c>
      <c r="I31" s="6">
        <f>(References!T$4)-(References!T$3/2)</f>
        <v>30.45</v>
      </c>
      <c r="J31" s="6">
        <f>(E31+F31)*G31+(25-H31)+(I31-29)</f>
        <v>15.728</v>
      </c>
      <c r="K31" s="15">
        <f t="shared" si="1"/>
        <v>1158.5059200000001</v>
      </c>
    </row>
    <row r="32" spans="1:11" ht="15.75" thickBot="1" x14ac:dyDescent="0.3">
      <c r="A32" s="11" t="s">
        <v>26</v>
      </c>
      <c r="B32" s="7" t="s">
        <v>49</v>
      </c>
      <c r="C32" s="6">
        <v>2.7143999999999999</v>
      </c>
      <c r="D32" s="6">
        <f>1.6*4</f>
        <v>6.4</v>
      </c>
      <c r="E32" s="6">
        <v>33</v>
      </c>
      <c r="F32" s="6">
        <v>-0.55000000000000004</v>
      </c>
      <c r="G32" s="6">
        <v>0.65</v>
      </c>
      <c r="H32" s="6">
        <v>24</v>
      </c>
      <c r="I32" s="6">
        <f>(References!T$4)-(References!T$3/2)</f>
        <v>30.45</v>
      </c>
      <c r="J32" s="6">
        <f t="shared" ref="J32" si="3">(E32+F32)*G32+(25-H32)+(I32-29)</f>
        <v>23.5425</v>
      </c>
      <c r="K32" s="15">
        <f t="shared" si="1"/>
        <v>573.28128000000004</v>
      </c>
    </row>
    <row r="33" spans="1:14" ht="15.75" thickBot="1" x14ac:dyDescent="0.3">
      <c r="A33" s="14" t="s">
        <v>26</v>
      </c>
      <c r="B33" s="7" t="s">
        <v>50</v>
      </c>
      <c r="C33" s="6">
        <v>2.7143999999999999</v>
      </c>
      <c r="D33" s="6">
        <f>1.8*4-References!B32</f>
        <v>6.84</v>
      </c>
      <c r="E33" s="6">
        <v>22</v>
      </c>
      <c r="F33" s="6">
        <v>-3.88</v>
      </c>
      <c r="G33" s="6">
        <v>0.65</v>
      </c>
      <c r="H33" s="6">
        <v>24</v>
      </c>
      <c r="I33" s="6">
        <f>(References!T$4)-(References!T$3/2)</f>
        <v>30.45</v>
      </c>
      <c r="J33" s="6">
        <f t="shared" si="0"/>
        <v>14.228</v>
      </c>
      <c r="K33" s="15">
        <f t="shared" si="1"/>
        <v>408.46291200000002</v>
      </c>
    </row>
    <row r="34" spans="1:14" ht="15.75" thickBot="1" x14ac:dyDescent="0.3">
      <c r="A34" s="10" t="s">
        <v>31</v>
      </c>
      <c r="B34" s="7" t="s">
        <v>49</v>
      </c>
      <c r="C34" s="6">
        <v>2.7143999999999999</v>
      </c>
      <c r="D34" s="6">
        <f>12*4-(1.4*3)-(1*2.3*2)</f>
        <v>39.199999999999996</v>
      </c>
      <c r="E34" s="6">
        <v>33</v>
      </c>
      <c r="F34" s="6">
        <v>-0.55000000000000004</v>
      </c>
      <c r="G34" s="6">
        <v>0.65</v>
      </c>
      <c r="H34" s="6">
        <v>24</v>
      </c>
      <c r="I34" s="6">
        <f>(References!T$4)-(References!T$3/2)</f>
        <v>30.45</v>
      </c>
      <c r="J34" s="6">
        <f t="shared" si="0"/>
        <v>23.5425</v>
      </c>
      <c r="K34" s="15">
        <f t="shared" si="1"/>
        <v>3511.3478399999999</v>
      </c>
    </row>
    <row r="35" spans="1:14" ht="15.75" thickBot="1" x14ac:dyDescent="0.3">
      <c r="A35" s="10" t="s">
        <v>31</v>
      </c>
      <c r="B35" s="7" t="s">
        <v>47</v>
      </c>
      <c r="C35" s="6">
        <v>2.7143999999999999</v>
      </c>
      <c r="D35" s="6">
        <f>12*4-1.4-1.8</f>
        <v>44.800000000000004</v>
      </c>
      <c r="E35" s="6">
        <v>25</v>
      </c>
      <c r="F35" s="6">
        <v>-0.55000000000000004</v>
      </c>
      <c r="G35" s="6">
        <v>0.65</v>
      </c>
      <c r="H35" s="6">
        <v>24</v>
      </c>
      <c r="I35" s="6">
        <f>(References!T$4)-(References!T$3/2)</f>
        <v>30.45</v>
      </c>
      <c r="J35" s="6">
        <f t="shared" si="0"/>
        <v>18.342499999999998</v>
      </c>
      <c r="K35" s="15">
        <f t="shared" si="1"/>
        <v>3040.1280000000002</v>
      </c>
    </row>
    <row r="36" spans="1:14" ht="15.75" thickBot="1" x14ac:dyDescent="0.3">
      <c r="A36" s="10" t="s">
        <v>31</v>
      </c>
      <c r="B36" s="7" t="s">
        <v>50</v>
      </c>
      <c r="C36" s="6">
        <v>2.7143999999999999</v>
      </c>
      <c r="D36" s="6">
        <f>14.8*4-(1.4*6)</f>
        <v>50.800000000000004</v>
      </c>
      <c r="E36" s="6">
        <v>22</v>
      </c>
      <c r="F36" s="6">
        <v>-3.88</v>
      </c>
      <c r="G36" s="6">
        <v>0.65</v>
      </c>
      <c r="H36" s="6">
        <v>24</v>
      </c>
      <c r="I36" s="6">
        <f>(References!T$4)-(References!T$3/2)</f>
        <v>30.45</v>
      </c>
      <c r="J36" s="6">
        <f t="shared" si="0"/>
        <v>14.228</v>
      </c>
      <c r="K36" s="15">
        <f t="shared" si="1"/>
        <v>3033.6134400000001</v>
      </c>
    </row>
    <row r="37" spans="1:14" ht="15.75" thickBot="1" x14ac:dyDescent="0.3">
      <c r="A37" s="19" t="s">
        <v>51</v>
      </c>
      <c r="B37" s="20" t="s">
        <v>47</v>
      </c>
      <c r="C37" s="21">
        <v>2.7143999999999999</v>
      </c>
      <c r="D37" s="21">
        <f>3*4-(1.73)</f>
        <v>10.27</v>
      </c>
      <c r="E37" s="21">
        <v>25</v>
      </c>
      <c r="F37" s="21">
        <v>-0.55000000000000004</v>
      </c>
      <c r="G37" s="21">
        <v>0.65</v>
      </c>
      <c r="H37" s="21">
        <v>24</v>
      </c>
      <c r="I37" s="21">
        <f>(References!T$4)-(References!T$3/2)</f>
        <v>30.45</v>
      </c>
      <c r="J37" s="21">
        <f t="shared" si="0"/>
        <v>18.342499999999998</v>
      </c>
      <c r="K37" s="22">
        <f t="shared" si="1"/>
        <v>696.92219999999998</v>
      </c>
    </row>
    <row r="38" spans="1:14" ht="16.5" thickTop="1" thickBot="1" x14ac:dyDescent="0.3">
      <c r="J38" s="45" t="s">
        <v>43</v>
      </c>
      <c r="K38" s="45">
        <f>SUM(K4:K37)</f>
        <v>39227.857343999996</v>
      </c>
    </row>
    <row r="39" spans="1:14" ht="15.75" thickTop="1" x14ac:dyDescent="0.25"/>
    <row r="40" spans="1:14" ht="24" thickBot="1" x14ac:dyDescent="0.4">
      <c r="A40" s="92" t="s">
        <v>42</v>
      </c>
      <c r="B40" s="92"/>
      <c r="C40" s="92"/>
      <c r="D40" s="92"/>
      <c r="E40" s="92"/>
      <c r="F40" s="92"/>
      <c r="G40" s="92"/>
      <c r="H40" s="92"/>
      <c r="I40" s="92"/>
      <c r="J40" s="92"/>
      <c r="K40" s="92"/>
    </row>
    <row r="41" spans="1:14" ht="15.75" thickBot="1" x14ac:dyDescent="0.3">
      <c r="A41" s="16" t="s">
        <v>0</v>
      </c>
      <c r="B41" s="17" t="s">
        <v>1</v>
      </c>
      <c r="C41" s="17" t="s">
        <v>2</v>
      </c>
      <c r="D41" s="17" t="s">
        <v>3</v>
      </c>
      <c r="E41" s="17" t="s">
        <v>4</v>
      </c>
      <c r="F41" s="17" t="s">
        <v>5</v>
      </c>
      <c r="G41" s="17" t="s">
        <v>6</v>
      </c>
      <c r="H41" s="17" t="s">
        <v>7</v>
      </c>
      <c r="I41" s="17" t="s">
        <v>8</v>
      </c>
      <c r="J41" s="17" t="s">
        <v>9</v>
      </c>
      <c r="K41" s="18" t="s">
        <v>10</v>
      </c>
      <c r="L41" s="5"/>
      <c r="M41" s="5"/>
      <c r="N41" s="5"/>
    </row>
    <row r="42" spans="1:14" ht="15.75" thickBot="1" x14ac:dyDescent="0.3">
      <c r="A42" s="9" t="s">
        <v>84</v>
      </c>
      <c r="B42" s="6" t="s">
        <v>47</v>
      </c>
      <c r="C42" s="6">
        <v>2.7143999999999999</v>
      </c>
      <c r="D42" s="6">
        <v>26</v>
      </c>
      <c r="E42" s="6">
        <v>25</v>
      </c>
      <c r="F42" s="6">
        <v>-0.55000000000000004</v>
      </c>
      <c r="G42" s="6">
        <v>0.65</v>
      </c>
      <c r="H42" s="6">
        <v>22.5</v>
      </c>
      <c r="I42" s="6">
        <v>30.45</v>
      </c>
      <c r="J42" s="6">
        <f>(E42+F42)*G42+(25-H42)+(I42-29)</f>
        <v>19.842499999999998</v>
      </c>
      <c r="K42" s="15">
        <f>C42*D42*J42</f>
        <v>1400.3725319999999</v>
      </c>
    </row>
    <row r="43" spans="1:14" ht="15.75" thickBot="1" x14ac:dyDescent="0.3">
      <c r="A43" s="9" t="s">
        <v>85</v>
      </c>
      <c r="B43" s="6" t="s">
        <v>48</v>
      </c>
      <c r="C43" s="6">
        <v>2.7143999999999999</v>
      </c>
      <c r="D43" s="6">
        <v>19.38</v>
      </c>
      <c r="E43" s="6">
        <v>13</v>
      </c>
      <c r="F43" s="6">
        <v>2.2200000000000002</v>
      </c>
      <c r="G43" s="6">
        <v>0.65</v>
      </c>
      <c r="H43" s="6">
        <v>22.5</v>
      </c>
      <c r="I43" s="6">
        <v>30.45</v>
      </c>
      <c r="J43" s="6">
        <f t="shared" ref="J43:J84" si="4">(E43+F43)*G43+(25-H43)+(I43-29)</f>
        <v>13.843</v>
      </c>
      <c r="K43" s="15">
        <f t="shared" ref="K43:K84" si="5">C43*D43*J43</f>
        <v>728.21201169599988</v>
      </c>
    </row>
    <row r="44" spans="1:14" ht="15.75" thickBot="1" x14ac:dyDescent="0.3">
      <c r="A44" s="8" t="s">
        <v>145</v>
      </c>
      <c r="B44" s="6" t="s">
        <v>48</v>
      </c>
      <c r="C44" s="6">
        <v>2.7143999999999999</v>
      </c>
      <c r="D44" s="6">
        <v>19.38</v>
      </c>
      <c r="E44" s="6">
        <v>13</v>
      </c>
      <c r="F44" s="6">
        <v>2.2200000000000002</v>
      </c>
      <c r="G44" s="6">
        <v>0.65</v>
      </c>
      <c r="H44" s="6">
        <v>22.5</v>
      </c>
      <c r="I44" s="6">
        <v>30.45</v>
      </c>
      <c r="J44" s="6">
        <f t="shared" si="4"/>
        <v>13.843</v>
      </c>
      <c r="K44" s="15">
        <f t="shared" si="5"/>
        <v>728.21201169599988</v>
      </c>
    </row>
    <row r="45" spans="1:14" ht="15.75" thickBot="1" x14ac:dyDescent="0.3">
      <c r="A45" s="9" t="s">
        <v>63</v>
      </c>
      <c r="B45" s="6" t="s">
        <v>48</v>
      </c>
      <c r="C45" s="6">
        <v>2.7143999999999999</v>
      </c>
      <c r="D45" s="6">
        <v>43.2</v>
      </c>
      <c r="E45" s="6">
        <v>13</v>
      </c>
      <c r="F45" s="6">
        <v>2.2200000000000002</v>
      </c>
      <c r="G45" s="6">
        <v>0.65</v>
      </c>
      <c r="H45" s="6">
        <v>22.5</v>
      </c>
      <c r="I45" s="6">
        <v>30.45</v>
      </c>
      <c r="J45" s="6">
        <f t="shared" si="4"/>
        <v>13.843</v>
      </c>
      <c r="K45" s="15">
        <f t="shared" si="5"/>
        <v>1623.2589734399999</v>
      </c>
    </row>
    <row r="46" spans="1:14" ht="15.75" thickBot="1" x14ac:dyDescent="0.3">
      <c r="A46" s="9" t="s">
        <v>64</v>
      </c>
      <c r="B46" s="6" t="s">
        <v>49</v>
      </c>
      <c r="C46" s="6">
        <v>2.7143999999999999</v>
      </c>
      <c r="D46" s="6">
        <v>41.2</v>
      </c>
      <c r="E46" s="6">
        <v>33</v>
      </c>
      <c r="F46" s="6">
        <v>-0.55000000000000004</v>
      </c>
      <c r="G46" s="6">
        <v>0.65</v>
      </c>
      <c r="H46" s="6">
        <v>22.5</v>
      </c>
      <c r="I46" s="6">
        <v>30.45</v>
      </c>
      <c r="J46" s="6">
        <f t="shared" si="4"/>
        <v>25.0425</v>
      </c>
      <c r="K46" s="15">
        <f t="shared" si="5"/>
        <v>2800.5849143999999</v>
      </c>
    </row>
    <row r="47" spans="1:14" ht="15.75" thickBot="1" x14ac:dyDescent="0.3">
      <c r="A47" s="8" t="s">
        <v>146</v>
      </c>
      <c r="B47" s="6" t="s">
        <v>48</v>
      </c>
      <c r="C47" s="6">
        <v>2.7143999999999999</v>
      </c>
      <c r="D47" s="6">
        <v>19.38</v>
      </c>
      <c r="E47" s="6">
        <v>13</v>
      </c>
      <c r="F47" s="6">
        <v>2.2200000000000002</v>
      </c>
      <c r="G47" s="6">
        <v>0.65</v>
      </c>
      <c r="H47" s="6">
        <v>22.5</v>
      </c>
      <c r="I47" s="6">
        <v>30.45</v>
      </c>
      <c r="J47" s="6">
        <f t="shared" si="4"/>
        <v>13.843</v>
      </c>
      <c r="K47" s="15">
        <f t="shared" si="5"/>
        <v>728.21201169599988</v>
      </c>
    </row>
    <row r="48" spans="1:14" ht="15.75" thickBot="1" x14ac:dyDescent="0.3">
      <c r="A48" s="8" t="s">
        <v>148</v>
      </c>
      <c r="B48" s="6" t="s">
        <v>48</v>
      </c>
      <c r="C48" s="6">
        <v>2.7143999999999999</v>
      </c>
      <c r="D48" s="6">
        <v>19.38</v>
      </c>
      <c r="E48" s="6">
        <v>13</v>
      </c>
      <c r="F48" s="6">
        <v>2.2200000000000002</v>
      </c>
      <c r="G48" s="6">
        <v>0.65</v>
      </c>
      <c r="H48" s="6">
        <v>22.5</v>
      </c>
      <c r="I48" s="6">
        <v>30.45</v>
      </c>
      <c r="J48" s="6">
        <f t="shared" si="4"/>
        <v>13.843</v>
      </c>
      <c r="K48" s="15">
        <f t="shared" si="5"/>
        <v>728.21201169599988</v>
      </c>
    </row>
    <row r="49" spans="1:13" ht="15.75" thickBot="1" x14ac:dyDescent="0.3">
      <c r="A49" s="8" t="s">
        <v>147</v>
      </c>
      <c r="B49" s="6" t="s">
        <v>49</v>
      </c>
      <c r="C49" s="6">
        <v>2.7143999999999999</v>
      </c>
      <c r="D49" s="6">
        <v>26</v>
      </c>
      <c r="E49" s="6">
        <v>33</v>
      </c>
      <c r="F49" s="6">
        <v>-0.55000000000000004</v>
      </c>
      <c r="G49" s="6">
        <v>0.65</v>
      </c>
      <c r="H49" s="6">
        <v>22.5</v>
      </c>
      <c r="I49" s="6">
        <v>30.45</v>
      </c>
      <c r="J49" s="6">
        <f t="shared" si="4"/>
        <v>25.0425</v>
      </c>
      <c r="K49" s="15">
        <f t="shared" si="5"/>
        <v>1767.359412</v>
      </c>
    </row>
    <row r="50" spans="1:13" ht="15.75" thickBot="1" x14ac:dyDescent="0.3">
      <c r="A50" s="8" t="s">
        <v>127</v>
      </c>
      <c r="B50" s="6" t="s">
        <v>49</v>
      </c>
      <c r="C50" s="6">
        <v>2.7143999999999999</v>
      </c>
      <c r="D50" s="6">
        <v>9.6999999999999993</v>
      </c>
      <c r="E50" s="6">
        <v>33</v>
      </c>
      <c r="F50" s="6">
        <v>-0.55000000000000004</v>
      </c>
      <c r="G50" s="6">
        <v>0.65</v>
      </c>
      <c r="H50" s="6">
        <v>22.5</v>
      </c>
      <c r="I50" s="6">
        <v>30.45</v>
      </c>
      <c r="J50" s="6">
        <f t="shared" si="4"/>
        <v>25.0425</v>
      </c>
      <c r="K50" s="15">
        <f t="shared" si="5"/>
        <v>659.36101139999994</v>
      </c>
    </row>
    <row r="51" spans="1:13" ht="15.75" thickBot="1" x14ac:dyDescent="0.3">
      <c r="A51" s="9" t="s">
        <v>149</v>
      </c>
      <c r="B51" s="6" t="s">
        <v>49</v>
      </c>
      <c r="C51" s="6">
        <v>2.7143999999999999</v>
      </c>
      <c r="D51" s="6">
        <v>12.28</v>
      </c>
      <c r="E51" s="6">
        <v>33</v>
      </c>
      <c r="F51" s="6">
        <v>-0.55000000000000004</v>
      </c>
      <c r="G51" s="6">
        <v>0.65</v>
      </c>
      <c r="H51" s="6">
        <v>22.5</v>
      </c>
      <c r="I51" s="6">
        <v>30.45</v>
      </c>
      <c r="J51" s="6">
        <f t="shared" si="4"/>
        <v>25.0425</v>
      </c>
      <c r="K51" s="15">
        <f t="shared" si="5"/>
        <v>834.73744535999992</v>
      </c>
    </row>
    <row r="52" spans="1:13" ht="15.75" thickBot="1" x14ac:dyDescent="0.3">
      <c r="A52" s="9" t="s">
        <v>150</v>
      </c>
      <c r="B52" s="6" t="s">
        <v>50</v>
      </c>
      <c r="C52" s="6">
        <v>2.7143999999999999</v>
      </c>
      <c r="D52" s="6">
        <v>10.48</v>
      </c>
      <c r="E52" s="6">
        <v>22</v>
      </c>
      <c r="F52" s="6">
        <v>-3.88</v>
      </c>
      <c r="G52" s="6">
        <v>0.65</v>
      </c>
      <c r="H52" s="6">
        <v>22.5</v>
      </c>
      <c r="I52" s="6">
        <v>30.45</v>
      </c>
      <c r="J52" s="6">
        <f t="shared" si="4"/>
        <v>15.728</v>
      </c>
      <c r="K52" s="15">
        <f t="shared" si="5"/>
        <v>447.41303193600004</v>
      </c>
    </row>
    <row r="53" spans="1:13" ht="15.75" thickBot="1" x14ac:dyDescent="0.3">
      <c r="A53" s="9" t="s">
        <v>151</v>
      </c>
      <c r="B53" s="6" t="s">
        <v>49</v>
      </c>
      <c r="C53" s="6">
        <v>2.7143999999999999</v>
      </c>
      <c r="D53" s="6">
        <v>7.48</v>
      </c>
      <c r="E53" s="6">
        <v>33</v>
      </c>
      <c r="F53" s="6">
        <v>-0.55000000000000004</v>
      </c>
      <c r="G53" s="6">
        <v>0.65</v>
      </c>
      <c r="H53" s="6">
        <v>24</v>
      </c>
      <c r="I53" s="6">
        <v>30.45</v>
      </c>
      <c r="J53" s="6">
        <f t="shared" si="4"/>
        <v>23.5425</v>
      </c>
      <c r="K53" s="15">
        <f t="shared" si="5"/>
        <v>478.00013976000002</v>
      </c>
    </row>
    <row r="54" spans="1:13" ht="15.75" thickBot="1" x14ac:dyDescent="0.3">
      <c r="A54" s="8" t="s">
        <v>71</v>
      </c>
      <c r="B54" s="6" t="s">
        <v>49</v>
      </c>
      <c r="C54" s="6">
        <v>2.7143999999999999</v>
      </c>
      <c r="D54" s="6">
        <v>9</v>
      </c>
      <c r="E54" s="6">
        <v>33</v>
      </c>
      <c r="F54" s="6">
        <v>-0.55000000000000004</v>
      </c>
      <c r="G54" s="6">
        <v>0.65</v>
      </c>
      <c r="H54" s="6">
        <v>22.5</v>
      </c>
      <c r="I54" s="6">
        <v>30.45</v>
      </c>
      <c r="J54" s="6">
        <f t="shared" si="4"/>
        <v>25.0425</v>
      </c>
      <c r="K54" s="15">
        <f t="shared" si="5"/>
        <v>611.77825800000005</v>
      </c>
    </row>
    <row r="55" spans="1:13" ht="15.75" thickBot="1" x14ac:dyDescent="0.3">
      <c r="A55" s="8" t="s">
        <v>71</v>
      </c>
      <c r="B55" s="6" t="s">
        <v>49</v>
      </c>
      <c r="C55" s="6">
        <v>2.7143999999999999</v>
      </c>
      <c r="D55" s="6">
        <v>9</v>
      </c>
      <c r="E55" s="6">
        <v>33</v>
      </c>
      <c r="F55" s="6">
        <v>-0.55000000000000004</v>
      </c>
      <c r="G55" s="6">
        <v>0.65</v>
      </c>
      <c r="H55" s="6">
        <v>22.5</v>
      </c>
      <c r="I55" s="6">
        <v>30.45</v>
      </c>
      <c r="J55" s="6">
        <f t="shared" si="4"/>
        <v>25.0425</v>
      </c>
      <c r="K55" s="15">
        <f t="shared" si="5"/>
        <v>611.77825800000005</v>
      </c>
    </row>
    <row r="56" spans="1:13" ht="15.75" thickBot="1" x14ac:dyDescent="0.3">
      <c r="A56" s="8" t="s">
        <v>71</v>
      </c>
      <c r="B56" s="6" t="s">
        <v>49</v>
      </c>
      <c r="C56" s="6">
        <v>2.7143999999999999</v>
      </c>
      <c r="D56" s="6">
        <v>9</v>
      </c>
      <c r="E56" s="6">
        <v>33</v>
      </c>
      <c r="F56" s="6">
        <v>-0.55000000000000004</v>
      </c>
      <c r="G56" s="6">
        <v>0.65</v>
      </c>
      <c r="H56" s="6">
        <v>22.5</v>
      </c>
      <c r="I56" s="6">
        <v>30.45</v>
      </c>
      <c r="J56" s="6">
        <f t="shared" si="4"/>
        <v>25.0425</v>
      </c>
      <c r="K56" s="15">
        <f t="shared" si="5"/>
        <v>611.77825800000005</v>
      </c>
    </row>
    <row r="57" spans="1:13" ht="15.75" thickBot="1" x14ac:dyDescent="0.3">
      <c r="A57" s="8" t="s">
        <v>71</v>
      </c>
      <c r="B57" s="6" t="s">
        <v>49</v>
      </c>
      <c r="C57" s="6">
        <v>2.7143999999999999</v>
      </c>
      <c r="D57" s="6">
        <v>9</v>
      </c>
      <c r="E57" s="6">
        <v>33</v>
      </c>
      <c r="F57" s="6">
        <v>-0.55000000000000004</v>
      </c>
      <c r="G57" s="6">
        <v>0.65</v>
      </c>
      <c r="H57" s="6">
        <v>22.5</v>
      </c>
      <c r="I57" s="6">
        <v>30.45</v>
      </c>
      <c r="J57" s="6">
        <f t="shared" si="4"/>
        <v>25.0425</v>
      </c>
      <c r="K57" s="15">
        <f t="shared" si="5"/>
        <v>611.77825800000005</v>
      </c>
    </row>
    <row r="58" spans="1:13" ht="15.75" thickBot="1" x14ac:dyDescent="0.3">
      <c r="A58" s="8" t="s">
        <v>128</v>
      </c>
      <c r="B58" s="6" t="s">
        <v>49</v>
      </c>
      <c r="C58" s="6">
        <v>2.7143999999999999</v>
      </c>
      <c r="D58" s="6">
        <v>13.05</v>
      </c>
      <c r="E58" s="6">
        <v>33</v>
      </c>
      <c r="F58" s="6">
        <v>-0.55000000000000004</v>
      </c>
      <c r="G58" s="6">
        <v>0.65</v>
      </c>
      <c r="H58" s="6">
        <v>24</v>
      </c>
      <c r="I58" s="6">
        <v>30.45</v>
      </c>
      <c r="J58" s="6">
        <f t="shared" si="4"/>
        <v>23.5425</v>
      </c>
      <c r="K58" s="15">
        <f t="shared" si="5"/>
        <v>833.94409409999992</v>
      </c>
    </row>
    <row r="59" spans="1:13" ht="15.75" thickBot="1" x14ac:dyDescent="0.3">
      <c r="A59" s="8" t="s">
        <v>152</v>
      </c>
      <c r="B59" s="6" t="s">
        <v>48</v>
      </c>
      <c r="C59" s="6">
        <v>2.7143999999999999</v>
      </c>
      <c r="D59" s="6">
        <v>12</v>
      </c>
      <c r="E59" s="6">
        <v>13</v>
      </c>
      <c r="F59" s="6">
        <v>2.2200000000000002</v>
      </c>
      <c r="G59" s="6">
        <v>0.65</v>
      </c>
      <c r="H59" s="6">
        <v>24</v>
      </c>
      <c r="I59" s="6">
        <v>30.45</v>
      </c>
      <c r="J59" s="6">
        <f t="shared" si="4"/>
        <v>12.343</v>
      </c>
      <c r="K59" s="15">
        <f t="shared" si="5"/>
        <v>402.04607040000002</v>
      </c>
      <c r="M59" s="4"/>
    </row>
    <row r="60" spans="1:13" ht="15.75" thickBot="1" x14ac:dyDescent="0.3">
      <c r="A60" s="8" t="s">
        <v>153</v>
      </c>
      <c r="B60" s="6" t="s">
        <v>49</v>
      </c>
      <c r="C60" s="6">
        <v>2.7143999999999999</v>
      </c>
      <c r="D60" s="6">
        <v>10.58</v>
      </c>
      <c r="E60" s="6">
        <v>33</v>
      </c>
      <c r="F60" s="6">
        <v>-0.55000000000000004</v>
      </c>
      <c r="G60" s="6">
        <v>0.65</v>
      </c>
      <c r="H60" s="6">
        <v>24</v>
      </c>
      <c r="I60" s="6">
        <v>30.45</v>
      </c>
      <c r="J60" s="6">
        <f t="shared" si="4"/>
        <v>23.5425</v>
      </c>
      <c r="K60" s="15">
        <f t="shared" si="5"/>
        <v>676.10180195999999</v>
      </c>
      <c r="M60" s="4"/>
    </row>
    <row r="61" spans="1:13" ht="15.75" thickBot="1" x14ac:dyDescent="0.3">
      <c r="A61" s="9" t="s">
        <v>155</v>
      </c>
      <c r="B61" s="6" t="s">
        <v>49</v>
      </c>
      <c r="C61" s="6">
        <v>2.7143999999999999</v>
      </c>
      <c r="D61" s="6">
        <v>30.4</v>
      </c>
      <c r="E61" s="6">
        <v>33</v>
      </c>
      <c r="F61" s="6">
        <v>-0.55000000000000004</v>
      </c>
      <c r="G61" s="6">
        <v>0.65</v>
      </c>
      <c r="H61" s="6">
        <v>22.5</v>
      </c>
      <c r="I61" s="6">
        <v>30.45</v>
      </c>
      <c r="J61" s="6">
        <f t="shared" si="4"/>
        <v>25.0425</v>
      </c>
      <c r="K61" s="15">
        <f t="shared" si="5"/>
        <v>2066.4510047999997</v>
      </c>
    </row>
    <row r="62" spans="1:13" ht="15.75" thickBot="1" x14ac:dyDescent="0.3">
      <c r="A62" s="9" t="s">
        <v>154</v>
      </c>
      <c r="B62" s="6" t="s">
        <v>50</v>
      </c>
      <c r="C62" s="6">
        <v>2.7143999999999999</v>
      </c>
      <c r="D62" s="6">
        <v>21.6</v>
      </c>
      <c r="E62" s="6">
        <v>22</v>
      </c>
      <c r="F62" s="6">
        <v>-3.88</v>
      </c>
      <c r="G62" s="6">
        <v>0.65</v>
      </c>
      <c r="H62" s="6">
        <v>22.5</v>
      </c>
      <c r="I62" s="6">
        <v>30.45</v>
      </c>
      <c r="J62" s="6">
        <f t="shared" si="4"/>
        <v>15.728</v>
      </c>
      <c r="K62" s="15">
        <f t="shared" si="5"/>
        <v>922.14899711999999</v>
      </c>
    </row>
    <row r="63" spans="1:13" ht="15.75" thickBot="1" x14ac:dyDescent="0.3">
      <c r="A63" s="9" t="s">
        <v>156</v>
      </c>
      <c r="B63" s="6" t="s">
        <v>50</v>
      </c>
      <c r="C63" s="6">
        <v>2.7143999999999999</v>
      </c>
      <c r="D63" s="6">
        <v>4.4400000000000004</v>
      </c>
      <c r="E63" s="6">
        <v>22</v>
      </c>
      <c r="F63" s="6">
        <v>-3.88</v>
      </c>
      <c r="G63" s="6">
        <v>0.65</v>
      </c>
      <c r="H63" s="6">
        <v>24</v>
      </c>
      <c r="I63" s="6">
        <v>30.45</v>
      </c>
      <c r="J63" s="6">
        <f t="shared" si="4"/>
        <v>14.228</v>
      </c>
      <c r="K63" s="15">
        <f t="shared" si="5"/>
        <v>171.47494540800002</v>
      </c>
    </row>
    <row r="64" spans="1:13" ht="15.75" thickBot="1" x14ac:dyDescent="0.3">
      <c r="A64" s="8" t="s">
        <v>131</v>
      </c>
      <c r="B64" s="6" t="s">
        <v>50</v>
      </c>
      <c r="C64" s="6">
        <v>2.7143999999999999</v>
      </c>
      <c r="D64" s="6">
        <v>19.2</v>
      </c>
      <c r="E64" s="6">
        <v>22</v>
      </c>
      <c r="F64" s="6">
        <v>-3.88</v>
      </c>
      <c r="G64" s="6">
        <v>0.65</v>
      </c>
      <c r="H64" s="6">
        <v>22.5</v>
      </c>
      <c r="I64" s="6">
        <v>30.45</v>
      </c>
      <c r="J64" s="6">
        <f t="shared" si="4"/>
        <v>15.728</v>
      </c>
      <c r="K64" s="15">
        <f t="shared" si="5"/>
        <v>819.68799743999989</v>
      </c>
    </row>
    <row r="65" spans="1:13" ht="15.75" thickBot="1" x14ac:dyDescent="0.3">
      <c r="A65" s="8" t="s">
        <v>132</v>
      </c>
      <c r="B65" s="6" t="s">
        <v>50</v>
      </c>
      <c r="C65" s="6">
        <v>2.7143999999999999</v>
      </c>
      <c r="D65" s="6">
        <v>21.2</v>
      </c>
      <c r="E65" s="6">
        <v>22</v>
      </c>
      <c r="F65" s="6">
        <v>-3.88</v>
      </c>
      <c r="G65" s="6">
        <v>0.65</v>
      </c>
      <c r="H65" s="6">
        <v>22.5</v>
      </c>
      <c r="I65" s="6">
        <v>30.45</v>
      </c>
      <c r="J65" s="6">
        <f t="shared" si="4"/>
        <v>15.728</v>
      </c>
      <c r="K65" s="15">
        <f t="shared" si="5"/>
        <v>905.07216383999992</v>
      </c>
      <c r="M65" s="4"/>
    </row>
    <row r="66" spans="1:13" ht="15.75" thickBot="1" x14ac:dyDescent="0.3">
      <c r="A66" s="8" t="s">
        <v>133</v>
      </c>
      <c r="B66" s="6" t="s">
        <v>50</v>
      </c>
      <c r="C66" s="6">
        <v>2.7143999999999999</v>
      </c>
      <c r="D66" s="6">
        <v>5.04</v>
      </c>
      <c r="E66" s="6">
        <v>22</v>
      </c>
      <c r="F66" s="6">
        <v>-3.88</v>
      </c>
      <c r="G66" s="6">
        <v>0.65</v>
      </c>
      <c r="H66" s="6">
        <v>22.5</v>
      </c>
      <c r="I66" s="6">
        <v>30.45</v>
      </c>
      <c r="J66" s="6">
        <f t="shared" si="4"/>
        <v>15.728</v>
      </c>
      <c r="K66" s="15">
        <f t="shared" si="5"/>
        <v>215.16809932800001</v>
      </c>
    </row>
    <row r="67" spans="1:13" ht="15.75" thickBot="1" x14ac:dyDescent="0.3">
      <c r="A67" s="8" t="s">
        <v>134</v>
      </c>
      <c r="B67" s="6" t="s">
        <v>50</v>
      </c>
      <c r="C67" s="6">
        <v>2.7143999999999999</v>
      </c>
      <c r="D67" s="6">
        <v>5.04</v>
      </c>
      <c r="E67" s="6">
        <v>22</v>
      </c>
      <c r="F67" s="6">
        <v>-3.88</v>
      </c>
      <c r="G67" s="6">
        <v>0.65</v>
      </c>
      <c r="H67" s="6">
        <v>22.5</v>
      </c>
      <c r="I67" s="6">
        <v>30.45</v>
      </c>
      <c r="J67" s="6">
        <f t="shared" si="4"/>
        <v>15.728</v>
      </c>
      <c r="K67" s="15">
        <f t="shared" si="5"/>
        <v>215.16809932800001</v>
      </c>
    </row>
    <row r="68" spans="1:13" ht="15.75" thickBot="1" x14ac:dyDescent="0.3">
      <c r="A68" s="8" t="s">
        <v>135</v>
      </c>
      <c r="B68" s="6" t="s">
        <v>50</v>
      </c>
      <c r="C68" s="6">
        <v>2.7143999999999999</v>
      </c>
      <c r="D68" s="6">
        <v>5.04</v>
      </c>
      <c r="E68" s="6">
        <v>22</v>
      </c>
      <c r="F68" s="6">
        <v>-3.88</v>
      </c>
      <c r="G68" s="6">
        <v>0.65</v>
      </c>
      <c r="H68" s="6">
        <v>22.5</v>
      </c>
      <c r="I68" s="6">
        <v>30.45</v>
      </c>
      <c r="J68" s="6">
        <f t="shared" si="4"/>
        <v>15.728</v>
      </c>
      <c r="K68" s="15">
        <f t="shared" si="5"/>
        <v>215.16809932800001</v>
      </c>
    </row>
    <row r="69" spans="1:13" ht="15.75" thickBot="1" x14ac:dyDescent="0.3">
      <c r="A69" s="8" t="s">
        <v>136</v>
      </c>
      <c r="B69" s="6" t="s">
        <v>50</v>
      </c>
      <c r="C69" s="6">
        <v>2.7143999999999999</v>
      </c>
      <c r="D69" s="6">
        <v>9.8000000000000007</v>
      </c>
      <c r="E69" s="6">
        <v>22</v>
      </c>
      <c r="F69" s="6">
        <v>-3.88</v>
      </c>
      <c r="G69" s="6">
        <v>0.65</v>
      </c>
      <c r="H69" s="6">
        <v>24</v>
      </c>
      <c r="I69" s="6">
        <v>30.45</v>
      </c>
      <c r="J69" s="6">
        <f t="shared" si="4"/>
        <v>14.228</v>
      </c>
      <c r="K69" s="15">
        <f t="shared" si="5"/>
        <v>378.48073536000004</v>
      </c>
    </row>
    <row r="70" spans="1:13" ht="15.75" thickBot="1" x14ac:dyDescent="0.3">
      <c r="A70" s="8" t="s">
        <v>137</v>
      </c>
      <c r="B70" s="6" t="s">
        <v>50</v>
      </c>
      <c r="C70" s="6">
        <v>2.7143999999999999</v>
      </c>
      <c r="D70" s="6">
        <v>8.8000000000000007</v>
      </c>
      <c r="E70" s="6">
        <v>22</v>
      </c>
      <c r="F70" s="6">
        <v>-3.88</v>
      </c>
      <c r="G70" s="6">
        <v>0.65</v>
      </c>
      <c r="H70" s="6">
        <v>24</v>
      </c>
      <c r="I70" s="6">
        <v>30.45</v>
      </c>
      <c r="J70" s="6">
        <f t="shared" si="4"/>
        <v>14.228</v>
      </c>
      <c r="K70" s="15">
        <f t="shared" si="5"/>
        <v>339.86025216000002</v>
      </c>
    </row>
    <row r="71" spans="1:13" ht="15.75" thickBot="1" x14ac:dyDescent="0.3">
      <c r="A71" s="8" t="s">
        <v>138</v>
      </c>
      <c r="B71" s="6" t="s">
        <v>50</v>
      </c>
      <c r="C71" s="6">
        <v>2.7143999999999999</v>
      </c>
      <c r="D71" s="6">
        <v>10.4</v>
      </c>
      <c r="E71" s="6">
        <v>22</v>
      </c>
      <c r="F71" s="6">
        <v>-3.88</v>
      </c>
      <c r="G71" s="6">
        <v>0.65</v>
      </c>
      <c r="H71" s="6">
        <v>24</v>
      </c>
      <c r="I71" s="6">
        <v>30.45</v>
      </c>
      <c r="J71" s="6">
        <f t="shared" si="4"/>
        <v>14.228</v>
      </c>
      <c r="K71" s="15">
        <f t="shared" si="5"/>
        <v>401.65302527999995</v>
      </c>
    </row>
    <row r="72" spans="1:13" ht="15.75" thickBot="1" x14ac:dyDescent="0.3">
      <c r="A72" s="8" t="s">
        <v>139</v>
      </c>
      <c r="B72" s="6" t="s">
        <v>50</v>
      </c>
      <c r="C72" s="6">
        <v>2.7143999999999999</v>
      </c>
      <c r="D72" s="6">
        <v>10.4</v>
      </c>
      <c r="E72" s="6">
        <v>22</v>
      </c>
      <c r="F72" s="6">
        <v>-3.88</v>
      </c>
      <c r="G72" s="6">
        <v>0.65</v>
      </c>
      <c r="H72" s="6">
        <v>22.5</v>
      </c>
      <c r="I72" s="6">
        <v>30.45</v>
      </c>
      <c r="J72" s="6">
        <f t="shared" si="4"/>
        <v>15.728</v>
      </c>
      <c r="K72" s="15">
        <f t="shared" si="5"/>
        <v>443.99766527999998</v>
      </c>
    </row>
    <row r="73" spans="1:13" ht="15.75" thickBot="1" x14ac:dyDescent="0.3">
      <c r="A73" s="9" t="s">
        <v>157</v>
      </c>
      <c r="B73" s="6" t="s">
        <v>50</v>
      </c>
      <c r="C73" s="6">
        <v>2.7143999999999999</v>
      </c>
      <c r="D73" s="6">
        <v>6</v>
      </c>
      <c r="E73" s="6">
        <v>22</v>
      </c>
      <c r="F73" s="6">
        <v>-3.88</v>
      </c>
      <c r="G73" s="6">
        <v>0.65</v>
      </c>
      <c r="H73" s="6">
        <v>22</v>
      </c>
      <c r="I73" s="6">
        <v>30.45</v>
      </c>
      <c r="J73" s="6">
        <f t="shared" si="4"/>
        <v>16.228000000000002</v>
      </c>
      <c r="K73" s="15">
        <f t="shared" si="5"/>
        <v>264.29569920000006</v>
      </c>
    </row>
    <row r="74" spans="1:13" ht="15.75" thickBot="1" x14ac:dyDescent="0.3">
      <c r="A74" s="9" t="s">
        <v>158</v>
      </c>
      <c r="B74" s="6" t="s">
        <v>47</v>
      </c>
      <c r="C74" s="6">
        <v>2.7143999999999999</v>
      </c>
      <c r="D74" s="6">
        <v>6</v>
      </c>
      <c r="E74" s="6">
        <v>25</v>
      </c>
      <c r="F74" s="6">
        <v>-0.55000000000000004</v>
      </c>
      <c r="G74" s="6">
        <v>0.65</v>
      </c>
      <c r="H74" s="6">
        <v>22</v>
      </c>
      <c r="I74" s="6">
        <v>30.45</v>
      </c>
      <c r="J74" s="6">
        <f t="shared" si="4"/>
        <v>20.342499999999998</v>
      </c>
      <c r="K74" s="15">
        <f t="shared" si="5"/>
        <v>331.30609199999998</v>
      </c>
    </row>
    <row r="75" spans="1:13" ht="15.75" thickBot="1" x14ac:dyDescent="0.3">
      <c r="A75" s="35" t="s">
        <v>66</v>
      </c>
      <c r="B75" s="6" t="s">
        <v>47</v>
      </c>
      <c r="C75" s="6">
        <v>2.7143999999999999</v>
      </c>
      <c r="D75" s="6">
        <v>8.6</v>
      </c>
      <c r="E75" s="6">
        <v>25</v>
      </c>
      <c r="F75" s="6">
        <v>-0.55000000000000004</v>
      </c>
      <c r="G75" s="6">
        <v>0.65</v>
      </c>
      <c r="H75" s="6">
        <v>22.5</v>
      </c>
      <c r="I75" s="6">
        <v>30.45</v>
      </c>
      <c r="J75" s="6">
        <f t="shared" si="4"/>
        <v>19.842499999999998</v>
      </c>
      <c r="K75" s="15">
        <f t="shared" si="5"/>
        <v>463.20014519999995</v>
      </c>
      <c r="M75" s="4"/>
    </row>
    <row r="76" spans="1:13" ht="15.75" thickBot="1" x14ac:dyDescent="0.3">
      <c r="A76" s="9" t="s">
        <v>160</v>
      </c>
      <c r="B76" s="6" t="s">
        <v>47</v>
      </c>
      <c r="C76" s="6">
        <v>2.7143999999999999</v>
      </c>
      <c r="D76" s="6">
        <v>24</v>
      </c>
      <c r="E76" s="6">
        <v>25</v>
      </c>
      <c r="F76" s="6">
        <v>-0.55000000000000004</v>
      </c>
      <c r="G76" s="6">
        <v>0.65</v>
      </c>
      <c r="H76" s="6">
        <v>22</v>
      </c>
      <c r="I76" s="6">
        <v>30.45</v>
      </c>
      <c r="J76" s="6">
        <f t="shared" si="4"/>
        <v>20.342499999999998</v>
      </c>
      <c r="K76" s="15">
        <f t="shared" si="5"/>
        <v>1325.2243679999999</v>
      </c>
    </row>
    <row r="77" spans="1:13" ht="15.75" thickBot="1" x14ac:dyDescent="0.3">
      <c r="A77" s="9" t="s">
        <v>159</v>
      </c>
      <c r="B77" s="6" t="s">
        <v>48</v>
      </c>
      <c r="C77" s="6">
        <v>2.7143999999999999</v>
      </c>
      <c r="D77" s="6">
        <v>9.4</v>
      </c>
      <c r="E77" s="6">
        <v>13</v>
      </c>
      <c r="F77" s="6">
        <v>2.2200000000000002</v>
      </c>
      <c r="G77" s="6">
        <v>0.65</v>
      </c>
      <c r="H77" s="6">
        <v>22.5</v>
      </c>
      <c r="I77" s="6">
        <v>30.45</v>
      </c>
      <c r="J77" s="6">
        <f t="shared" si="4"/>
        <v>13.843</v>
      </c>
      <c r="K77" s="15">
        <f t="shared" si="5"/>
        <v>353.20912848</v>
      </c>
    </row>
    <row r="78" spans="1:13" ht="15.75" thickBot="1" x14ac:dyDescent="0.3">
      <c r="A78" s="8" t="s">
        <v>141</v>
      </c>
      <c r="B78" s="6" t="s">
        <v>47</v>
      </c>
      <c r="C78" s="6">
        <v>2.7143999999999999</v>
      </c>
      <c r="D78" s="6">
        <v>12.9</v>
      </c>
      <c r="E78" s="6">
        <v>25</v>
      </c>
      <c r="F78" s="6">
        <v>-0.55000000000000004</v>
      </c>
      <c r="G78" s="6">
        <v>0.65</v>
      </c>
      <c r="H78" s="6">
        <v>22.5</v>
      </c>
      <c r="I78" s="6">
        <v>30.45</v>
      </c>
      <c r="J78" s="6">
        <f t="shared" si="4"/>
        <v>19.842499999999998</v>
      </c>
      <c r="K78" s="15">
        <f t="shared" si="5"/>
        <v>694.80021779999993</v>
      </c>
    </row>
    <row r="79" spans="1:13" ht="15.75" thickBot="1" x14ac:dyDescent="0.3">
      <c r="A79" s="8" t="s">
        <v>142</v>
      </c>
      <c r="B79" s="6" t="s">
        <v>47</v>
      </c>
      <c r="C79" s="6">
        <v>2.7143999999999999</v>
      </c>
      <c r="D79" s="6">
        <v>20.399999999999999</v>
      </c>
      <c r="E79" s="6">
        <v>25</v>
      </c>
      <c r="F79" s="6">
        <v>-0.55000000000000004</v>
      </c>
      <c r="G79" s="6">
        <v>0.65</v>
      </c>
      <c r="H79" s="6">
        <v>22.5</v>
      </c>
      <c r="I79" s="6">
        <v>30.45</v>
      </c>
      <c r="J79" s="6">
        <f t="shared" si="4"/>
        <v>19.842499999999998</v>
      </c>
      <c r="K79" s="15">
        <f t="shared" si="5"/>
        <v>1098.7538327999998</v>
      </c>
      <c r="M79" s="4"/>
    </row>
    <row r="80" spans="1:13" ht="15.75" thickBot="1" x14ac:dyDescent="0.3">
      <c r="A80" s="8" t="s">
        <v>143</v>
      </c>
      <c r="B80" s="6" t="s">
        <v>47</v>
      </c>
      <c r="C80" s="6">
        <v>2.7143999999999999</v>
      </c>
      <c r="D80" s="6">
        <v>8.16</v>
      </c>
      <c r="E80" s="6">
        <v>25</v>
      </c>
      <c r="F80" s="6">
        <v>-0.55000000000000004</v>
      </c>
      <c r="G80" s="6">
        <v>0.65</v>
      </c>
      <c r="H80" s="6">
        <v>22.5</v>
      </c>
      <c r="I80" s="6">
        <v>30.45</v>
      </c>
      <c r="J80" s="6">
        <f t="shared" si="4"/>
        <v>19.842499999999998</v>
      </c>
      <c r="K80" s="15">
        <f t="shared" si="5"/>
        <v>439.50153311999998</v>
      </c>
    </row>
    <row r="81" spans="1:11" ht="15.75" thickBot="1" x14ac:dyDescent="0.3">
      <c r="A81" s="8" t="s">
        <v>144</v>
      </c>
      <c r="B81" s="6" t="s">
        <v>47</v>
      </c>
      <c r="C81" s="6">
        <v>2.7143999999999999</v>
      </c>
      <c r="D81" s="6">
        <v>10.199999999999999</v>
      </c>
      <c r="E81" s="6">
        <v>25</v>
      </c>
      <c r="F81" s="6">
        <v>-0.55000000000000004</v>
      </c>
      <c r="G81" s="6">
        <v>0.65</v>
      </c>
      <c r="H81" s="6">
        <v>22.5</v>
      </c>
      <c r="I81" s="6">
        <v>30.45</v>
      </c>
      <c r="J81" s="6">
        <f t="shared" si="4"/>
        <v>19.842499999999998</v>
      </c>
      <c r="K81" s="15">
        <f t="shared" si="5"/>
        <v>549.37691639999991</v>
      </c>
    </row>
    <row r="82" spans="1:11" ht="15.75" thickBot="1" x14ac:dyDescent="0.3">
      <c r="A82" s="8" t="s">
        <v>70</v>
      </c>
      <c r="B82" s="6" t="s">
        <v>50</v>
      </c>
      <c r="C82" s="6">
        <v>2.7143999999999999</v>
      </c>
      <c r="D82" s="6">
        <v>12.28</v>
      </c>
      <c r="E82" s="6">
        <v>22</v>
      </c>
      <c r="F82" s="6">
        <v>-0.55000000000000004</v>
      </c>
      <c r="G82" s="6">
        <v>0.65</v>
      </c>
      <c r="H82" s="6">
        <v>22.5</v>
      </c>
      <c r="I82" s="6">
        <v>30.45</v>
      </c>
      <c r="J82" s="6">
        <f t="shared" si="4"/>
        <v>17.892500000000002</v>
      </c>
      <c r="K82" s="15">
        <f t="shared" si="5"/>
        <v>596.40769655999998</v>
      </c>
    </row>
    <row r="83" spans="1:11" ht="15.75" thickBot="1" x14ac:dyDescent="0.3">
      <c r="A83" s="8" t="s">
        <v>69</v>
      </c>
      <c r="B83" s="6" t="s">
        <v>47</v>
      </c>
      <c r="C83" s="6">
        <v>2.7143999999999999</v>
      </c>
      <c r="D83" s="6">
        <v>8.8800000000000008</v>
      </c>
      <c r="E83" s="6">
        <v>25</v>
      </c>
      <c r="F83" s="6">
        <v>-0.55000000000000004</v>
      </c>
      <c r="G83" s="6">
        <v>0.65</v>
      </c>
      <c r="H83" s="6">
        <v>22.5</v>
      </c>
      <c r="I83" s="6">
        <v>30.45</v>
      </c>
      <c r="J83" s="6">
        <f t="shared" si="4"/>
        <v>19.842499999999998</v>
      </c>
      <c r="K83" s="15">
        <f t="shared" si="5"/>
        <v>478.28108015999999</v>
      </c>
    </row>
    <row r="84" spans="1:11" ht="15.75" thickBot="1" x14ac:dyDescent="0.3">
      <c r="A84" s="23" t="s">
        <v>89</v>
      </c>
      <c r="B84" s="21" t="s">
        <v>47</v>
      </c>
      <c r="C84" s="21">
        <v>2.7143999999999999</v>
      </c>
      <c r="D84" s="21">
        <v>7.84</v>
      </c>
      <c r="E84" s="21">
        <v>25</v>
      </c>
      <c r="F84" s="21">
        <v>-0.55000000000000004</v>
      </c>
      <c r="G84" s="21">
        <v>0.65</v>
      </c>
      <c r="H84" s="21">
        <v>22.5</v>
      </c>
      <c r="I84" s="21">
        <v>30.45</v>
      </c>
      <c r="J84" s="21">
        <f t="shared" si="4"/>
        <v>19.842499999999998</v>
      </c>
      <c r="K84" s="22">
        <f t="shared" si="5"/>
        <v>422.26617887999993</v>
      </c>
    </row>
    <row r="85" spans="1:11" ht="15.75" thickBot="1" x14ac:dyDescent="0.3">
      <c r="J85" s="44" t="s">
        <v>43</v>
      </c>
      <c r="K85" s="44">
        <f>SUM(Table6[Q(W)])</f>
        <v>31394.094478812</v>
      </c>
    </row>
    <row r="86" spans="1:11" x14ac:dyDescent="0.25">
      <c r="J86" s="1"/>
      <c r="K86" s="1"/>
    </row>
    <row r="87" spans="1:11" ht="23.25" x14ac:dyDescent="0.35">
      <c r="A87" s="93" t="s">
        <v>60</v>
      </c>
      <c r="B87" s="93"/>
      <c r="C87" s="93"/>
      <c r="D87" s="93"/>
      <c r="E87" s="93"/>
      <c r="F87" s="93"/>
      <c r="G87" s="93"/>
      <c r="H87" s="93"/>
      <c r="I87" s="93"/>
      <c r="J87" s="93"/>
      <c r="K87" s="93"/>
    </row>
    <row r="88" spans="1:11" ht="15.75" thickBot="1" x14ac:dyDescent="0.3">
      <c r="A88" s="31" t="s">
        <v>0</v>
      </c>
      <c r="B88" s="30" t="s">
        <v>1</v>
      </c>
      <c r="C88" s="30" t="s">
        <v>2</v>
      </c>
      <c r="D88" s="30" t="s">
        <v>3</v>
      </c>
      <c r="E88" s="30" t="s">
        <v>4</v>
      </c>
      <c r="F88" s="30" t="s">
        <v>5</v>
      </c>
      <c r="G88" s="30" t="s">
        <v>6</v>
      </c>
      <c r="H88" s="30" t="s">
        <v>7</v>
      </c>
      <c r="I88" s="30" t="s">
        <v>8</v>
      </c>
      <c r="J88" s="30" t="s">
        <v>9</v>
      </c>
      <c r="K88" s="32" t="s">
        <v>10</v>
      </c>
    </row>
    <row r="89" spans="1:11" ht="15.75" thickBot="1" x14ac:dyDescent="0.3">
      <c r="A89" s="8" t="s">
        <v>84</v>
      </c>
      <c r="B89" s="6" t="s">
        <v>47</v>
      </c>
      <c r="C89" s="26">
        <v>2.7143999999999999</v>
      </c>
      <c r="D89" s="6">
        <f>(References!C41*4)-(References!B41*1)-(References!A41*2)</f>
        <v>26</v>
      </c>
      <c r="E89" s="6">
        <f>_xlfn.IFS(B89="E",25,B89="N",13,B89="W",33,B89="S",22)</f>
        <v>25</v>
      </c>
      <c r="F89" s="6">
        <f>_xlfn.IFS(B89="E",-0.55,B89="N",2.22,B89="W",-0.55,B89="S",-3.88)</f>
        <v>-0.55000000000000004</v>
      </c>
      <c r="G89" s="6">
        <v>0.65</v>
      </c>
      <c r="H89" s="6">
        <v>22.5</v>
      </c>
      <c r="I89" s="29">
        <f>(References!T$4)-(References!T$3/2)</f>
        <v>30.45</v>
      </c>
      <c r="J89" s="6">
        <f t="shared" ref="J89:J130" si="6">(E89+F89)*G89+(25-H89)+(I89-29)</f>
        <v>19.842499999999998</v>
      </c>
      <c r="K89" s="15">
        <f t="shared" ref="K89:K130" si="7">C89*D89*E89</f>
        <v>1764.36</v>
      </c>
    </row>
    <row r="90" spans="1:11" ht="15.75" thickBot="1" x14ac:dyDescent="0.3">
      <c r="A90" s="8" t="s">
        <v>85</v>
      </c>
      <c r="B90" s="6" t="s">
        <v>48</v>
      </c>
      <c r="C90" s="26">
        <v>2.7143999999999999</v>
      </c>
      <c r="D90" s="6">
        <f>(References!C42*4)-(References!B42*1)-(References!A42*2)</f>
        <v>19.399999999999999</v>
      </c>
      <c r="E90" s="6">
        <f t="shared" ref="E90:E130" si="8">_xlfn.IFS(B90="E",25,B90="N",13,B90="W",33,B90="S",22)</f>
        <v>13</v>
      </c>
      <c r="F90" s="6">
        <f t="shared" ref="F90:F130" si="9">_xlfn.IFS(B90="E",-0.55,B90="N",2.22,B90="W",-0.55,B90="S",-3.88)</f>
        <v>2.2200000000000002</v>
      </c>
      <c r="G90" s="6">
        <v>0.65</v>
      </c>
      <c r="H90" s="6">
        <v>22.5</v>
      </c>
      <c r="I90" s="29">
        <f>(References!T$4)-(References!T$3/2)</f>
        <v>30.45</v>
      </c>
      <c r="J90" s="6">
        <f t="shared" si="6"/>
        <v>13.843</v>
      </c>
      <c r="K90" s="15">
        <f t="shared" si="7"/>
        <v>684.5716799999999</v>
      </c>
    </row>
    <row r="91" spans="1:11" ht="15.75" thickBot="1" x14ac:dyDescent="0.3">
      <c r="A91" s="8" t="s">
        <v>61</v>
      </c>
      <c r="B91" s="6" t="s">
        <v>48</v>
      </c>
      <c r="C91" s="26">
        <v>2.7143999999999999</v>
      </c>
      <c r="D91" s="6">
        <f>(References!C43*4)-(References!B43*1)-(References!A43*2)</f>
        <v>19.399999999999999</v>
      </c>
      <c r="E91" s="6">
        <f t="shared" si="8"/>
        <v>13</v>
      </c>
      <c r="F91" s="6">
        <f t="shared" si="9"/>
        <v>2.2200000000000002</v>
      </c>
      <c r="G91" s="6">
        <v>0.65</v>
      </c>
      <c r="H91" s="6">
        <v>22.5</v>
      </c>
      <c r="I91" s="29">
        <f>(References!T$4)-(References!T$3/2)</f>
        <v>30.45</v>
      </c>
      <c r="J91" s="6">
        <f t="shared" si="6"/>
        <v>13.843</v>
      </c>
      <c r="K91" s="15">
        <f t="shared" si="7"/>
        <v>684.5716799999999</v>
      </c>
    </row>
    <row r="92" spans="1:11" ht="15.75" thickBot="1" x14ac:dyDescent="0.3">
      <c r="A92" s="8" t="s">
        <v>62</v>
      </c>
      <c r="B92" s="6" t="s">
        <v>47</v>
      </c>
      <c r="C92" s="26">
        <v>2.7143999999999999</v>
      </c>
      <c r="D92" s="6">
        <f>(References!C44*4)-(References!B44*1)-(References!A44*2)</f>
        <v>40.92</v>
      </c>
      <c r="E92" s="6">
        <f t="shared" si="8"/>
        <v>25</v>
      </c>
      <c r="F92" s="6">
        <f t="shared" si="9"/>
        <v>-0.55000000000000004</v>
      </c>
      <c r="G92" s="6">
        <v>0.65</v>
      </c>
      <c r="H92" s="6">
        <v>22.5</v>
      </c>
      <c r="I92" s="29">
        <f>(References!T$4)-(References!T$3/2)</f>
        <v>30.45</v>
      </c>
      <c r="J92" s="6">
        <f t="shared" si="6"/>
        <v>19.842499999999998</v>
      </c>
      <c r="K92" s="15">
        <f t="shared" si="7"/>
        <v>2776.8312000000001</v>
      </c>
    </row>
    <row r="93" spans="1:11" ht="15.75" thickBot="1" x14ac:dyDescent="0.3">
      <c r="A93" s="8" t="s">
        <v>63</v>
      </c>
      <c r="B93" s="6" t="s">
        <v>48</v>
      </c>
      <c r="C93" s="26">
        <v>2.7143999999999999</v>
      </c>
      <c r="D93" s="6">
        <f>(References!C45*4)-(References!B45*1)-(References!A45*2)</f>
        <v>68</v>
      </c>
      <c r="E93" s="6">
        <f t="shared" si="8"/>
        <v>13</v>
      </c>
      <c r="F93" s="6">
        <f t="shared" si="9"/>
        <v>2.2200000000000002</v>
      </c>
      <c r="G93" s="6">
        <v>0.65</v>
      </c>
      <c r="H93" s="6">
        <v>22.5</v>
      </c>
      <c r="I93" s="29">
        <f>(References!T$4)-(References!T$3/2)</f>
        <v>30.45</v>
      </c>
      <c r="J93" s="6">
        <f t="shared" si="6"/>
        <v>13.843</v>
      </c>
      <c r="K93" s="15">
        <f t="shared" si="7"/>
        <v>2399.5295999999998</v>
      </c>
    </row>
    <row r="94" spans="1:11" ht="15.75" thickBot="1" x14ac:dyDescent="0.3">
      <c r="A94" s="8" t="s">
        <v>64</v>
      </c>
      <c r="B94" s="6" t="s">
        <v>49</v>
      </c>
      <c r="C94" s="26">
        <v>2.7143999999999999</v>
      </c>
      <c r="D94" s="6">
        <f>(References!C46*4)-(References!B46*1)-(References!A46*2)</f>
        <v>40.92</v>
      </c>
      <c r="E94" s="6">
        <f t="shared" si="8"/>
        <v>33</v>
      </c>
      <c r="F94" s="6">
        <f t="shared" si="9"/>
        <v>-0.55000000000000004</v>
      </c>
      <c r="G94" s="6">
        <v>0.65</v>
      </c>
      <c r="H94" s="6">
        <v>22.5</v>
      </c>
      <c r="I94" s="29">
        <f>(References!T$4)-(References!T$3/2)</f>
        <v>30.45</v>
      </c>
      <c r="J94" s="6">
        <f t="shared" si="6"/>
        <v>25.0425</v>
      </c>
      <c r="K94" s="15">
        <f t="shared" si="7"/>
        <v>3665.4171840000004</v>
      </c>
    </row>
    <row r="95" spans="1:11" ht="15.75" thickBot="1" x14ac:dyDescent="0.3">
      <c r="A95" s="8" t="s">
        <v>61</v>
      </c>
      <c r="B95" s="6" t="s">
        <v>48</v>
      </c>
      <c r="C95" s="26">
        <v>2.7143999999999999</v>
      </c>
      <c r="D95" s="6">
        <f>(References!C47*4)-(References!B47*1)-(References!A47*2)</f>
        <v>19.399999999999999</v>
      </c>
      <c r="E95" s="6">
        <f t="shared" si="8"/>
        <v>13</v>
      </c>
      <c r="F95" s="6">
        <f t="shared" si="9"/>
        <v>2.2200000000000002</v>
      </c>
      <c r="G95" s="6">
        <v>0.65</v>
      </c>
      <c r="H95" s="6">
        <v>22.5</v>
      </c>
      <c r="I95" s="29">
        <f>(References!T$4)-(References!T$3/2)</f>
        <v>30.45</v>
      </c>
      <c r="J95" s="6">
        <f t="shared" si="6"/>
        <v>13.843</v>
      </c>
      <c r="K95" s="15">
        <f t="shared" si="7"/>
        <v>684.5716799999999</v>
      </c>
    </row>
    <row r="96" spans="1:11" ht="15.75" thickBot="1" x14ac:dyDescent="0.3">
      <c r="A96" s="8" t="s">
        <v>85</v>
      </c>
      <c r="B96" s="6" t="s">
        <v>48</v>
      </c>
      <c r="C96" s="26">
        <v>2.7143999999999999</v>
      </c>
      <c r="D96" s="6">
        <f>(References!C48*4)-(References!B48*1)-(References!A48*2)</f>
        <v>19.399999999999999</v>
      </c>
      <c r="E96" s="6">
        <f t="shared" si="8"/>
        <v>13</v>
      </c>
      <c r="F96" s="6">
        <f t="shared" si="9"/>
        <v>2.2200000000000002</v>
      </c>
      <c r="G96" s="6">
        <v>0.65</v>
      </c>
      <c r="H96" s="6">
        <v>22.5</v>
      </c>
      <c r="I96" s="29">
        <f>(References!T$4)-(References!T$3/2)</f>
        <v>30.45</v>
      </c>
      <c r="J96" s="6">
        <f t="shared" si="6"/>
        <v>13.843</v>
      </c>
      <c r="K96" s="15">
        <f t="shared" si="7"/>
        <v>684.5716799999999</v>
      </c>
    </row>
    <row r="97" spans="1:11" ht="15.75" thickBot="1" x14ac:dyDescent="0.3">
      <c r="A97" s="8" t="s">
        <v>86</v>
      </c>
      <c r="B97" s="6" t="s">
        <v>49</v>
      </c>
      <c r="C97" s="26">
        <v>2.7143999999999999</v>
      </c>
      <c r="D97" s="6">
        <f>(References!C49*4)-(References!B49*1)-(References!A49*2)</f>
        <v>26</v>
      </c>
      <c r="E97" s="6">
        <f t="shared" si="8"/>
        <v>33</v>
      </c>
      <c r="F97" s="6">
        <f t="shared" si="9"/>
        <v>-0.55000000000000004</v>
      </c>
      <c r="G97" s="6">
        <v>0.65</v>
      </c>
      <c r="H97" s="6">
        <v>22.5</v>
      </c>
      <c r="I97" s="29">
        <f>(References!T$4)-(References!T$3/2)</f>
        <v>30.45</v>
      </c>
      <c r="J97" s="6">
        <f t="shared" si="6"/>
        <v>25.0425</v>
      </c>
      <c r="K97" s="15">
        <f t="shared" si="7"/>
        <v>2328.9551999999999</v>
      </c>
    </row>
    <row r="98" spans="1:11" ht="15.75" thickBot="1" x14ac:dyDescent="0.3">
      <c r="A98" s="8" t="s">
        <v>65</v>
      </c>
      <c r="B98" s="6" t="s">
        <v>49</v>
      </c>
      <c r="C98" s="26">
        <v>2.7143999999999999</v>
      </c>
      <c r="D98" s="6">
        <f>(References!C50*4)-(References!B50*1)-(References!A50*2)</f>
        <v>9.6999999999999993</v>
      </c>
      <c r="E98" s="6">
        <f t="shared" si="8"/>
        <v>33</v>
      </c>
      <c r="F98" s="6">
        <f t="shared" si="9"/>
        <v>-0.55000000000000004</v>
      </c>
      <c r="G98" s="6">
        <v>0.65</v>
      </c>
      <c r="H98" s="6">
        <v>22.5</v>
      </c>
      <c r="I98" s="29">
        <f>(References!T$4)-(References!T$3/2)</f>
        <v>30.45</v>
      </c>
      <c r="J98" s="6">
        <f t="shared" si="6"/>
        <v>25.0425</v>
      </c>
      <c r="K98" s="15">
        <f t="shared" si="7"/>
        <v>868.87943999999993</v>
      </c>
    </row>
    <row r="99" spans="1:11" ht="15.75" thickBot="1" x14ac:dyDescent="0.3">
      <c r="A99" s="8" t="s">
        <v>68</v>
      </c>
      <c r="B99" s="6" t="s">
        <v>49</v>
      </c>
      <c r="C99" s="26">
        <v>2.7143999999999999</v>
      </c>
      <c r="D99" s="6">
        <f>(References!C51*4)-(References!B51*1)-(References!A51*2)</f>
        <v>13.4</v>
      </c>
      <c r="E99" s="6">
        <f t="shared" si="8"/>
        <v>33</v>
      </c>
      <c r="F99" s="6">
        <f t="shared" si="9"/>
        <v>-0.55000000000000004</v>
      </c>
      <c r="G99" s="6">
        <v>0.65</v>
      </c>
      <c r="H99" s="6">
        <v>22.5</v>
      </c>
      <c r="I99" s="29">
        <f>(References!T$4)-(References!T$3/2)</f>
        <v>30.45</v>
      </c>
      <c r="J99" s="6">
        <f t="shared" si="6"/>
        <v>25.0425</v>
      </c>
      <c r="K99" s="15">
        <f t="shared" si="7"/>
        <v>1200.3076799999999</v>
      </c>
    </row>
    <row r="100" spans="1:11" ht="15.75" thickBot="1" x14ac:dyDescent="0.3">
      <c r="A100" s="8" t="s">
        <v>89</v>
      </c>
      <c r="B100" s="6" t="s">
        <v>49</v>
      </c>
      <c r="C100" s="26">
        <v>2.7143999999999999</v>
      </c>
      <c r="D100" s="6">
        <f>(References!C52*4)-(References!B52*0.6)-(References!A52*2)</f>
        <v>8.56</v>
      </c>
      <c r="E100" s="6">
        <f t="shared" si="8"/>
        <v>33</v>
      </c>
      <c r="F100" s="6">
        <f t="shared" si="9"/>
        <v>-0.55000000000000004</v>
      </c>
      <c r="G100" s="6">
        <v>0.65</v>
      </c>
      <c r="H100" s="6">
        <v>22.5</v>
      </c>
      <c r="I100" s="29">
        <f>(References!T$4)-(References!T$3/2)</f>
        <v>30.45</v>
      </c>
      <c r="J100" s="6">
        <f t="shared" si="6"/>
        <v>25.0425</v>
      </c>
      <c r="K100" s="15">
        <f t="shared" si="7"/>
        <v>766.76371200000006</v>
      </c>
    </row>
    <row r="101" spans="1:11" ht="15.75" thickBot="1" x14ac:dyDescent="0.3">
      <c r="A101" s="8" t="s">
        <v>70</v>
      </c>
      <c r="B101" s="6" t="s">
        <v>50</v>
      </c>
      <c r="C101" s="26">
        <v>2.7143999999999999</v>
      </c>
      <c r="D101" s="6">
        <f>(References!C53*4)-(References!B53*1)-(References!A53*2)</f>
        <v>12</v>
      </c>
      <c r="E101" s="6">
        <f t="shared" si="8"/>
        <v>22</v>
      </c>
      <c r="F101" s="6">
        <f t="shared" si="9"/>
        <v>-3.88</v>
      </c>
      <c r="G101" s="6">
        <v>0.65</v>
      </c>
      <c r="H101" s="6">
        <v>22.5</v>
      </c>
      <c r="I101" s="29">
        <f>(References!T$4)-(References!T$3/2)</f>
        <v>30.45</v>
      </c>
      <c r="J101" s="6">
        <f t="shared" si="6"/>
        <v>15.728</v>
      </c>
      <c r="K101" s="15">
        <f t="shared" si="7"/>
        <v>716.60159999999996</v>
      </c>
    </row>
    <row r="102" spans="1:11" ht="15.75" thickBot="1" x14ac:dyDescent="0.3">
      <c r="A102" s="8" t="s">
        <v>71</v>
      </c>
      <c r="B102" s="6" t="s">
        <v>49</v>
      </c>
      <c r="C102" s="26">
        <v>2.7143999999999999</v>
      </c>
      <c r="D102" s="6">
        <f>(References!C54*4)-(References!B54*1)-(References!A54*2)</f>
        <v>10.6</v>
      </c>
      <c r="E102" s="6">
        <f t="shared" si="8"/>
        <v>33</v>
      </c>
      <c r="F102" s="6">
        <f t="shared" si="9"/>
        <v>-0.55000000000000004</v>
      </c>
      <c r="G102" s="6">
        <v>0.65</v>
      </c>
      <c r="H102" s="6">
        <v>22.5</v>
      </c>
      <c r="I102" s="29">
        <f>(References!T$4)-(References!T$3/2)</f>
        <v>30.45</v>
      </c>
      <c r="J102" s="6">
        <f t="shared" si="6"/>
        <v>25.0425</v>
      </c>
      <c r="K102" s="15">
        <f t="shared" si="7"/>
        <v>949.49712</v>
      </c>
    </row>
    <row r="103" spans="1:11" ht="15.75" thickBot="1" x14ac:dyDescent="0.3">
      <c r="A103" s="8" t="s">
        <v>71</v>
      </c>
      <c r="B103" s="6" t="s">
        <v>49</v>
      </c>
      <c r="C103" s="26">
        <v>2.7143999999999999</v>
      </c>
      <c r="D103" s="6">
        <f>(References!C55*4)-(References!B55*1)-(References!A55*2)</f>
        <v>10.6</v>
      </c>
      <c r="E103" s="6">
        <f t="shared" si="8"/>
        <v>33</v>
      </c>
      <c r="F103" s="6">
        <f t="shared" si="9"/>
        <v>-0.55000000000000004</v>
      </c>
      <c r="G103" s="6">
        <v>0.65</v>
      </c>
      <c r="H103" s="6">
        <v>22.5</v>
      </c>
      <c r="I103" s="29">
        <f>(References!T$4)-(References!T$3/2)</f>
        <v>30.45</v>
      </c>
      <c r="J103" s="6">
        <f t="shared" si="6"/>
        <v>25.0425</v>
      </c>
      <c r="K103" s="15">
        <f t="shared" si="7"/>
        <v>949.49712</v>
      </c>
    </row>
    <row r="104" spans="1:11" ht="15.75" thickBot="1" x14ac:dyDescent="0.3">
      <c r="A104" s="8" t="s">
        <v>71</v>
      </c>
      <c r="B104" s="6" t="s">
        <v>49</v>
      </c>
      <c r="C104" s="26">
        <v>2.7143999999999999</v>
      </c>
      <c r="D104" s="6">
        <f>(References!C56*4)-(References!B56*1)-(References!A56*2)</f>
        <v>10.6</v>
      </c>
      <c r="E104" s="6">
        <f t="shared" si="8"/>
        <v>33</v>
      </c>
      <c r="F104" s="6">
        <f t="shared" si="9"/>
        <v>-0.55000000000000004</v>
      </c>
      <c r="G104" s="6">
        <v>0.65</v>
      </c>
      <c r="H104" s="6">
        <v>22.5</v>
      </c>
      <c r="I104" s="29">
        <f>(References!T$4)-(References!T$3/2)</f>
        <v>30.45</v>
      </c>
      <c r="J104" s="6">
        <f t="shared" si="6"/>
        <v>25.0425</v>
      </c>
      <c r="K104" s="15">
        <f t="shared" si="7"/>
        <v>949.49712</v>
      </c>
    </row>
    <row r="105" spans="1:11" ht="15.75" thickBot="1" x14ac:dyDescent="0.3">
      <c r="A105" s="8" t="s">
        <v>71</v>
      </c>
      <c r="B105" s="6" t="s">
        <v>49</v>
      </c>
      <c r="C105" s="26">
        <v>2.7143999999999999</v>
      </c>
      <c r="D105" s="6">
        <f>(References!C57*4)-(References!B57*1)-(References!A57*2)</f>
        <v>10.6</v>
      </c>
      <c r="E105" s="6">
        <f t="shared" si="8"/>
        <v>33</v>
      </c>
      <c r="F105" s="6">
        <f t="shared" si="9"/>
        <v>-0.55000000000000004</v>
      </c>
      <c r="G105" s="6">
        <v>0.65</v>
      </c>
      <c r="H105" s="6">
        <v>22.5</v>
      </c>
      <c r="I105" s="29">
        <f>(References!T$4)-(References!T$3/2)</f>
        <v>30.45</v>
      </c>
      <c r="J105" s="6">
        <f t="shared" si="6"/>
        <v>25.0425</v>
      </c>
      <c r="K105" s="15">
        <f t="shared" si="7"/>
        <v>949.49712</v>
      </c>
    </row>
    <row r="106" spans="1:11" ht="15.75" thickBot="1" x14ac:dyDescent="0.3">
      <c r="A106" s="8" t="s">
        <v>72</v>
      </c>
      <c r="B106" s="6" t="s">
        <v>49</v>
      </c>
      <c r="C106" s="26">
        <v>2.7143999999999999</v>
      </c>
      <c r="D106" s="6">
        <f>(References!C58*4)-(References!B58*1)-(References!A58*2)</f>
        <v>11.65</v>
      </c>
      <c r="E106" s="6">
        <f t="shared" si="8"/>
        <v>33</v>
      </c>
      <c r="F106" s="6">
        <f t="shared" si="9"/>
        <v>-0.55000000000000004</v>
      </c>
      <c r="G106" s="6">
        <v>0.65</v>
      </c>
      <c r="H106" s="6">
        <v>22.5</v>
      </c>
      <c r="I106" s="29">
        <f>(References!T$4)-(References!T$3/2)</f>
        <v>30.45</v>
      </c>
      <c r="J106" s="6">
        <f t="shared" si="6"/>
        <v>25.0425</v>
      </c>
      <c r="K106" s="15">
        <f t="shared" si="7"/>
        <v>1043.55108</v>
      </c>
    </row>
    <row r="107" spans="1:11" ht="15.75" thickBot="1" x14ac:dyDescent="0.3">
      <c r="A107" s="8" t="s">
        <v>74</v>
      </c>
      <c r="B107" s="6" t="s">
        <v>48</v>
      </c>
      <c r="C107" s="26">
        <v>2.7143999999999999</v>
      </c>
      <c r="D107" s="6">
        <f>(References!C59*4)-(References!B59*1)-(References!A59*2)</f>
        <v>12</v>
      </c>
      <c r="E107" s="6">
        <f t="shared" si="8"/>
        <v>13</v>
      </c>
      <c r="F107" s="6">
        <f t="shared" si="9"/>
        <v>2.2200000000000002</v>
      </c>
      <c r="G107" s="6">
        <v>0.65</v>
      </c>
      <c r="H107" s="6">
        <v>22.5</v>
      </c>
      <c r="I107" s="29">
        <f>(References!T$4)-(References!T$3/2)</f>
        <v>30.45</v>
      </c>
      <c r="J107" s="6">
        <f t="shared" si="6"/>
        <v>13.843</v>
      </c>
      <c r="K107" s="15">
        <f t="shared" si="7"/>
        <v>423.44640000000004</v>
      </c>
    </row>
    <row r="108" spans="1:11" ht="15.75" thickBot="1" x14ac:dyDescent="0.3">
      <c r="A108" s="8" t="s">
        <v>75</v>
      </c>
      <c r="B108" s="6" t="s">
        <v>49</v>
      </c>
      <c r="C108" s="26">
        <v>2.7143999999999999</v>
      </c>
      <c r="D108" s="6">
        <f>(References!C60*4)-(References!B60*1)-(References!A60*2)</f>
        <v>13.2</v>
      </c>
      <c r="E108" s="6">
        <f t="shared" si="8"/>
        <v>33</v>
      </c>
      <c r="F108" s="6">
        <f t="shared" si="9"/>
        <v>-0.55000000000000004</v>
      </c>
      <c r="G108" s="6">
        <v>0.65</v>
      </c>
      <c r="H108" s="6">
        <v>22.5</v>
      </c>
      <c r="I108" s="29">
        <f>(References!T$4)-(References!T$3/2)</f>
        <v>30.45</v>
      </c>
      <c r="J108" s="6">
        <f t="shared" si="6"/>
        <v>25.0425</v>
      </c>
      <c r="K108" s="15">
        <f t="shared" si="7"/>
        <v>1182.3926399999998</v>
      </c>
    </row>
    <row r="109" spans="1:11" ht="15.75" thickBot="1" x14ac:dyDescent="0.3">
      <c r="A109" s="8" t="s">
        <v>76</v>
      </c>
      <c r="B109" s="6" t="s">
        <v>49</v>
      </c>
      <c r="C109" s="26">
        <v>2.7143999999999999</v>
      </c>
      <c r="D109" s="6">
        <f>(References!C61*4)-(References!B61*1)-(References!A61*2)</f>
        <v>13.2</v>
      </c>
      <c r="E109" s="6">
        <f t="shared" si="8"/>
        <v>33</v>
      </c>
      <c r="F109" s="6">
        <f t="shared" si="9"/>
        <v>-0.55000000000000004</v>
      </c>
      <c r="G109" s="6">
        <v>0.65</v>
      </c>
      <c r="H109" s="6">
        <v>22.5</v>
      </c>
      <c r="I109" s="29">
        <f>(References!T$4)-(References!T$3/2)</f>
        <v>30.45</v>
      </c>
      <c r="J109" s="6">
        <f t="shared" si="6"/>
        <v>25.0425</v>
      </c>
      <c r="K109" s="15">
        <f t="shared" si="7"/>
        <v>1182.3926399999998</v>
      </c>
    </row>
    <row r="110" spans="1:11" ht="15.75" thickBot="1" x14ac:dyDescent="0.3">
      <c r="A110" s="8" t="s">
        <v>77</v>
      </c>
      <c r="B110" s="6" t="s">
        <v>49</v>
      </c>
      <c r="C110" s="26">
        <v>2.7143999999999999</v>
      </c>
      <c r="D110" s="6">
        <f>(References!C62*4)-(References!B62*1)-(References!A62*2)</f>
        <v>10.4</v>
      </c>
      <c r="E110" s="6">
        <f t="shared" si="8"/>
        <v>33</v>
      </c>
      <c r="F110" s="6">
        <f t="shared" si="9"/>
        <v>-0.55000000000000004</v>
      </c>
      <c r="G110" s="6">
        <v>0.65</v>
      </c>
      <c r="H110" s="6">
        <v>22.5</v>
      </c>
      <c r="I110" s="29">
        <f>(References!T$4)-(References!T$3/2)</f>
        <v>30.45</v>
      </c>
      <c r="J110" s="6">
        <f t="shared" si="6"/>
        <v>25.0425</v>
      </c>
      <c r="K110" s="15">
        <f t="shared" si="7"/>
        <v>931.58207999999991</v>
      </c>
    </row>
    <row r="111" spans="1:11" ht="15.75" thickBot="1" x14ac:dyDescent="0.3">
      <c r="A111" s="8" t="s">
        <v>78</v>
      </c>
      <c r="B111" s="6" t="s">
        <v>49</v>
      </c>
      <c r="C111" s="26">
        <v>2.7143999999999999</v>
      </c>
      <c r="D111" s="6">
        <f>(References!C63*4)-(References!B63*1)-(References!A63*2)</f>
        <v>7.6899999999999995</v>
      </c>
      <c r="E111" s="6">
        <f t="shared" si="8"/>
        <v>33</v>
      </c>
      <c r="F111" s="6">
        <f t="shared" si="9"/>
        <v>-0.55000000000000004</v>
      </c>
      <c r="G111" s="6">
        <v>0.65</v>
      </c>
      <c r="H111" s="6">
        <v>22.5</v>
      </c>
      <c r="I111" s="29">
        <f>(References!T$4)-(References!T$3/2)</f>
        <v>30.45</v>
      </c>
      <c r="J111" s="6">
        <f t="shared" si="6"/>
        <v>25.0425</v>
      </c>
      <c r="K111" s="15">
        <f t="shared" si="7"/>
        <v>688.83328799999992</v>
      </c>
    </row>
    <row r="112" spans="1:11" ht="15.75" thickBot="1" x14ac:dyDescent="0.3">
      <c r="A112" s="8" t="s">
        <v>92</v>
      </c>
      <c r="B112" s="6" t="s">
        <v>49</v>
      </c>
      <c r="C112" s="26">
        <v>2.7143999999999999</v>
      </c>
      <c r="D112" s="6">
        <f>(References!C64*4)-(References!B64*0.6)-(References!A64*2)</f>
        <v>7.1599999999999993</v>
      </c>
      <c r="E112" s="6">
        <f t="shared" si="8"/>
        <v>33</v>
      </c>
      <c r="F112" s="6">
        <f t="shared" si="9"/>
        <v>-0.55000000000000004</v>
      </c>
      <c r="G112" s="6">
        <v>0.65</v>
      </c>
      <c r="H112" s="6">
        <v>22.5</v>
      </c>
      <c r="I112" s="29">
        <f>(References!T$4)-(References!T$3/2)</f>
        <v>30.45</v>
      </c>
      <c r="J112" s="6">
        <f t="shared" si="6"/>
        <v>25.0425</v>
      </c>
      <c r="K112" s="15">
        <f t="shared" si="7"/>
        <v>641.35843199999999</v>
      </c>
    </row>
    <row r="113" spans="1:11" ht="15.75" thickBot="1" x14ac:dyDescent="0.3">
      <c r="A113" s="8" t="s">
        <v>93</v>
      </c>
      <c r="B113" s="6" t="s">
        <v>50</v>
      </c>
      <c r="C113" s="26">
        <v>2.7143999999999999</v>
      </c>
      <c r="D113" s="6">
        <f>(References!C65*4)-(References!B65*0.6)-(References!A65*2)</f>
        <v>5.64</v>
      </c>
      <c r="E113" s="6">
        <f t="shared" si="8"/>
        <v>22</v>
      </c>
      <c r="F113" s="6">
        <f t="shared" si="9"/>
        <v>-3.88</v>
      </c>
      <c r="G113" s="6">
        <v>0.65</v>
      </c>
      <c r="H113" s="6">
        <v>22.5</v>
      </c>
      <c r="I113" s="29">
        <f>(References!T$4)-(References!T$3/2)</f>
        <v>30.45</v>
      </c>
      <c r="J113" s="6">
        <f t="shared" si="6"/>
        <v>15.728</v>
      </c>
      <c r="K113" s="15">
        <f t="shared" si="7"/>
        <v>336.802752</v>
      </c>
    </row>
    <row r="114" spans="1:11" ht="15.75" thickBot="1" x14ac:dyDescent="0.3">
      <c r="A114" s="8" t="s">
        <v>79</v>
      </c>
      <c r="B114" s="6" t="s">
        <v>50</v>
      </c>
      <c r="C114" s="26">
        <v>2.7143999999999999</v>
      </c>
      <c r="D114" s="6">
        <f>(References!C66*4)-(References!B66*1)-(References!A66*2)</f>
        <v>20.400000000000002</v>
      </c>
      <c r="E114" s="6">
        <f t="shared" si="8"/>
        <v>22</v>
      </c>
      <c r="F114" s="6">
        <f t="shared" si="9"/>
        <v>-3.88</v>
      </c>
      <c r="G114" s="6">
        <v>0.65</v>
      </c>
      <c r="H114" s="6">
        <v>22.5</v>
      </c>
      <c r="I114" s="29">
        <f>(References!T$4)-(References!T$3/2)</f>
        <v>30.45</v>
      </c>
      <c r="J114" s="6">
        <f t="shared" si="6"/>
        <v>15.728</v>
      </c>
      <c r="K114" s="15">
        <f t="shared" si="7"/>
        <v>1218.2227200000002</v>
      </c>
    </row>
    <row r="115" spans="1:11" ht="15.75" thickBot="1" x14ac:dyDescent="0.3">
      <c r="A115" s="8" t="s">
        <v>80</v>
      </c>
      <c r="B115" s="6" t="s">
        <v>50</v>
      </c>
      <c r="C115" s="26">
        <v>2.7143999999999999</v>
      </c>
      <c r="D115" s="6">
        <f>(References!C67*4)-(References!B67*1)-(References!A67*2)</f>
        <v>19.2</v>
      </c>
      <c r="E115" s="6">
        <f t="shared" si="8"/>
        <v>22</v>
      </c>
      <c r="F115" s="6">
        <f t="shared" si="9"/>
        <v>-3.88</v>
      </c>
      <c r="G115" s="6">
        <v>0.65</v>
      </c>
      <c r="H115" s="6">
        <v>22.5</v>
      </c>
      <c r="I115" s="29">
        <f>(References!T$4)-(References!T$3/2)</f>
        <v>30.45</v>
      </c>
      <c r="J115" s="6">
        <f t="shared" si="6"/>
        <v>15.728</v>
      </c>
      <c r="K115" s="15">
        <f t="shared" si="7"/>
        <v>1146.5625599999998</v>
      </c>
    </row>
    <row r="116" spans="1:11" ht="15.75" thickBot="1" x14ac:dyDescent="0.3">
      <c r="A116" s="8" t="s">
        <v>58</v>
      </c>
      <c r="B116" s="6" t="s">
        <v>50</v>
      </c>
      <c r="C116" s="26">
        <v>2.7143999999999999</v>
      </c>
      <c r="D116" s="6">
        <f>(References!C68*4)-(References!B68*0.6)-(References!A68*2)</f>
        <v>11.28</v>
      </c>
      <c r="E116" s="6">
        <f t="shared" si="8"/>
        <v>22</v>
      </c>
      <c r="F116" s="6">
        <f t="shared" si="9"/>
        <v>-3.88</v>
      </c>
      <c r="G116" s="6">
        <v>0.65</v>
      </c>
      <c r="H116" s="6">
        <v>24</v>
      </c>
      <c r="I116" s="29">
        <f>(References!T$4)-(References!T$3/2)</f>
        <v>30.45</v>
      </c>
      <c r="J116" s="6">
        <f t="shared" si="6"/>
        <v>14.228</v>
      </c>
      <c r="K116" s="15">
        <f t="shared" si="7"/>
        <v>673.605504</v>
      </c>
    </row>
    <row r="117" spans="1:11" ht="15.75" thickBot="1" x14ac:dyDescent="0.3">
      <c r="A117" s="8" t="s">
        <v>59</v>
      </c>
      <c r="B117" s="6" t="s">
        <v>50</v>
      </c>
      <c r="C117" s="26">
        <v>2.7143999999999999</v>
      </c>
      <c r="D117" s="6">
        <f>(References!C69*4)-(References!B69*0.6)-(References!A69*2)</f>
        <v>11.28</v>
      </c>
      <c r="E117" s="6">
        <f t="shared" si="8"/>
        <v>22</v>
      </c>
      <c r="F117" s="6">
        <f t="shared" si="9"/>
        <v>-3.88</v>
      </c>
      <c r="G117" s="6">
        <v>0.65</v>
      </c>
      <c r="H117" s="6">
        <v>24</v>
      </c>
      <c r="I117" s="29">
        <f>(References!T$4)-(References!T$3/2)</f>
        <v>30.45</v>
      </c>
      <c r="J117" s="6">
        <f t="shared" si="6"/>
        <v>14.228</v>
      </c>
      <c r="K117" s="15">
        <f t="shared" si="7"/>
        <v>673.605504</v>
      </c>
    </row>
    <row r="118" spans="1:11" ht="15.75" thickBot="1" x14ac:dyDescent="0.3">
      <c r="A118" s="8" t="s">
        <v>91</v>
      </c>
      <c r="B118" s="6" t="s">
        <v>50</v>
      </c>
      <c r="C118" s="26">
        <v>2.7143999999999999</v>
      </c>
      <c r="D118" s="6">
        <f>(References!C70*4)-(References!B70*1)-(References!A70*2)</f>
        <v>24</v>
      </c>
      <c r="E118" s="6">
        <f t="shared" si="8"/>
        <v>22</v>
      </c>
      <c r="F118" s="6">
        <f t="shared" si="9"/>
        <v>-3.88</v>
      </c>
      <c r="G118" s="6">
        <v>0.65</v>
      </c>
      <c r="H118" s="6">
        <v>22.5</v>
      </c>
      <c r="I118" s="29">
        <f>(References!T$4)-(References!T$3/2)</f>
        <v>30.45</v>
      </c>
      <c r="J118" s="6">
        <f t="shared" si="6"/>
        <v>15.728</v>
      </c>
      <c r="K118" s="15">
        <f t="shared" si="7"/>
        <v>1433.2031999999999</v>
      </c>
    </row>
    <row r="119" spans="1:11" ht="15.75" thickBot="1" x14ac:dyDescent="0.3">
      <c r="A119" s="8" t="s">
        <v>81</v>
      </c>
      <c r="B119" s="6" t="s">
        <v>50</v>
      </c>
      <c r="C119" s="26">
        <v>2.7143999999999999</v>
      </c>
      <c r="D119" s="6">
        <f>(References!C71*4)-(References!B71*1)-(References!A71*2)</f>
        <v>48</v>
      </c>
      <c r="E119" s="6">
        <f t="shared" si="8"/>
        <v>22</v>
      </c>
      <c r="F119" s="6">
        <f t="shared" si="9"/>
        <v>-3.88</v>
      </c>
      <c r="G119" s="6">
        <v>0.65</v>
      </c>
      <c r="H119" s="6">
        <v>24</v>
      </c>
      <c r="I119" s="29">
        <f>(References!T$4)-(References!T$3/2)</f>
        <v>30.45</v>
      </c>
      <c r="J119" s="6">
        <f t="shared" si="6"/>
        <v>14.228</v>
      </c>
      <c r="K119" s="15">
        <f t="shared" si="7"/>
        <v>2866.4063999999998</v>
      </c>
    </row>
    <row r="120" spans="1:11" ht="15.75" thickBot="1" x14ac:dyDescent="0.3">
      <c r="A120" s="8" t="s">
        <v>82</v>
      </c>
      <c r="B120" s="6" t="s">
        <v>47</v>
      </c>
      <c r="C120" s="26">
        <v>2.7143999999999999</v>
      </c>
      <c r="D120" s="6">
        <f>(References!C72*4)-(References!B72*1)-(References!A72*2)</f>
        <v>61.6</v>
      </c>
      <c r="E120" s="6">
        <f t="shared" si="8"/>
        <v>25</v>
      </c>
      <c r="F120" s="6">
        <f t="shared" si="9"/>
        <v>-0.55000000000000004</v>
      </c>
      <c r="G120" s="6">
        <v>0.65</v>
      </c>
      <c r="H120" s="6">
        <v>24</v>
      </c>
      <c r="I120" s="29">
        <f>(References!T$4)-(References!T$3/2)</f>
        <v>30.45</v>
      </c>
      <c r="J120" s="6">
        <f t="shared" si="6"/>
        <v>18.342499999999998</v>
      </c>
      <c r="K120" s="15">
        <f t="shared" si="7"/>
        <v>4180.1760000000004</v>
      </c>
    </row>
    <row r="121" spans="1:11" ht="15.75" thickBot="1" x14ac:dyDescent="0.3">
      <c r="A121" s="8" t="s">
        <v>83</v>
      </c>
      <c r="B121" s="6" t="s">
        <v>48</v>
      </c>
      <c r="C121" s="26">
        <v>2.7143999999999999</v>
      </c>
      <c r="D121" s="6">
        <f>(References!C73*4)-(References!B73*1)-(References!A73*2)</f>
        <v>8.8800000000000008</v>
      </c>
      <c r="E121" s="6">
        <f t="shared" si="8"/>
        <v>13</v>
      </c>
      <c r="F121" s="6">
        <f t="shared" si="9"/>
        <v>2.2200000000000002</v>
      </c>
      <c r="G121" s="6">
        <v>0.65</v>
      </c>
      <c r="H121" s="6">
        <v>24</v>
      </c>
      <c r="I121" s="29">
        <f>(References!T$4)-(References!T$3/2)</f>
        <v>30.45</v>
      </c>
      <c r="J121" s="6">
        <f t="shared" si="6"/>
        <v>12.343</v>
      </c>
      <c r="K121" s="15">
        <f t="shared" si="7"/>
        <v>313.35033600000003</v>
      </c>
    </row>
    <row r="122" spans="1:11" ht="15.75" thickBot="1" x14ac:dyDescent="0.3">
      <c r="A122" s="8" t="s">
        <v>72</v>
      </c>
      <c r="B122" s="6" t="s">
        <v>47</v>
      </c>
      <c r="C122" s="26">
        <v>2.7143999999999999</v>
      </c>
      <c r="D122" s="6">
        <f>(References!C74*4)-(References!B74*1)-(References!A74*2)</f>
        <v>11.67</v>
      </c>
      <c r="E122" s="6">
        <f t="shared" si="8"/>
        <v>25</v>
      </c>
      <c r="F122" s="6">
        <f t="shared" si="9"/>
        <v>-0.55000000000000004</v>
      </c>
      <c r="G122" s="6">
        <v>0.65</v>
      </c>
      <c r="H122" s="6">
        <v>22.5</v>
      </c>
      <c r="I122" s="29">
        <f>(References!T$4)-(References!T$3/2)</f>
        <v>30.45</v>
      </c>
      <c r="J122" s="6">
        <f t="shared" si="6"/>
        <v>19.842499999999998</v>
      </c>
      <c r="K122" s="15">
        <f t="shared" si="7"/>
        <v>791.92619999999999</v>
      </c>
    </row>
    <row r="123" spans="1:11" ht="15.75" thickBot="1" x14ac:dyDescent="0.3">
      <c r="A123" s="8" t="s">
        <v>71</v>
      </c>
      <c r="B123" s="6" t="s">
        <v>47</v>
      </c>
      <c r="C123" s="26">
        <v>2.7143999999999999</v>
      </c>
      <c r="D123" s="6">
        <f>(References!C75*4)-(References!B75*1)-(References!A75*2)</f>
        <v>10.6</v>
      </c>
      <c r="E123" s="6">
        <f t="shared" si="8"/>
        <v>25</v>
      </c>
      <c r="F123" s="6">
        <f t="shared" si="9"/>
        <v>-0.55000000000000004</v>
      </c>
      <c r="G123" s="6">
        <v>0.65</v>
      </c>
      <c r="H123" s="6">
        <v>22.5</v>
      </c>
      <c r="I123" s="29">
        <f>(References!T$4)-(References!T$3/2)</f>
        <v>30.45</v>
      </c>
      <c r="J123" s="6">
        <f t="shared" si="6"/>
        <v>19.842499999999998</v>
      </c>
      <c r="K123" s="15">
        <f t="shared" si="7"/>
        <v>719.31600000000003</v>
      </c>
    </row>
    <row r="124" spans="1:11" ht="15.75" thickBot="1" x14ac:dyDescent="0.3">
      <c r="A124" s="8" t="s">
        <v>71</v>
      </c>
      <c r="B124" s="6" t="s">
        <v>47</v>
      </c>
      <c r="C124" s="26">
        <v>2.7143999999999999</v>
      </c>
      <c r="D124" s="6">
        <f>(References!C76*4)-(References!B76*1)-(References!A76*2)</f>
        <v>10.6</v>
      </c>
      <c r="E124" s="6">
        <f t="shared" si="8"/>
        <v>25</v>
      </c>
      <c r="F124" s="6">
        <f t="shared" si="9"/>
        <v>-0.55000000000000004</v>
      </c>
      <c r="G124" s="6">
        <v>0.65</v>
      </c>
      <c r="H124" s="6">
        <v>22.5</v>
      </c>
      <c r="I124" s="29">
        <f>(References!T$4)-(References!T$3/2)</f>
        <v>30.45</v>
      </c>
      <c r="J124" s="6">
        <f t="shared" si="6"/>
        <v>19.842499999999998</v>
      </c>
      <c r="K124" s="15">
        <f t="shared" si="7"/>
        <v>719.31600000000003</v>
      </c>
    </row>
    <row r="125" spans="1:11" ht="15.75" thickBot="1" x14ac:dyDescent="0.3">
      <c r="A125" s="8" t="s">
        <v>71</v>
      </c>
      <c r="B125" s="6" t="s">
        <v>47</v>
      </c>
      <c r="C125" s="26">
        <v>2.7143999999999999</v>
      </c>
      <c r="D125" s="6">
        <f>(References!C77*4)-(References!B77*1)-(References!A77*2)</f>
        <v>10.6</v>
      </c>
      <c r="E125" s="6">
        <f t="shared" si="8"/>
        <v>25</v>
      </c>
      <c r="F125" s="6">
        <f t="shared" si="9"/>
        <v>-0.55000000000000004</v>
      </c>
      <c r="G125" s="6">
        <v>0.65</v>
      </c>
      <c r="H125" s="6">
        <v>22.5</v>
      </c>
      <c r="I125" s="29">
        <f>(References!T$4)-(References!T$3/2)</f>
        <v>30.45</v>
      </c>
      <c r="J125" s="6">
        <f t="shared" si="6"/>
        <v>19.842499999999998</v>
      </c>
      <c r="K125" s="15">
        <f t="shared" si="7"/>
        <v>719.31600000000003</v>
      </c>
    </row>
    <row r="126" spans="1:11" ht="15.75" thickBot="1" x14ac:dyDescent="0.3">
      <c r="A126" s="8" t="s">
        <v>71</v>
      </c>
      <c r="B126" s="6" t="s">
        <v>47</v>
      </c>
      <c r="C126" s="26">
        <v>2.7143999999999999</v>
      </c>
      <c r="D126" s="6">
        <f>(References!C78*4)-(References!B78*1)-(References!A78*2)</f>
        <v>10.6</v>
      </c>
      <c r="E126" s="6">
        <f t="shared" si="8"/>
        <v>25</v>
      </c>
      <c r="F126" s="6">
        <f t="shared" si="9"/>
        <v>-0.55000000000000004</v>
      </c>
      <c r="G126" s="6">
        <v>0.65</v>
      </c>
      <c r="H126" s="6">
        <v>22.5</v>
      </c>
      <c r="I126" s="29">
        <f>(References!T$4)-(References!T$3/2)</f>
        <v>30.45</v>
      </c>
      <c r="J126" s="6">
        <f t="shared" si="6"/>
        <v>19.842499999999998</v>
      </c>
      <c r="K126" s="15">
        <f t="shared" si="7"/>
        <v>719.31600000000003</v>
      </c>
    </row>
    <row r="127" spans="1:11" ht="15.75" thickBot="1" x14ac:dyDescent="0.3">
      <c r="A127" s="8" t="s">
        <v>70</v>
      </c>
      <c r="B127" s="6" t="s">
        <v>50</v>
      </c>
      <c r="C127" s="26">
        <v>2.7143999999999999</v>
      </c>
      <c r="D127" s="6">
        <f>(References!C79*4)-(References!B79*1)-(References!A79*2)</f>
        <v>8.8800000000000008</v>
      </c>
      <c r="E127" s="6">
        <f t="shared" si="8"/>
        <v>22</v>
      </c>
      <c r="F127" s="6">
        <f t="shared" si="9"/>
        <v>-3.88</v>
      </c>
      <c r="G127" s="6">
        <v>0.65</v>
      </c>
      <c r="H127" s="6">
        <v>22.5</v>
      </c>
      <c r="I127" s="29">
        <f>(References!T$4)-(References!T$3/2)</f>
        <v>30.45</v>
      </c>
      <c r="J127" s="6">
        <f t="shared" si="6"/>
        <v>15.728</v>
      </c>
      <c r="K127" s="15">
        <f t="shared" si="7"/>
        <v>530.28518400000007</v>
      </c>
    </row>
    <row r="128" spans="1:11" ht="15.75" thickBot="1" x14ac:dyDescent="0.3">
      <c r="A128" s="8" t="s">
        <v>69</v>
      </c>
      <c r="B128" s="6" t="s">
        <v>47</v>
      </c>
      <c r="C128" s="26">
        <v>2.7143999999999999</v>
      </c>
      <c r="D128" s="6">
        <f>(References!C80*4)-(References!B80*1)-(References!A80*2)</f>
        <v>13.4</v>
      </c>
      <c r="E128" s="6">
        <f t="shared" si="8"/>
        <v>25</v>
      </c>
      <c r="F128" s="6">
        <f t="shared" si="9"/>
        <v>-0.55000000000000004</v>
      </c>
      <c r="G128" s="6">
        <v>0.65</v>
      </c>
      <c r="H128" s="6">
        <v>22.5</v>
      </c>
      <c r="I128" s="29">
        <f>(References!T$4)-(References!T$3/2)</f>
        <v>30.45</v>
      </c>
      <c r="J128" s="6">
        <f t="shared" si="6"/>
        <v>19.842499999999998</v>
      </c>
      <c r="K128" s="15">
        <f t="shared" si="7"/>
        <v>909.32399999999996</v>
      </c>
    </row>
    <row r="129" spans="1:11" ht="15.75" thickBot="1" x14ac:dyDescent="0.3">
      <c r="A129" s="8" t="s">
        <v>89</v>
      </c>
      <c r="B129" s="6" t="s">
        <v>47</v>
      </c>
      <c r="C129" s="26">
        <v>2.7143999999999999</v>
      </c>
      <c r="D129" s="6">
        <f>(References!C81*4)-(References!B81*0.6)-(References!A81*2)</f>
        <v>9.0400000000000009</v>
      </c>
      <c r="E129" s="6">
        <f t="shared" si="8"/>
        <v>25</v>
      </c>
      <c r="F129" s="6">
        <f t="shared" si="9"/>
        <v>-0.55000000000000004</v>
      </c>
      <c r="G129" s="6">
        <v>0.65</v>
      </c>
      <c r="H129" s="6">
        <v>22.5</v>
      </c>
      <c r="I129" s="29">
        <f>(References!T$4)-(References!T$3/2)</f>
        <v>30.45</v>
      </c>
      <c r="J129" s="6">
        <f t="shared" si="6"/>
        <v>19.842499999999998</v>
      </c>
      <c r="K129" s="15">
        <f t="shared" si="7"/>
        <v>613.45440000000008</v>
      </c>
    </row>
    <row r="130" spans="1:11" ht="15.75" thickBot="1" x14ac:dyDescent="0.3">
      <c r="A130" s="23" t="s">
        <v>66</v>
      </c>
      <c r="B130" s="21" t="s">
        <v>47</v>
      </c>
      <c r="C130" s="33">
        <v>2.7143999999999999</v>
      </c>
      <c r="D130" s="21">
        <f>(References!C82*4)-(References!B82*1)-(References!A82*2)</f>
        <v>2.4000000000000004</v>
      </c>
      <c r="E130" s="21">
        <f t="shared" si="8"/>
        <v>25</v>
      </c>
      <c r="F130" s="21">
        <f t="shared" si="9"/>
        <v>-0.55000000000000004</v>
      </c>
      <c r="G130" s="21">
        <v>0.65</v>
      </c>
      <c r="H130" s="21">
        <v>22.5</v>
      </c>
      <c r="I130" s="34">
        <f>(References!T$4)-(References!T$3/2)</f>
        <v>30.45</v>
      </c>
      <c r="J130" s="21">
        <f t="shared" si="6"/>
        <v>19.842499999999998</v>
      </c>
      <c r="K130" s="22">
        <f t="shared" si="7"/>
        <v>162.864</v>
      </c>
    </row>
    <row r="131" spans="1:11" ht="15.75" thickBot="1" x14ac:dyDescent="0.3">
      <c r="J131" s="44" t="s">
        <v>162</v>
      </c>
      <c r="K131" s="44">
        <f>SUM(Table2[Q(W)])</f>
        <v>47844.530136000001</v>
      </c>
    </row>
  </sheetData>
  <mergeCells count="4">
    <mergeCell ref="A2:K2"/>
    <mergeCell ref="A40:K40"/>
    <mergeCell ref="A87:K87"/>
    <mergeCell ref="A1:K1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C372-ED4F-4CA2-90AF-0B5B5A30C8B9}">
  <dimension ref="A1:I186"/>
  <sheetViews>
    <sheetView tabSelected="1" topLeftCell="A100" workbookViewId="0">
      <selection activeCell="A127" sqref="A127:I186"/>
    </sheetView>
  </sheetViews>
  <sheetFormatPr defaultRowHeight="15" x14ac:dyDescent="0.25"/>
  <sheetData>
    <row r="1" spans="1:9" x14ac:dyDescent="0.25">
      <c r="A1" s="95" t="s">
        <v>524</v>
      </c>
      <c r="B1" s="95"/>
      <c r="C1" s="95"/>
      <c r="D1" s="95"/>
      <c r="E1" s="95"/>
      <c r="F1" s="95"/>
      <c r="G1" s="95"/>
      <c r="H1" s="91"/>
      <c r="I1" s="91"/>
    </row>
    <row r="2" spans="1:9" x14ac:dyDescent="0.25">
      <c r="A2" s="99" t="s">
        <v>337</v>
      </c>
      <c r="B2" s="99"/>
      <c r="C2" s="99"/>
      <c r="D2" s="99"/>
      <c r="E2" s="99"/>
      <c r="F2" s="99"/>
      <c r="G2" s="99"/>
      <c r="H2" s="91"/>
      <c r="I2" s="91"/>
    </row>
    <row r="3" spans="1:9" x14ac:dyDescent="0.25">
      <c r="A3" s="5" t="s">
        <v>20</v>
      </c>
      <c r="B3" s="5" t="s">
        <v>525</v>
      </c>
      <c r="C3" s="5" t="s">
        <v>2</v>
      </c>
      <c r="D3" s="5" t="s">
        <v>54</v>
      </c>
      <c r="E3" s="5" t="s">
        <v>7</v>
      </c>
      <c r="F3" s="5" t="s">
        <v>13</v>
      </c>
      <c r="G3" s="5" t="s">
        <v>24</v>
      </c>
      <c r="H3" s="91"/>
      <c r="I3" s="91" t="s">
        <v>49</v>
      </c>
    </row>
    <row r="4" spans="1:9" x14ac:dyDescent="0.25">
      <c r="A4" s="83" t="s">
        <v>526</v>
      </c>
      <c r="B4" s="91" t="s">
        <v>527</v>
      </c>
      <c r="C4" s="91">
        <v>2.3576000000000001</v>
      </c>
      <c r="D4" s="91">
        <f>I4*2</f>
        <v>1.8</v>
      </c>
      <c r="E4" s="91">
        <v>22.5</v>
      </c>
      <c r="F4" s="91">
        <v>28</v>
      </c>
      <c r="G4" s="91">
        <f>C4*D4*(F4-E4)</f>
        <v>23.340240000000001</v>
      </c>
      <c r="H4" s="91"/>
      <c r="I4" s="91">
        <v>0.9</v>
      </c>
    </row>
    <row r="5" spans="1:9" x14ac:dyDescent="0.25">
      <c r="A5" s="106" t="s">
        <v>528</v>
      </c>
      <c r="B5" s="91" t="s">
        <v>527</v>
      </c>
      <c r="C5" s="91">
        <v>2.3576000000000001</v>
      </c>
      <c r="D5" s="91">
        <f>I5*2</f>
        <v>1.8</v>
      </c>
      <c r="E5" s="91">
        <v>22.5</v>
      </c>
      <c r="F5" s="91">
        <v>28</v>
      </c>
      <c r="G5" s="91">
        <f t="shared" ref="G5:G55" si="0">C5*D5*(F5-E5)</f>
        <v>23.340240000000001</v>
      </c>
      <c r="H5" s="91"/>
      <c r="I5" s="91">
        <v>0.9</v>
      </c>
    </row>
    <row r="6" spans="1:9" x14ac:dyDescent="0.25">
      <c r="A6" s="106"/>
      <c r="B6" s="91" t="s">
        <v>529</v>
      </c>
      <c r="C6" s="91">
        <v>1.6048</v>
      </c>
      <c r="D6" s="91">
        <f>I6*2</f>
        <v>1.6</v>
      </c>
      <c r="E6" s="91">
        <v>22.5</v>
      </c>
      <c r="F6" s="91">
        <v>24</v>
      </c>
      <c r="G6" s="91">
        <f t="shared" si="0"/>
        <v>3.8515200000000003</v>
      </c>
      <c r="H6" s="91"/>
      <c r="I6" s="91">
        <v>0.8</v>
      </c>
    </row>
    <row r="7" spans="1:9" x14ac:dyDescent="0.25">
      <c r="A7" s="83" t="s">
        <v>530</v>
      </c>
      <c r="B7" s="91" t="s">
        <v>531</v>
      </c>
      <c r="C7" s="91">
        <v>2.3576000000000001</v>
      </c>
      <c r="D7" s="91">
        <f>I7*2</f>
        <v>1.8</v>
      </c>
      <c r="E7" s="91">
        <v>24</v>
      </c>
      <c r="F7" s="91">
        <v>28</v>
      </c>
      <c r="G7" s="91">
        <f t="shared" si="0"/>
        <v>16.974720000000001</v>
      </c>
      <c r="H7" s="91"/>
      <c r="I7" s="91">
        <v>0.9</v>
      </c>
    </row>
    <row r="8" spans="1:9" x14ac:dyDescent="0.25">
      <c r="A8" s="83" t="s">
        <v>532</v>
      </c>
      <c r="B8" s="91" t="s">
        <v>527</v>
      </c>
      <c r="C8" s="91">
        <v>2.3576000000000001</v>
      </c>
      <c r="D8" s="91">
        <f>I8*2</f>
        <v>1.8</v>
      </c>
      <c r="E8" s="91">
        <v>24</v>
      </c>
      <c r="F8" s="91">
        <v>28</v>
      </c>
      <c r="G8" s="91">
        <f t="shared" si="0"/>
        <v>16.974720000000001</v>
      </c>
      <c r="H8" s="91"/>
      <c r="I8" s="91">
        <v>0.9</v>
      </c>
    </row>
    <row r="9" spans="1:9" x14ac:dyDescent="0.25">
      <c r="A9" s="83" t="s">
        <v>533</v>
      </c>
      <c r="B9" s="91" t="s">
        <v>527</v>
      </c>
      <c r="C9" s="91">
        <v>2.3576000000000001</v>
      </c>
      <c r="D9" s="91">
        <f>I9*2</f>
        <v>3.2</v>
      </c>
      <c r="E9" s="91">
        <v>22</v>
      </c>
      <c r="F9" s="91">
        <v>28</v>
      </c>
      <c r="G9" s="91">
        <f t="shared" si="0"/>
        <v>45.265920000000008</v>
      </c>
      <c r="H9" s="91"/>
      <c r="I9" s="91">
        <v>1.6</v>
      </c>
    </row>
    <row r="10" spans="1:9" x14ac:dyDescent="0.25">
      <c r="A10" s="83" t="s">
        <v>534</v>
      </c>
      <c r="B10" s="91" t="s">
        <v>527</v>
      </c>
      <c r="C10" s="91">
        <v>2.3576000000000001</v>
      </c>
      <c r="D10" s="91">
        <f>I10*2</f>
        <v>1.8</v>
      </c>
      <c r="E10" s="91">
        <v>24</v>
      </c>
      <c r="F10" s="91">
        <v>28</v>
      </c>
      <c r="G10" s="91">
        <f t="shared" si="0"/>
        <v>16.974720000000001</v>
      </c>
      <c r="H10" s="91"/>
      <c r="I10" s="91">
        <v>0.9</v>
      </c>
    </row>
    <row r="11" spans="1:9" x14ac:dyDescent="0.25">
      <c r="A11" s="83" t="s">
        <v>535</v>
      </c>
      <c r="B11" s="91" t="s">
        <v>527</v>
      </c>
      <c r="C11" s="91">
        <v>2.3576000000000001</v>
      </c>
      <c r="D11" s="91">
        <f>I11*2</f>
        <v>3.6</v>
      </c>
      <c r="E11" s="91">
        <v>22.5</v>
      </c>
      <c r="F11" s="91">
        <v>28</v>
      </c>
      <c r="G11" s="91">
        <f t="shared" si="0"/>
        <v>46.680480000000003</v>
      </c>
      <c r="H11" s="91"/>
      <c r="I11" s="91">
        <v>1.8</v>
      </c>
    </row>
    <row r="12" spans="1:9" x14ac:dyDescent="0.25">
      <c r="A12" s="83" t="s">
        <v>536</v>
      </c>
      <c r="B12" s="91" t="s">
        <v>531</v>
      </c>
      <c r="C12" s="91">
        <v>2.3576000000000001</v>
      </c>
      <c r="D12" s="91">
        <f>I12*2</f>
        <v>2</v>
      </c>
      <c r="E12" s="91">
        <v>22.5</v>
      </c>
      <c r="F12" s="91">
        <v>28</v>
      </c>
      <c r="G12" s="91">
        <f t="shared" si="0"/>
        <v>25.933600000000002</v>
      </c>
      <c r="H12" s="91"/>
      <c r="I12" s="91">
        <v>1</v>
      </c>
    </row>
    <row r="13" spans="1:9" x14ac:dyDescent="0.25">
      <c r="A13" s="106" t="s">
        <v>537</v>
      </c>
      <c r="B13" s="91" t="s">
        <v>538</v>
      </c>
      <c r="C13" s="91">
        <v>1.5625</v>
      </c>
      <c r="D13" s="91">
        <f>I13*2</f>
        <v>1.8</v>
      </c>
      <c r="E13" s="91">
        <v>22.5</v>
      </c>
      <c r="F13" s="91">
        <v>24</v>
      </c>
      <c r="G13" s="91">
        <f t="shared" si="0"/>
        <v>4.21875</v>
      </c>
      <c r="H13" s="91"/>
      <c r="I13" s="91">
        <v>0.9</v>
      </c>
    </row>
    <row r="14" spans="1:9" x14ac:dyDescent="0.25">
      <c r="A14" s="106"/>
      <c r="B14" s="91" t="s">
        <v>527</v>
      </c>
      <c r="C14" s="91">
        <v>2.3576000000000001</v>
      </c>
      <c r="D14" s="91">
        <f>I14*2</f>
        <v>1.8</v>
      </c>
      <c r="E14" s="91">
        <v>22.5</v>
      </c>
      <c r="F14" s="91">
        <v>28</v>
      </c>
      <c r="G14" s="91">
        <f t="shared" si="0"/>
        <v>23.340240000000001</v>
      </c>
      <c r="H14" s="91"/>
      <c r="I14" s="91">
        <v>0.9</v>
      </c>
    </row>
    <row r="15" spans="1:9" x14ac:dyDescent="0.25">
      <c r="A15" s="83" t="s">
        <v>539</v>
      </c>
      <c r="B15" s="91" t="s">
        <v>527</v>
      </c>
      <c r="C15" s="91">
        <v>2.3576000000000001</v>
      </c>
      <c r="D15" s="91">
        <f>I15*2</f>
        <v>1.8</v>
      </c>
      <c r="E15" s="91">
        <v>22.5</v>
      </c>
      <c r="F15" s="91">
        <v>28</v>
      </c>
      <c r="G15" s="91">
        <f t="shared" si="0"/>
        <v>23.340240000000001</v>
      </c>
      <c r="H15" s="91"/>
      <c r="I15" s="91">
        <v>0.9</v>
      </c>
    </row>
    <row r="16" spans="1:9" x14ac:dyDescent="0.25">
      <c r="A16" s="83" t="s">
        <v>540</v>
      </c>
      <c r="B16" s="91" t="s">
        <v>527</v>
      </c>
      <c r="C16" s="91">
        <v>2.3576000000000001</v>
      </c>
      <c r="D16" s="91">
        <f>I16*2</f>
        <v>1.8</v>
      </c>
      <c r="E16" s="91">
        <v>22.5</v>
      </c>
      <c r="F16" s="91">
        <v>28</v>
      </c>
      <c r="G16" s="91">
        <f t="shared" si="0"/>
        <v>23.340240000000001</v>
      </c>
      <c r="H16" s="91"/>
      <c r="I16" s="91">
        <v>0.9</v>
      </c>
    </row>
    <row r="17" spans="1:9" x14ac:dyDescent="0.25">
      <c r="A17" s="83" t="s">
        <v>541</v>
      </c>
      <c r="B17" s="91" t="s">
        <v>527</v>
      </c>
      <c r="C17" s="91">
        <v>2.3576000000000001</v>
      </c>
      <c r="D17" s="91">
        <f>I17*2</f>
        <v>1.8</v>
      </c>
      <c r="E17" s="91">
        <v>22.5</v>
      </c>
      <c r="F17" s="91">
        <v>28</v>
      </c>
      <c r="G17" s="91">
        <f t="shared" si="0"/>
        <v>23.340240000000001</v>
      </c>
      <c r="H17" s="91"/>
      <c r="I17" s="91">
        <v>0.9</v>
      </c>
    </row>
    <row r="18" spans="1:9" x14ac:dyDescent="0.25">
      <c r="A18" s="83" t="s">
        <v>542</v>
      </c>
      <c r="B18" s="91" t="s">
        <v>543</v>
      </c>
      <c r="C18" s="91">
        <v>2.3576000000000001</v>
      </c>
      <c r="D18" s="91">
        <f>I18*2</f>
        <v>1.8</v>
      </c>
      <c r="E18" s="91">
        <v>22</v>
      </c>
      <c r="F18" s="91">
        <v>22.5</v>
      </c>
      <c r="G18" s="91">
        <f t="shared" si="0"/>
        <v>2.1218400000000002</v>
      </c>
      <c r="H18" s="91"/>
      <c r="I18" s="91">
        <v>0.9</v>
      </c>
    </row>
    <row r="19" spans="1:9" x14ac:dyDescent="0.25">
      <c r="A19" s="106" t="s">
        <v>543</v>
      </c>
      <c r="B19" s="91" t="s">
        <v>527</v>
      </c>
      <c r="C19" s="91">
        <v>2.3576000000000001</v>
      </c>
      <c r="D19" s="91">
        <f>I19*2</f>
        <v>2.4</v>
      </c>
      <c r="E19" s="91">
        <v>22.5</v>
      </c>
      <c r="F19" s="91">
        <v>28</v>
      </c>
      <c r="G19" s="91">
        <f t="shared" si="0"/>
        <v>31.12032</v>
      </c>
      <c r="H19" s="91"/>
      <c r="I19" s="91">
        <v>1.2</v>
      </c>
    </row>
    <row r="20" spans="1:9" x14ac:dyDescent="0.25">
      <c r="A20" s="106"/>
      <c r="B20" s="91" t="s">
        <v>544</v>
      </c>
      <c r="C20" s="91">
        <v>1.6048</v>
      </c>
      <c r="D20" s="91">
        <f>I20*2</f>
        <v>1.8</v>
      </c>
      <c r="E20" s="91">
        <v>22.5</v>
      </c>
      <c r="F20" s="91">
        <v>24</v>
      </c>
      <c r="G20" s="91">
        <f t="shared" si="0"/>
        <v>4.3329599999999999</v>
      </c>
      <c r="H20" s="91"/>
      <c r="I20" s="91">
        <v>0.9</v>
      </c>
    </row>
    <row r="21" spans="1:9" x14ac:dyDescent="0.25">
      <c r="A21" s="83" t="s">
        <v>545</v>
      </c>
      <c r="B21" s="91" t="s">
        <v>527</v>
      </c>
      <c r="C21" s="91">
        <v>2.3576000000000001</v>
      </c>
      <c r="D21" s="91">
        <f>I21*2</f>
        <v>2.4</v>
      </c>
      <c r="E21" s="91">
        <v>22.5</v>
      </c>
      <c r="F21" s="91">
        <v>28</v>
      </c>
      <c r="G21" s="91">
        <f t="shared" si="0"/>
        <v>31.12032</v>
      </c>
      <c r="H21" s="91"/>
      <c r="I21" s="91">
        <v>1.2</v>
      </c>
    </row>
    <row r="22" spans="1:9" x14ac:dyDescent="0.25">
      <c r="A22" s="83" t="s">
        <v>545</v>
      </c>
      <c r="B22" s="91" t="s">
        <v>527</v>
      </c>
      <c r="C22" s="91">
        <v>2.3576000000000001</v>
      </c>
      <c r="D22" s="91">
        <f>I22*2</f>
        <v>2.4</v>
      </c>
      <c r="E22" s="91">
        <v>22.5</v>
      </c>
      <c r="F22" s="91">
        <v>28</v>
      </c>
      <c r="G22" s="91">
        <f t="shared" si="0"/>
        <v>31.12032</v>
      </c>
      <c r="H22" s="91"/>
      <c r="I22" s="91">
        <v>1.2</v>
      </c>
    </row>
    <row r="23" spans="1:9" x14ac:dyDescent="0.25">
      <c r="A23" s="83" t="s">
        <v>546</v>
      </c>
      <c r="B23" s="91" t="s">
        <v>527</v>
      </c>
      <c r="C23" s="91">
        <v>2.3576000000000001</v>
      </c>
      <c r="D23" s="91">
        <f>I23*2</f>
        <v>2.4</v>
      </c>
      <c r="E23" s="91">
        <v>22.5</v>
      </c>
      <c r="F23" s="91">
        <v>28</v>
      </c>
      <c r="G23" s="91">
        <f t="shared" si="0"/>
        <v>31.12032</v>
      </c>
      <c r="H23" s="91"/>
      <c r="I23" s="91">
        <v>1.2</v>
      </c>
    </row>
    <row r="24" spans="1:9" x14ac:dyDescent="0.25">
      <c r="A24" s="83" t="s">
        <v>546</v>
      </c>
      <c r="B24" s="91" t="s">
        <v>527</v>
      </c>
      <c r="C24" s="91">
        <v>2.3576000000000001</v>
      </c>
      <c r="D24" s="91">
        <f>I24*2</f>
        <v>2.4</v>
      </c>
      <c r="E24" s="91">
        <v>22.5</v>
      </c>
      <c r="F24" s="91">
        <v>28</v>
      </c>
      <c r="G24" s="91">
        <f t="shared" si="0"/>
        <v>31.12032</v>
      </c>
      <c r="H24" s="91"/>
      <c r="I24" s="91">
        <v>1.2</v>
      </c>
    </row>
    <row r="25" spans="1:9" x14ac:dyDescent="0.25">
      <c r="A25" s="83" t="s">
        <v>547</v>
      </c>
      <c r="B25" s="91" t="s">
        <v>527</v>
      </c>
      <c r="C25" s="91">
        <v>2.3576000000000001</v>
      </c>
      <c r="D25" s="91">
        <f>I25*2</f>
        <v>1.8</v>
      </c>
      <c r="E25" s="91">
        <v>22.5</v>
      </c>
      <c r="F25" s="91">
        <v>28</v>
      </c>
      <c r="G25" s="91">
        <f t="shared" si="0"/>
        <v>23.340240000000001</v>
      </c>
      <c r="H25" s="91"/>
      <c r="I25" s="91">
        <v>0.9</v>
      </c>
    </row>
    <row r="26" spans="1:9" x14ac:dyDescent="0.25">
      <c r="A26" s="83" t="s">
        <v>548</v>
      </c>
      <c r="B26" s="91" t="s">
        <v>527</v>
      </c>
      <c r="C26" s="91">
        <v>2.3576000000000001</v>
      </c>
      <c r="D26" s="91">
        <f>I26*2</f>
        <v>1.8</v>
      </c>
      <c r="E26" s="91">
        <v>22.5</v>
      </c>
      <c r="F26" s="91">
        <v>28</v>
      </c>
      <c r="G26" s="91">
        <f t="shared" si="0"/>
        <v>23.340240000000001</v>
      </c>
      <c r="H26" s="91"/>
      <c r="I26" s="91">
        <v>0.9</v>
      </c>
    </row>
    <row r="27" spans="1:9" x14ac:dyDescent="0.25">
      <c r="A27" s="83" t="s">
        <v>549</v>
      </c>
      <c r="B27" s="91" t="s">
        <v>527</v>
      </c>
      <c r="C27" s="91">
        <v>2.3576000000000001</v>
      </c>
      <c r="D27" s="91">
        <f>I27*2</f>
        <v>1.8</v>
      </c>
      <c r="E27" s="91">
        <v>22.5</v>
      </c>
      <c r="F27" s="91">
        <v>28</v>
      </c>
      <c r="G27" s="91">
        <f t="shared" si="0"/>
        <v>23.340240000000001</v>
      </c>
      <c r="H27" s="91"/>
      <c r="I27" s="91">
        <v>0.9</v>
      </c>
    </row>
    <row r="28" spans="1:9" x14ac:dyDescent="0.25">
      <c r="A28" s="106" t="s">
        <v>550</v>
      </c>
      <c r="B28" s="91" t="s">
        <v>551</v>
      </c>
      <c r="C28" s="91">
        <v>2.3576000000000001</v>
      </c>
      <c r="D28" s="91">
        <f>I28*2</f>
        <v>1.8</v>
      </c>
      <c r="E28" s="91">
        <v>22.5</v>
      </c>
      <c r="F28" s="91">
        <v>24</v>
      </c>
      <c r="G28" s="91">
        <f t="shared" si="0"/>
        <v>6.3655200000000001</v>
      </c>
      <c r="H28" s="91"/>
      <c r="I28" s="91">
        <v>0.9</v>
      </c>
    </row>
    <row r="29" spans="1:9" x14ac:dyDescent="0.25">
      <c r="A29" s="106"/>
      <c r="B29" s="91" t="s">
        <v>527</v>
      </c>
      <c r="C29" s="91">
        <v>2.3576000000000001</v>
      </c>
      <c r="D29" s="91">
        <f>I29*2</f>
        <v>1.8</v>
      </c>
      <c r="E29" s="91">
        <v>22.5</v>
      </c>
      <c r="F29" s="91">
        <v>28</v>
      </c>
      <c r="G29" s="91">
        <f t="shared" si="0"/>
        <v>23.340240000000001</v>
      </c>
      <c r="H29" s="91"/>
      <c r="I29" s="91">
        <v>0.9</v>
      </c>
    </row>
    <row r="30" spans="1:9" x14ac:dyDescent="0.25">
      <c r="A30" s="106" t="s">
        <v>552</v>
      </c>
      <c r="B30" s="91" t="s">
        <v>529</v>
      </c>
      <c r="C30" s="91">
        <v>1.6048</v>
      </c>
      <c r="D30" s="91">
        <f>I30*2</f>
        <v>1.8</v>
      </c>
      <c r="E30" s="91">
        <v>22.5</v>
      </c>
      <c r="F30" s="91">
        <v>24</v>
      </c>
      <c r="G30" s="91">
        <f t="shared" si="0"/>
        <v>4.3329599999999999</v>
      </c>
      <c r="H30" s="91"/>
      <c r="I30" s="91">
        <v>0.9</v>
      </c>
    </row>
    <row r="31" spans="1:9" x14ac:dyDescent="0.25">
      <c r="A31" s="106"/>
      <c r="B31" s="91" t="s">
        <v>527</v>
      </c>
      <c r="C31" s="91">
        <v>2.3576000000000001</v>
      </c>
      <c r="D31" s="91">
        <f>I31*2</f>
        <v>2.4</v>
      </c>
      <c r="E31" s="91">
        <v>22.5</v>
      </c>
      <c r="F31" s="91">
        <v>28</v>
      </c>
      <c r="G31" s="91">
        <f t="shared" si="0"/>
        <v>31.12032</v>
      </c>
      <c r="H31" s="91"/>
      <c r="I31" s="91">
        <v>1.2</v>
      </c>
    </row>
    <row r="32" spans="1:9" x14ac:dyDescent="0.25">
      <c r="A32" s="83" t="s">
        <v>553</v>
      </c>
      <c r="B32" s="91" t="s">
        <v>527</v>
      </c>
      <c r="C32" s="91">
        <v>2.3576000000000001</v>
      </c>
      <c r="D32" s="91">
        <f>I32*2</f>
        <v>2.4</v>
      </c>
      <c r="E32" s="91">
        <v>22.5</v>
      </c>
      <c r="F32" s="91">
        <v>28</v>
      </c>
      <c r="G32" s="91">
        <f t="shared" si="0"/>
        <v>31.12032</v>
      </c>
      <c r="H32" s="91"/>
      <c r="I32" s="91">
        <v>1.2</v>
      </c>
    </row>
    <row r="33" spans="1:9" x14ac:dyDescent="0.25">
      <c r="A33" s="106" t="s">
        <v>554</v>
      </c>
      <c r="B33" s="91" t="s">
        <v>527</v>
      </c>
      <c r="C33" s="91">
        <v>2.3576000000000001</v>
      </c>
      <c r="D33" s="91">
        <f>I33*2</f>
        <v>2.4</v>
      </c>
      <c r="E33" s="91">
        <v>22.5</v>
      </c>
      <c r="F33" s="91">
        <v>28</v>
      </c>
      <c r="G33" s="91">
        <f t="shared" si="0"/>
        <v>31.12032</v>
      </c>
      <c r="H33" s="91"/>
      <c r="I33" s="91">
        <v>1.2</v>
      </c>
    </row>
    <row r="34" spans="1:9" x14ac:dyDescent="0.25">
      <c r="A34" s="106"/>
      <c r="B34" s="91" t="s">
        <v>527</v>
      </c>
      <c r="C34" s="91">
        <v>2.3576000000000001</v>
      </c>
      <c r="D34" s="91">
        <f>I34*2</f>
        <v>1.6</v>
      </c>
      <c r="E34" s="91">
        <v>22.5</v>
      </c>
      <c r="F34" s="91">
        <v>28</v>
      </c>
      <c r="G34" s="91">
        <f t="shared" si="0"/>
        <v>20.746880000000001</v>
      </c>
      <c r="H34" s="91"/>
      <c r="I34" s="91">
        <v>0.8</v>
      </c>
    </row>
    <row r="35" spans="1:9" x14ac:dyDescent="0.25">
      <c r="A35" s="83" t="s">
        <v>555</v>
      </c>
      <c r="B35" s="91" t="s">
        <v>527</v>
      </c>
      <c r="C35" s="91">
        <v>2.3576000000000001</v>
      </c>
      <c r="D35" s="91">
        <f>I35*2</f>
        <v>2.4</v>
      </c>
      <c r="E35" s="91">
        <v>22.5</v>
      </c>
      <c r="F35" s="91">
        <v>28</v>
      </c>
      <c r="G35" s="91">
        <f t="shared" si="0"/>
        <v>31.12032</v>
      </c>
      <c r="H35" s="91"/>
      <c r="I35" s="91">
        <v>1.2</v>
      </c>
    </row>
    <row r="36" spans="1:9" x14ac:dyDescent="0.25">
      <c r="A36" s="83" t="s">
        <v>555</v>
      </c>
      <c r="B36" s="91" t="s">
        <v>527</v>
      </c>
      <c r="C36" s="91">
        <v>2.3576000000000001</v>
      </c>
      <c r="D36" s="91">
        <f>I36*2</f>
        <v>2.4</v>
      </c>
      <c r="E36" s="91">
        <v>22.5</v>
      </c>
      <c r="F36" s="91">
        <v>28</v>
      </c>
      <c r="G36" s="91">
        <f t="shared" si="0"/>
        <v>31.12032</v>
      </c>
      <c r="H36" s="91"/>
      <c r="I36" s="91">
        <v>1.2</v>
      </c>
    </row>
    <row r="37" spans="1:9" x14ac:dyDescent="0.25">
      <c r="A37" s="83"/>
      <c r="B37" s="91" t="s">
        <v>529</v>
      </c>
      <c r="C37" s="91">
        <v>1.6048</v>
      </c>
      <c r="D37" s="91">
        <f>I37*2</f>
        <v>1.6</v>
      </c>
      <c r="E37" s="91">
        <v>22.5</v>
      </c>
      <c r="F37" s="91">
        <v>24</v>
      </c>
      <c r="G37" s="91">
        <f t="shared" si="0"/>
        <v>3.8515200000000003</v>
      </c>
      <c r="H37" s="91"/>
      <c r="I37" s="91">
        <v>0.8</v>
      </c>
    </row>
    <row r="38" spans="1:9" x14ac:dyDescent="0.25">
      <c r="A38" s="83"/>
      <c r="B38" s="91" t="s">
        <v>527</v>
      </c>
      <c r="C38" s="91">
        <v>2.3576000000000001</v>
      </c>
      <c r="D38" s="91">
        <f>I38*2</f>
        <v>1.8</v>
      </c>
      <c r="E38" s="91">
        <v>22.5</v>
      </c>
      <c r="F38" s="91">
        <v>28</v>
      </c>
      <c r="G38" s="91">
        <f t="shared" si="0"/>
        <v>23.340240000000001</v>
      </c>
      <c r="H38" s="91"/>
      <c r="I38" s="91">
        <v>0.9</v>
      </c>
    </row>
    <row r="39" spans="1:9" x14ac:dyDescent="0.25">
      <c r="A39" s="83" t="s">
        <v>556</v>
      </c>
      <c r="B39" s="91" t="s">
        <v>527</v>
      </c>
      <c r="C39" s="91">
        <v>2.3576000000000001</v>
      </c>
      <c r="D39" s="91">
        <f>I39*2</f>
        <v>1.8</v>
      </c>
      <c r="E39" s="91">
        <v>22.5</v>
      </c>
      <c r="F39" s="91">
        <v>28</v>
      </c>
      <c r="G39" s="91">
        <f t="shared" si="0"/>
        <v>23.340240000000001</v>
      </c>
      <c r="H39" s="91"/>
      <c r="I39" s="91">
        <v>0.9</v>
      </c>
    </row>
    <row r="40" spans="1:9" x14ac:dyDescent="0.25">
      <c r="A40" s="83" t="s">
        <v>532</v>
      </c>
      <c r="B40" s="91" t="s">
        <v>527</v>
      </c>
      <c r="C40" s="91">
        <v>2.3576000000000001</v>
      </c>
      <c r="D40" s="91">
        <f>I40*2</f>
        <v>1.8</v>
      </c>
      <c r="E40" s="91">
        <v>24</v>
      </c>
      <c r="F40" s="91">
        <v>28</v>
      </c>
      <c r="G40" s="91">
        <f t="shared" si="0"/>
        <v>16.974720000000001</v>
      </c>
      <c r="H40" s="91"/>
      <c r="I40" s="91">
        <v>0.9</v>
      </c>
    </row>
    <row r="41" spans="1:9" x14ac:dyDescent="0.25">
      <c r="A41" s="83" t="s">
        <v>530</v>
      </c>
      <c r="B41" s="91" t="s">
        <v>527</v>
      </c>
      <c r="C41" s="91">
        <v>2.3576000000000001</v>
      </c>
      <c r="D41" s="91">
        <f>I41*2</f>
        <v>1.8</v>
      </c>
      <c r="E41" s="91">
        <v>24</v>
      </c>
      <c r="F41" s="91">
        <v>28</v>
      </c>
      <c r="G41" s="91">
        <f t="shared" si="0"/>
        <v>16.974720000000001</v>
      </c>
      <c r="H41" s="91"/>
      <c r="I41" s="91">
        <v>0.9</v>
      </c>
    </row>
    <row r="42" spans="1:9" x14ac:dyDescent="0.25">
      <c r="A42" s="83" t="s">
        <v>557</v>
      </c>
      <c r="B42" s="91" t="s">
        <v>527</v>
      </c>
      <c r="C42" s="91">
        <v>2.3576000000000001</v>
      </c>
      <c r="D42" s="91">
        <f>I42*2</f>
        <v>1.8</v>
      </c>
      <c r="E42" s="91">
        <v>22.5</v>
      </c>
      <c r="F42" s="91">
        <v>28</v>
      </c>
      <c r="G42" s="91">
        <f t="shared" si="0"/>
        <v>23.340240000000001</v>
      </c>
      <c r="H42" s="91"/>
      <c r="I42" s="91">
        <v>0.9</v>
      </c>
    </row>
    <row r="43" spans="1:9" x14ac:dyDescent="0.25">
      <c r="A43" s="106" t="s">
        <v>558</v>
      </c>
      <c r="B43" s="91" t="s">
        <v>527</v>
      </c>
      <c r="C43" s="91">
        <v>2.3576000000000001</v>
      </c>
      <c r="D43" s="91">
        <f>I43*2</f>
        <v>1.8</v>
      </c>
      <c r="E43" s="91">
        <v>22.5</v>
      </c>
      <c r="F43" s="91">
        <v>28</v>
      </c>
      <c r="G43" s="91">
        <f t="shared" si="0"/>
        <v>23.340240000000001</v>
      </c>
      <c r="H43" s="91"/>
      <c r="I43" s="91">
        <v>0.9</v>
      </c>
    </row>
    <row r="44" spans="1:9" x14ac:dyDescent="0.25">
      <c r="A44" s="106"/>
      <c r="B44" s="91" t="s">
        <v>529</v>
      </c>
      <c r="C44" s="91">
        <v>1.6048</v>
      </c>
      <c r="D44" s="91">
        <f>I44*2</f>
        <v>1.8</v>
      </c>
      <c r="E44" s="91">
        <v>22.5</v>
      </c>
      <c r="F44" s="91">
        <v>24</v>
      </c>
      <c r="G44" s="91">
        <f t="shared" si="0"/>
        <v>4.3329599999999999</v>
      </c>
      <c r="H44" s="91"/>
      <c r="I44" s="91">
        <v>0.9</v>
      </c>
    </row>
    <row r="45" spans="1:9" x14ac:dyDescent="0.25">
      <c r="A45" s="106" t="s">
        <v>559</v>
      </c>
      <c r="B45" s="91" t="s">
        <v>381</v>
      </c>
      <c r="C45" s="91">
        <v>1.5625</v>
      </c>
      <c r="D45" s="91">
        <f>I45*2</f>
        <v>1.2</v>
      </c>
      <c r="E45" s="91">
        <v>22.5</v>
      </c>
      <c r="F45" s="91">
        <v>24</v>
      </c>
      <c r="G45" s="91">
        <f t="shared" si="0"/>
        <v>2.8125</v>
      </c>
      <c r="H45" s="91"/>
      <c r="I45" s="91">
        <v>0.6</v>
      </c>
    </row>
    <row r="46" spans="1:9" x14ac:dyDescent="0.25">
      <c r="A46" s="106"/>
      <c r="B46" s="91" t="s">
        <v>383</v>
      </c>
      <c r="C46" s="91">
        <v>1.5625</v>
      </c>
      <c r="D46" s="91">
        <f>I46*2</f>
        <v>1.2</v>
      </c>
      <c r="E46" s="91">
        <v>22.5</v>
      </c>
      <c r="F46" s="91">
        <v>24</v>
      </c>
      <c r="G46" s="91">
        <f t="shared" si="0"/>
        <v>2.8125</v>
      </c>
      <c r="H46" s="91"/>
      <c r="I46" s="91">
        <v>0.6</v>
      </c>
    </row>
    <row r="47" spans="1:9" x14ac:dyDescent="0.25">
      <c r="A47" s="106"/>
      <c r="B47" s="91" t="s">
        <v>560</v>
      </c>
      <c r="C47" s="91">
        <v>2.3576000000000001</v>
      </c>
      <c r="D47" s="91">
        <f>I47*2</f>
        <v>1.8</v>
      </c>
      <c r="E47" s="91">
        <v>22.5</v>
      </c>
      <c r="F47" s="91">
        <v>24</v>
      </c>
      <c r="G47" s="91">
        <f t="shared" si="0"/>
        <v>6.3655200000000001</v>
      </c>
      <c r="H47" s="91"/>
      <c r="I47" s="91">
        <v>0.9</v>
      </c>
    </row>
    <row r="48" spans="1:9" x14ac:dyDescent="0.25">
      <c r="A48" s="106"/>
      <c r="B48" s="91" t="s">
        <v>527</v>
      </c>
      <c r="C48" s="91">
        <v>2.3576000000000001</v>
      </c>
      <c r="D48" s="91">
        <f>I48*2</f>
        <v>2.4</v>
      </c>
      <c r="E48" s="91">
        <v>22.5</v>
      </c>
      <c r="F48" s="91">
        <v>28</v>
      </c>
      <c r="G48" s="91">
        <f t="shared" si="0"/>
        <v>31.12032</v>
      </c>
      <c r="H48" s="91"/>
      <c r="I48" s="91">
        <v>1.2</v>
      </c>
    </row>
    <row r="49" spans="1:9" x14ac:dyDescent="0.25">
      <c r="A49" s="106"/>
      <c r="B49" s="91" t="s">
        <v>527</v>
      </c>
      <c r="C49" s="91">
        <v>2.3576000000000001</v>
      </c>
      <c r="D49" s="91">
        <f>I49*2</f>
        <v>2.4</v>
      </c>
      <c r="E49" s="91">
        <v>22.5</v>
      </c>
      <c r="F49" s="91">
        <v>28</v>
      </c>
      <c r="G49" s="91">
        <f t="shared" si="0"/>
        <v>31.12032</v>
      </c>
      <c r="H49" s="91"/>
      <c r="I49" s="91">
        <v>1.2</v>
      </c>
    </row>
    <row r="50" spans="1:9" x14ac:dyDescent="0.25">
      <c r="A50" s="106"/>
      <c r="B50" s="91" t="s">
        <v>527</v>
      </c>
      <c r="C50" s="91">
        <v>2.3576000000000001</v>
      </c>
      <c r="D50" s="91">
        <f>I50*2</f>
        <v>2.4</v>
      </c>
      <c r="E50" s="91">
        <v>22.5</v>
      </c>
      <c r="F50" s="91">
        <v>28</v>
      </c>
      <c r="G50" s="91">
        <f t="shared" si="0"/>
        <v>31.12032</v>
      </c>
      <c r="H50" s="91"/>
      <c r="I50" s="91">
        <v>1.2</v>
      </c>
    </row>
    <row r="51" spans="1:9" x14ac:dyDescent="0.25">
      <c r="A51" s="106"/>
      <c r="B51" s="91" t="s">
        <v>561</v>
      </c>
      <c r="C51" s="91">
        <v>1.5625</v>
      </c>
      <c r="D51" s="91">
        <f>I51*2</f>
        <v>2.4</v>
      </c>
      <c r="E51" s="91">
        <v>22.5</v>
      </c>
      <c r="F51" s="91">
        <v>24</v>
      </c>
      <c r="G51" s="91">
        <f t="shared" si="0"/>
        <v>5.625</v>
      </c>
      <c r="H51" s="91"/>
      <c r="I51" s="91">
        <v>1.2</v>
      </c>
    </row>
    <row r="52" spans="1:9" x14ac:dyDescent="0.25">
      <c r="A52" s="83"/>
      <c r="B52" s="91" t="s">
        <v>529</v>
      </c>
      <c r="C52" s="91">
        <v>1.6048</v>
      </c>
      <c r="D52" s="91">
        <f>I52*2</f>
        <v>1.6</v>
      </c>
      <c r="E52" s="91">
        <v>22.5</v>
      </c>
      <c r="F52" s="91">
        <v>24</v>
      </c>
      <c r="G52" s="91">
        <f t="shared" si="0"/>
        <v>3.8515200000000003</v>
      </c>
      <c r="H52" s="91"/>
      <c r="I52" s="91">
        <v>0.8</v>
      </c>
    </row>
    <row r="53" spans="1:9" x14ac:dyDescent="0.25">
      <c r="A53" s="83"/>
      <c r="B53" s="91" t="s">
        <v>527</v>
      </c>
      <c r="C53" s="91">
        <v>2.3576000000000001</v>
      </c>
      <c r="D53" s="91">
        <f>I53*2</f>
        <v>4</v>
      </c>
      <c r="E53" s="91">
        <v>24</v>
      </c>
      <c r="F53" s="91">
        <v>28</v>
      </c>
      <c r="G53" s="91">
        <f t="shared" si="0"/>
        <v>37.721600000000002</v>
      </c>
      <c r="H53" s="91"/>
      <c r="I53" s="91">
        <v>2</v>
      </c>
    </row>
    <row r="54" spans="1:9" x14ac:dyDescent="0.25">
      <c r="A54" s="106" t="s">
        <v>562</v>
      </c>
      <c r="B54" s="91" t="s">
        <v>527</v>
      </c>
      <c r="C54" s="91">
        <v>2.3576000000000001</v>
      </c>
      <c r="D54" s="91">
        <f>I54*2</f>
        <v>2.4</v>
      </c>
      <c r="E54" s="91">
        <v>22.5</v>
      </c>
      <c r="F54" s="91">
        <v>28</v>
      </c>
      <c r="G54" s="91">
        <f t="shared" si="0"/>
        <v>31.12032</v>
      </c>
      <c r="H54" s="91"/>
      <c r="I54" s="91">
        <v>1.2</v>
      </c>
    </row>
    <row r="55" spans="1:9" x14ac:dyDescent="0.25">
      <c r="A55" s="106"/>
      <c r="B55" s="91" t="s">
        <v>544</v>
      </c>
      <c r="C55" s="91">
        <v>1.6048</v>
      </c>
      <c r="D55" s="91">
        <f>I55*2</f>
        <v>1.8</v>
      </c>
      <c r="E55" s="91">
        <v>22.5</v>
      </c>
      <c r="F55" s="91">
        <v>24</v>
      </c>
      <c r="G55" s="91">
        <f t="shared" si="0"/>
        <v>4.3329599999999999</v>
      </c>
      <c r="H55" s="91"/>
      <c r="I55" s="91">
        <v>0.9</v>
      </c>
    </row>
    <row r="59" spans="1:9" x14ac:dyDescent="0.25">
      <c r="A59" s="5" t="s">
        <v>20</v>
      </c>
      <c r="B59" s="5" t="s">
        <v>563</v>
      </c>
      <c r="C59" s="5" t="s">
        <v>2</v>
      </c>
      <c r="D59" s="5" t="s">
        <v>54</v>
      </c>
      <c r="E59" s="5" t="s">
        <v>7</v>
      </c>
      <c r="F59" s="5" t="s">
        <v>13</v>
      </c>
      <c r="G59" s="5" t="s">
        <v>24</v>
      </c>
      <c r="H59" s="91"/>
      <c r="I59" s="91"/>
    </row>
    <row r="60" spans="1:9" x14ac:dyDescent="0.25">
      <c r="A60" s="106" t="s">
        <v>564</v>
      </c>
      <c r="B60" s="91" t="s">
        <v>527</v>
      </c>
      <c r="C60" s="91">
        <v>2.3576000000000001</v>
      </c>
      <c r="D60" s="91">
        <f>2*I60</f>
        <v>2.4</v>
      </c>
      <c r="E60" s="91">
        <v>22.5</v>
      </c>
      <c r="F60" s="91">
        <v>28</v>
      </c>
      <c r="G60" s="91">
        <f>C60*D60*(F60-E60)</f>
        <v>31.12032</v>
      </c>
      <c r="H60" s="91"/>
      <c r="I60" s="91">
        <v>1.2</v>
      </c>
    </row>
    <row r="61" spans="1:9" x14ac:dyDescent="0.25">
      <c r="A61" s="106"/>
      <c r="B61" s="91" t="s">
        <v>529</v>
      </c>
      <c r="C61" s="91">
        <v>1.6048</v>
      </c>
      <c r="D61" s="91">
        <f>2*I61</f>
        <v>1.4</v>
      </c>
      <c r="E61" s="91">
        <v>22.5</v>
      </c>
      <c r="F61" s="91">
        <v>24</v>
      </c>
      <c r="G61" s="91">
        <f t="shared" ref="G61:G123" si="1">C61*D61*(F61-E61)</f>
        <v>3.3700799999999997</v>
      </c>
      <c r="H61" s="91"/>
      <c r="I61" s="91">
        <v>0.7</v>
      </c>
    </row>
    <row r="62" spans="1:9" x14ac:dyDescent="0.25">
      <c r="A62" s="106" t="s">
        <v>564</v>
      </c>
      <c r="B62" s="91" t="s">
        <v>527</v>
      </c>
      <c r="C62" s="91">
        <v>2.3576000000000001</v>
      </c>
      <c r="D62" s="91">
        <f>2*I62</f>
        <v>2.4</v>
      </c>
      <c r="E62" s="91">
        <v>22.5</v>
      </c>
      <c r="F62" s="91">
        <v>28</v>
      </c>
      <c r="G62" s="91">
        <f t="shared" si="1"/>
        <v>31.12032</v>
      </c>
      <c r="H62" s="91"/>
      <c r="I62" s="91">
        <v>1.2</v>
      </c>
    </row>
    <row r="63" spans="1:9" x14ac:dyDescent="0.25">
      <c r="A63" s="106"/>
      <c r="B63" s="91" t="s">
        <v>529</v>
      </c>
      <c r="C63" s="91">
        <v>1.6048</v>
      </c>
      <c r="D63" s="91">
        <f>2*I63</f>
        <v>1.4</v>
      </c>
      <c r="E63" s="91">
        <v>22.5</v>
      </c>
      <c r="F63" s="91">
        <v>24</v>
      </c>
      <c r="G63" s="91">
        <f t="shared" si="1"/>
        <v>3.3700799999999997</v>
      </c>
      <c r="H63" s="91"/>
      <c r="I63" s="91">
        <v>0.7</v>
      </c>
    </row>
    <row r="64" spans="1:9" x14ac:dyDescent="0.25">
      <c r="A64" s="106" t="s">
        <v>564</v>
      </c>
      <c r="B64" s="91" t="s">
        <v>527</v>
      </c>
      <c r="C64" s="91">
        <v>2.3576000000000001</v>
      </c>
      <c r="D64" s="91">
        <f>2*I64</f>
        <v>2.4</v>
      </c>
      <c r="E64" s="91">
        <v>22.5</v>
      </c>
      <c r="F64" s="91">
        <v>28</v>
      </c>
      <c r="G64" s="91">
        <f t="shared" si="1"/>
        <v>31.12032</v>
      </c>
      <c r="H64" s="91"/>
      <c r="I64" s="91">
        <v>1.2</v>
      </c>
    </row>
    <row r="65" spans="1:9" x14ac:dyDescent="0.25">
      <c r="A65" s="106"/>
      <c r="B65" s="91" t="s">
        <v>529</v>
      </c>
      <c r="C65" s="91">
        <v>1.6048</v>
      </c>
      <c r="D65" s="91">
        <f>2*I65</f>
        <v>1.4</v>
      </c>
      <c r="E65" s="91">
        <v>22.5</v>
      </c>
      <c r="F65" s="91">
        <v>24</v>
      </c>
      <c r="G65" s="91">
        <f t="shared" si="1"/>
        <v>3.3700799999999997</v>
      </c>
      <c r="H65" s="91"/>
      <c r="I65" s="91">
        <v>0.7</v>
      </c>
    </row>
    <row r="66" spans="1:9" x14ac:dyDescent="0.25">
      <c r="A66" s="106" t="s">
        <v>564</v>
      </c>
      <c r="B66" s="91" t="s">
        <v>527</v>
      </c>
      <c r="C66" s="91">
        <v>2.3576000000000001</v>
      </c>
      <c r="D66" s="91">
        <f>2*I66</f>
        <v>2.4</v>
      </c>
      <c r="E66" s="91">
        <v>22.5</v>
      </c>
      <c r="F66" s="91">
        <v>28</v>
      </c>
      <c r="G66" s="91">
        <f t="shared" si="1"/>
        <v>31.12032</v>
      </c>
      <c r="H66" s="91"/>
      <c r="I66" s="91">
        <v>1.2</v>
      </c>
    </row>
    <row r="67" spans="1:9" x14ac:dyDescent="0.25">
      <c r="A67" s="106"/>
      <c r="B67" s="91" t="s">
        <v>529</v>
      </c>
      <c r="C67" s="91">
        <v>1.6048</v>
      </c>
      <c r="D67" s="91">
        <f>2*I67</f>
        <v>1.4</v>
      </c>
      <c r="E67" s="91">
        <v>22.5</v>
      </c>
      <c r="F67" s="91">
        <v>24</v>
      </c>
      <c r="G67" s="91">
        <f t="shared" si="1"/>
        <v>3.3700799999999997</v>
      </c>
      <c r="H67" s="91"/>
      <c r="I67" s="91">
        <v>0.7</v>
      </c>
    </row>
    <row r="68" spans="1:9" x14ac:dyDescent="0.25">
      <c r="A68" s="106" t="s">
        <v>565</v>
      </c>
      <c r="B68" s="91" t="s">
        <v>527</v>
      </c>
      <c r="C68" s="91">
        <v>2.3576000000000001</v>
      </c>
      <c r="D68" s="91">
        <f>2*I68</f>
        <v>2.4</v>
      </c>
      <c r="E68" s="91">
        <v>22.5</v>
      </c>
      <c r="F68" s="91">
        <v>28</v>
      </c>
      <c r="G68" s="91">
        <f t="shared" si="1"/>
        <v>31.12032</v>
      </c>
      <c r="H68" s="91"/>
      <c r="I68" s="91">
        <v>1.2</v>
      </c>
    </row>
    <row r="69" spans="1:9" x14ac:dyDescent="0.25">
      <c r="A69" s="106"/>
      <c r="B69" s="91" t="s">
        <v>529</v>
      </c>
      <c r="C69" s="91">
        <v>1.6048</v>
      </c>
      <c r="D69" s="91">
        <f>2*I69</f>
        <v>1.4</v>
      </c>
      <c r="E69" s="91">
        <v>22.5</v>
      </c>
      <c r="F69" s="91">
        <v>24</v>
      </c>
      <c r="G69" s="91">
        <f t="shared" si="1"/>
        <v>3.3700799999999997</v>
      </c>
      <c r="H69" s="91"/>
      <c r="I69" s="91">
        <v>0.7</v>
      </c>
    </row>
    <row r="70" spans="1:9" x14ac:dyDescent="0.25">
      <c r="A70" s="106" t="s">
        <v>566</v>
      </c>
      <c r="B70" s="91" t="s">
        <v>527</v>
      </c>
      <c r="C70" s="91">
        <v>2.3576000000000001</v>
      </c>
      <c r="D70" s="91">
        <f>2*I70</f>
        <v>2.4</v>
      </c>
      <c r="E70" s="91">
        <v>22.5</v>
      </c>
      <c r="F70" s="91">
        <v>28</v>
      </c>
      <c r="G70" s="91">
        <f t="shared" si="1"/>
        <v>31.12032</v>
      </c>
      <c r="H70" s="91"/>
      <c r="I70" s="91">
        <v>1.2</v>
      </c>
    </row>
    <row r="71" spans="1:9" x14ac:dyDescent="0.25">
      <c r="A71" s="106"/>
      <c r="B71" s="91" t="s">
        <v>529</v>
      </c>
      <c r="C71" s="91">
        <v>1.6048</v>
      </c>
      <c r="D71" s="91">
        <f>2*I71</f>
        <v>1.4</v>
      </c>
      <c r="E71" s="91">
        <v>22.5</v>
      </c>
      <c r="F71" s="91">
        <v>24</v>
      </c>
      <c r="G71" s="91">
        <f t="shared" si="1"/>
        <v>3.3700799999999997</v>
      </c>
      <c r="H71" s="91"/>
      <c r="I71" s="91">
        <v>0.7</v>
      </c>
    </row>
    <row r="72" spans="1:9" x14ac:dyDescent="0.25">
      <c r="A72" s="106" t="s">
        <v>567</v>
      </c>
      <c r="B72" s="91" t="s">
        <v>527</v>
      </c>
      <c r="C72" s="91">
        <v>2.3576000000000001</v>
      </c>
      <c r="D72" s="91">
        <f>2*I72</f>
        <v>2.4</v>
      </c>
      <c r="E72" s="91">
        <v>22.5</v>
      </c>
      <c r="F72" s="91">
        <v>28</v>
      </c>
      <c r="G72" s="91">
        <f t="shared" si="1"/>
        <v>31.12032</v>
      </c>
      <c r="H72" s="91"/>
      <c r="I72" s="91">
        <v>1.2</v>
      </c>
    </row>
    <row r="73" spans="1:9" x14ac:dyDescent="0.25">
      <c r="A73" s="106"/>
      <c r="B73" s="91" t="s">
        <v>529</v>
      </c>
      <c r="C73" s="91">
        <v>1.6048</v>
      </c>
      <c r="D73" s="91">
        <f>2*I73</f>
        <v>1.4</v>
      </c>
      <c r="E73" s="91">
        <v>22.5</v>
      </c>
      <c r="F73" s="91">
        <v>24</v>
      </c>
      <c r="G73" s="91">
        <f t="shared" si="1"/>
        <v>3.3700799999999997</v>
      </c>
      <c r="H73" s="91"/>
      <c r="I73" s="91">
        <v>0.7</v>
      </c>
    </row>
    <row r="74" spans="1:9" x14ac:dyDescent="0.25">
      <c r="A74" s="83" t="s">
        <v>568</v>
      </c>
      <c r="B74" s="91" t="s">
        <v>527</v>
      </c>
      <c r="C74" s="91">
        <v>2.3576000000000001</v>
      </c>
      <c r="D74" s="91">
        <f>2*I74</f>
        <v>1.8</v>
      </c>
      <c r="E74" s="91">
        <v>22.5</v>
      </c>
      <c r="F74" s="91">
        <v>28</v>
      </c>
      <c r="G74" s="91">
        <f t="shared" si="1"/>
        <v>23.340240000000001</v>
      </c>
      <c r="H74" s="91"/>
      <c r="I74" s="91">
        <v>0.9</v>
      </c>
    </row>
    <row r="75" spans="1:9" x14ac:dyDescent="0.25">
      <c r="A75" s="83" t="s">
        <v>569</v>
      </c>
      <c r="B75" s="91" t="s">
        <v>527</v>
      </c>
      <c r="C75" s="91">
        <v>2.3576000000000001</v>
      </c>
      <c r="D75" s="91">
        <f>2*I75</f>
        <v>2.4</v>
      </c>
      <c r="E75" s="91">
        <v>22.5</v>
      </c>
      <c r="F75" s="91">
        <v>28</v>
      </c>
      <c r="G75" s="91">
        <f t="shared" si="1"/>
        <v>31.12032</v>
      </c>
      <c r="H75" s="91"/>
      <c r="I75" s="91">
        <v>1.2</v>
      </c>
    </row>
    <row r="76" spans="1:9" x14ac:dyDescent="0.25">
      <c r="A76" s="83" t="s">
        <v>570</v>
      </c>
      <c r="B76" s="91" t="s">
        <v>527</v>
      </c>
      <c r="C76" s="91">
        <v>2.3576000000000001</v>
      </c>
      <c r="D76" s="91">
        <f>2*I76</f>
        <v>1.2</v>
      </c>
      <c r="E76" s="91">
        <v>24</v>
      </c>
      <c r="F76" s="91">
        <v>28</v>
      </c>
      <c r="G76" s="91">
        <f t="shared" si="1"/>
        <v>11.31648</v>
      </c>
      <c r="H76" s="91"/>
      <c r="I76" s="91">
        <v>0.6</v>
      </c>
    </row>
    <row r="77" spans="1:9" x14ac:dyDescent="0.25">
      <c r="A77" s="83" t="s">
        <v>571</v>
      </c>
      <c r="B77" s="91" t="s">
        <v>527</v>
      </c>
      <c r="C77" s="91">
        <v>2.3576000000000001</v>
      </c>
      <c r="D77" s="91">
        <f>2*I77</f>
        <v>1.2</v>
      </c>
      <c r="E77" s="91">
        <v>24</v>
      </c>
      <c r="F77" s="91">
        <v>28</v>
      </c>
      <c r="G77" s="91">
        <f t="shared" si="1"/>
        <v>11.31648</v>
      </c>
      <c r="H77" s="91"/>
      <c r="I77" s="91">
        <v>0.6</v>
      </c>
    </row>
    <row r="78" spans="1:9" x14ac:dyDescent="0.25">
      <c r="A78" s="83" t="s">
        <v>529</v>
      </c>
      <c r="B78" s="91" t="s">
        <v>527</v>
      </c>
      <c r="C78" s="91">
        <v>2.3576000000000001</v>
      </c>
      <c r="D78" s="91">
        <f>2*I78</f>
        <v>1.2</v>
      </c>
      <c r="E78" s="91">
        <v>24</v>
      </c>
      <c r="F78" s="91">
        <v>28</v>
      </c>
      <c r="G78" s="91">
        <f t="shared" si="1"/>
        <v>11.31648</v>
      </c>
      <c r="H78" s="91"/>
      <c r="I78" s="91">
        <v>0.6</v>
      </c>
    </row>
    <row r="79" spans="1:9" x14ac:dyDescent="0.25">
      <c r="A79" s="83"/>
      <c r="B79" s="91" t="s">
        <v>529</v>
      </c>
      <c r="C79" s="91">
        <v>1.6048</v>
      </c>
      <c r="D79" s="91">
        <f>2*I79</f>
        <v>1.4</v>
      </c>
      <c r="E79" s="91">
        <v>22.5</v>
      </c>
      <c r="F79" s="91">
        <v>24</v>
      </c>
      <c r="G79" s="91">
        <f t="shared" si="1"/>
        <v>3.3700799999999997</v>
      </c>
      <c r="H79" s="91"/>
      <c r="I79" s="91">
        <v>0.7</v>
      </c>
    </row>
    <row r="80" spans="1:9" x14ac:dyDescent="0.25">
      <c r="A80" s="83" t="s">
        <v>572</v>
      </c>
      <c r="B80" s="91" t="s">
        <v>527</v>
      </c>
      <c r="C80" s="91">
        <v>2.3576000000000001</v>
      </c>
      <c r="D80" s="91">
        <f>2*I80</f>
        <v>2.4</v>
      </c>
      <c r="E80" s="91">
        <v>22.5</v>
      </c>
      <c r="F80" s="91">
        <v>28</v>
      </c>
      <c r="G80" s="91">
        <f t="shared" si="1"/>
        <v>31.12032</v>
      </c>
      <c r="H80" s="91"/>
      <c r="I80" s="91">
        <v>1.2</v>
      </c>
    </row>
    <row r="81" spans="1:9" x14ac:dyDescent="0.25">
      <c r="A81" s="83"/>
      <c r="B81" s="91" t="s">
        <v>529</v>
      </c>
      <c r="C81" s="91">
        <v>1.6048</v>
      </c>
      <c r="D81" s="91">
        <f>2*I81</f>
        <v>1.4</v>
      </c>
      <c r="E81" s="91">
        <v>22.5</v>
      </c>
      <c r="F81" s="91">
        <v>24</v>
      </c>
      <c r="G81" s="91">
        <f t="shared" si="1"/>
        <v>3.3700799999999997</v>
      </c>
      <c r="H81" s="91"/>
      <c r="I81" s="91">
        <v>0.7</v>
      </c>
    </row>
    <row r="82" spans="1:9" x14ac:dyDescent="0.25">
      <c r="A82" s="106" t="s">
        <v>573</v>
      </c>
      <c r="B82" s="91" t="s">
        <v>527</v>
      </c>
      <c r="C82" s="91">
        <v>2.3576000000000001</v>
      </c>
      <c r="D82" s="91">
        <f>2*I82</f>
        <v>2.4</v>
      </c>
      <c r="E82" s="91">
        <v>22.5</v>
      </c>
      <c r="F82" s="91">
        <v>28</v>
      </c>
      <c r="G82" s="91">
        <f t="shared" si="1"/>
        <v>31.12032</v>
      </c>
      <c r="H82" s="91"/>
      <c r="I82" s="91">
        <v>1.2</v>
      </c>
    </row>
    <row r="83" spans="1:9" x14ac:dyDescent="0.25">
      <c r="A83" s="106"/>
      <c r="B83" s="91" t="s">
        <v>529</v>
      </c>
      <c r="C83" s="91">
        <v>1.6048</v>
      </c>
      <c r="D83" s="91">
        <f>2*I83</f>
        <v>1.4</v>
      </c>
      <c r="E83" s="91">
        <v>22.5</v>
      </c>
      <c r="F83" s="91">
        <v>24</v>
      </c>
      <c r="G83" s="91">
        <f t="shared" si="1"/>
        <v>3.3700799999999997</v>
      </c>
      <c r="H83" s="91"/>
      <c r="I83" s="91">
        <v>0.7</v>
      </c>
    </row>
    <row r="84" spans="1:9" x14ac:dyDescent="0.25">
      <c r="A84" s="83" t="s">
        <v>574</v>
      </c>
      <c r="B84" s="91" t="s">
        <v>527</v>
      </c>
      <c r="C84" s="91">
        <v>2.3576000000000001</v>
      </c>
      <c r="D84" s="91">
        <f>2*I84</f>
        <v>1.6</v>
      </c>
      <c r="E84" s="91">
        <v>22.5</v>
      </c>
      <c r="F84" s="91">
        <v>28</v>
      </c>
      <c r="G84" s="91">
        <f t="shared" si="1"/>
        <v>20.746880000000001</v>
      </c>
      <c r="H84" s="91"/>
      <c r="I84" s="91">
        <v>0.8</v>
      </c>
    </row>
    <row r="85" spans="1:9" x14ac:dyDescent="0.25">
      <c r="A85" s="106" t="s">
        <v>575</v>
      </c>
      <c r="B85" s="91" t="s">
        <v>527</v>
      </c>
      <c r="C85" s="91">
        <v>2.3576000000000001</v>
      </c>
      <c r="D85" s="91">
        <f>2*I85</f>
        <v>1.8</v>
      </c>
      <c r="E85" s="91">
        <v>22.5</v>
      </c>
      <c r="F85" s="91">
        <v>28</v>
      </c>
      <c r="G85" s="91">
        <f t="shared" si="1"/>
        <v>23.340240000000001</v>
      </c>
      <c r="H85" s="91"/>
      <c r="I85" s="91">
        <v>0.9</v>
      </c>
    </row>
    <row r="86" spans="1:9" x14ac:dyDescent="0.25">
      <c r="A86" s="106"/>
      <c r="B86" s="91" t="s">
        <v>529</v>
      </c>
      <c r="C86" s="91">
        <v>1.6048</v>
      </c>
      <c r="D86" s="91">
        <f>2*I86</f>
        <v>1.2</v>
      </c>
      <c r="E86" s="91">
        <v>22.5</v>
      </c>
      <c r="F86" s="91">
        <v>24</v>
      </c>
      <c r="G86" s="91">
        <f t="shared" si="1"/>
        <v>2.8886399999999997</v>
      </c>
      <c r="H86" s="91"/>
      <c r="I86" s="91">
        <v>0.6</v>
      </c>
    </row>
    <row r="87" spans="1:9" x14ac:dyDescent="0.25">
      <c r="A87" s="83" t="s">
        <v>576</v>
      </c>
      <c r="B87" s="91" t="s">
        <v>527</v>
      </c>
      <c r="C87" s="91">
        <v>2.3576000000000001</v>
      </c>
      <c r="D87" s="91">
        <f>2*I87</f>
        <v>2.4</v>
      </c>
      <c r="E87" s="91">
        <v>22.5</v>
      </c>
      <c r="F87" s="91">
        <v>28</v>
      </c>
      <c r="G87" s="91">
        <f t="shared" si="1"/>
        <v>31.12032</v>
      </c>
      <c r="H87" s="91"/>
      <c r="I87" s="91">
        <v>1.2</v>
      </c>
    </row>
    <row r="88" spans="1:9" x14ac:dyDescent="0.25">
      <c r="A88" s="83"/>
      <c r="B88" s="91" t="s">
        <v>529</v>
      </c>
      <c r="C88" s="91">
        <v>1.6048</v>
      </c>
      <c r="D88" s="91">
        <f>2*I88</f>
        <v>1.4</v>
      </c>
      <c r="E88" s="91">
        <v>22.5</v>
      </c>
      <c r="F88" s="91">
        <v>24</v>
      </c>
      <c r="G88" s="91">
        <f t="shared" si="1"/>
        <v>3.3700799999999997</v>
      </c>
      <c r="H88" s="91"/>
      <c r="I88" s="91">
        <v>0.7</v>
      </c>
    </row>
    <row r="89" spans="1:9" x14ac:dyDescent="0.25">
      <c r="A89" s="83" t="s">
        <v>576</v>
      </c>
      <c r="B89" s="91" t="s">
        <v>527</v>
      </c>
      <c r="C89" s="91">
        <v>2.3576000000000001</v>
      </c>
      <c r="D89" s="91">
        <f>2*I89</f>
        <v>2.4</v>
      </c>
      <c r="E89" s="91">
        <v>22.5</v>
      </c>
      <c r="F89" s="91">
        <v>28</v>
      </c>
      <c r="G89" s="91">
        <f t="shared" si="1"/>
        <v>31.12032</v>
      </c>
      <c r="H89" s="91"/>
      <c r="I89" s="91">
        <v>1.2</v>
      </c>
    </row>
    <row r="90" spans="1:9" x14ac:dyDescent="0.25">
      <c r="A90" s="83"/>
      <c r="B90" s="91" t="s">
        <v>529</v>
      </c>
      <c r="C90" s="91">
        <v>1.6048</v>
      </c>
      <c r="D90" s="91">
        <f>2*I90</f>
        <v>1.4</v>
      </c>
      <c r="E90" s="91">
        <v>22.5</v>
      </c>
      <c r="F90" s="91">
        <v>24</v>
      </c>
      <c r="G90" s="91">
        <f t="shared" si="1"/>
        <v>3.3700799999999997</v>
      </c>
      <c r="H90" s="91"/>
      <c r="I90" s="91">
        <v>0.7</v>
      </c>
    </row>
    <row r="91" spans="1:9" x14ac:dyDescent="0.25">
      <c r="A91" s="106" t="s">
        <v>577</v>
      </c>
      <c r="B91" s="91" t="s">
        <v>527</v>
      </c>
      <c r="C91" s="91">
        <v>2.3576000000000001</v>
      </c>
      <c r="D91" s="91">
        <f>2*I91</f>
        <v>2.4</v>
      </c>
      <c r="E91" s="91">
        <v>22.5</v>
      </c>
      <c r="F91" s="91">
        <v>28</v>
      </c>
      <c r="G91" s="91">
        <f t="shared" si="1"/>
        <v>31.12032</v>
      </c>
      <c r="H91" s="91"/>
      <c r="I91" s="91">
        <v>1.2</v>
      </c>
    </row>
    <row r="92" spans="1:9" x14ac:dyDescent="0.25">
      <c r="A92" s="106"/>
      <c r="B92" s="91" t="s">
        <v>529</v>
      </c>
      <c r="C92" s="91">
        <v>1.6048</v>
      </c>
      <c r="D92" s="91">
        <f>2*I92</f>
        <v>1.4</v>
      </c>
      <c r="E92" s="91">
        <v>22.5</v>
      </c>
      <c r="F92" s="91">
        <v>24</v>
      </c>
      <c r="G92" s="91">
        <f t="shared" si="1"/>
        <v>3.3700799999999997</v>
      </c>
      <c r="H92" s="91"/>
      <c r="I92" s="91">
        <v>0.7</v>
      </c>
    </row>
    <row r="93" spans="1:9" x14ac:dyDescent="0.25">
      <c r="A93" s="106" t="s">
        <v>578</v>
      </c>
      <c r="B93" s="91" t="s">
        <v>527</v>
      </c>
      <c r="C93" s="91">
        <v>2.3576000000000001</v>
      </c>
      <c r="D93" s="91">
        <f>2*I93</f>
        <v>2.4</v>
      </c>
      <c r="E93" s="91">
        <v>22.5</v>
      </c>
      <c r="F93" s="91">
        <v>28</v>
      </c>
      <c r="G93" s="91">
        <f t="shared" si="1"/>
        <v>31.12032</v>
      </c>
      <c r="H93" s="91"/>
      <c r="I93" s="91">
        <v>1.2</v>
      </c>
    </row>
    <row r="94" spans="1:9" x14ac:dyDescent="0.25">
      <c r="A94" s="106"/>
      <c r="B94" s="91" t="s">
        <v>529</v>
      </c>
      <c r="C94" s="91">
        <v>1.6048</v>
      </c>
      <c r="D94" s="91">
        <f>2*I94</f>
        <v>1.4</v>
      </c>
      <c r="E94" s="91">
        <v>22.5</v>
      </c>
      <c r="F94" s="91">
        <v>24</v>
      </c>
      <c r="G94" s="91">
        <f t="shared" si="1"/>
        <v>3.3700799999999997</v>
      </c>
      <c r="H94" s="91"/>
      <c r="I94" s="91">
        <v>0.7</v>
      </c>
    </row>
    <row r="95" spans="1:9" x14ac:dyDescent="0.25">
      <c r="A95" s="83" t="s">
        <v>579</v>
      </c>
      <c r="B95" s="91" t="s">
        <v>527</v>
      </c>
      <c r="C95" s="91">
        <v>2.3576000000000001</v>
      </c>
      <c r="D95" s="91">
        <f>2*I95</f>
        <v>2</v>
      </c>
      <c r="E95" s="91">
        <v>22.5</v>
      </c>
      <c r="F95" s="91">
        <v>28</v>
      </c>
      <c r="G95" s="91">
        <f t="shared" si="1"/>
        <v>25.933600000000002</v>
      </c>
      <c r="H95" s="91"/>
      <c r="I95" s="91">
        <v>1</v>
      </c>
    </row>
    <row r="96" spans="1:9" x14ac:dyDescent="0.25">
      <c r="A96" s="83" t="s">
        <v>576</v>
      </c>
      <c r="B96" s="91" t="s">
        <v>527</v>
      </c>
      <c r="C96" s="91">
        <v>2.3576000000000001</v>
      </c>
      <c r="D96" s="91">
        <f>2*I96</f>
        <v>2.4</v>
      </c>
      <c r="E96" s="91">
        <v>22.5</v>
      </c>
      <c r="F96" s="91">
        <v>28</v>
      </c>
      <c r="G96" s="91">
        <f t="shared" si="1"/>
        <v>31.12032</v>
      </c>
      <c r="H96" s="91"/>
      <c r="I96" s="91">
        <v>1.2</v>
      </c>
    </row>
    <row r="97" spans="1:9" x14ac:dyDescent="0.25">
      <c r="A97" s="83"/>
      <c r="B97" s="91" t="s">
        <v>529</v>
      </c>
      <c r="C97" s="91">
        <v>1.6048</v>
      </c>
      <c r="D97" s="91">
        <f>2*I97</f>
        <v>1.4</v>
      </c>
      <c r="E97" s="91">
        <v>22.5</v>
      </c>
      <c r="F97" s="91">
        <v>24</v>
      </c>
      <c r="G97" s="91">
        <f t="shared" si="1"/>
        <v>3.3700799999999997</v>
      </c>
      <c r="H97" s="91"/>
      <c r="I97" s="91">
        <v>0.7</v>
      </c>
    </row>
    <row r="98" spans="1:9" x14ac:dyDescent="0.25">
      <c r="A98" s="83" t="s">
        <v>576</v>
      </c>
      <c r="B98" s="91" t="s">
        <v>527</v>
      </c>
      <c r="C98" s="91">
        <v>2.3576000000000001</v>
      </c>
      <c r="D98" s="91">
        <f>2*I98</f>
        <v>2.4</v>
      </c>
      <c r="E98" s="91">
        <v>22.5</v>
      </c>
      <c r="F98" s="91">
        <v>28</v>
      </c>
      <c r="G98" s="91">
        <f t="shared" si="1"/>
        <v>31.12032</v>
      </c>
      <c r="H98" s="91"/>
      <c r="I98" s="91">
        <v>1.2</v>
      </c>
    </row>
    <row r="99" spans="1:9" x14ac:dyDescent="0.25">
      <c r="A99" s="83"/>
      <c r="B99" s="91" t="s">
        <v>529</v>
      </c>
      <c r="C99" s="91">
        <v>1.6048</v>
      </c>
      <c r="D99" s="91">
        <f>2*I99</f>
        <v>1.4</v>
      </c>
      <c r="E99" s="91">
        <v>22.5</v>
      </c>
      <c r="F99" s="91">
        <v>24</v>
      </c>
      <c r="G99" s="91">
        <f t="shared" si="1"/>
        <v>3.3700799999999997</v>
      </c>
      <c r="H99" s="91"/>
      <c r="I99" s="91">
        <v>0.7</v>
      </c>
    </row>
    <row r="100" spans="1:9" x14ac:dyDescent="0.25">
      <c r="A100" s="83" t="s">
        <v>580</v>
      </c>
      <c r="B100" s="91" t="s">
        <v>527</v>
      </c>
      <c r="C100" s="91">
        <v>2.3576000000000001</v>
      </c>
      <c r="D100" s="91">
        <f>2*I100</f>
        <v>2.4</v>
      </c>
      <c r="E100" s="91">
        <v>22.5</v>
      </c>
      <c r="F100" s="91">
        <v>28</v>
      </c>
      <c r="G100" s="91">
        <f t="shared" si="1"/>
        <v>31.12032</v>
      </c>
      <c r="H100" s="91"/>
      <c r="I100" s="91">
        <v>1.2</v>
      </c>
    </row>
    <row r="101" spans="1:9" x14ac:dyDescent="0.25">
      <c r="A101" s="83"/>
      <c r="B101" s="91" t="s">
        <v>529</v>
      </c>
      <c r="C101" s="91">
        <v>1.6048</v>
      </c>
      <c r="D101" s="91">
        <f>2*I101</f>
        <v>1.4</v>
      </c>
      <c r="E101" s="91">
        <v>22.5</v>
      </c>
      <c r="F101" s="91">
        <v>24</v>
      </c>
      <c r="G101" s="91">
        <f t="shared" si="1"/>
        <v>3.3700799999999997</v>
      </c>
      <c r="H101" s="91"/>
      <c r="I101" s="91">
        <v>0.7</v>
      </c>
    </row>
    <row r="102" spans="1:9" x14ac:dyDescent="0.25">
      <c r="A102" s="83" t="s">
        <v>581</v>
      </c>
      <c r="B102" s="91" t="s">
        <v>527</v>
      </c>
      <c r="C102" s="91">
        <v>2.3576000000000001</v>
      </c>
      <c r="D102" s="91">
        <f>2*I102</f>
        <v>2.4</v>
      </c>
      <c r="E102" s="91">
        <v>22.5</v>
      </c>
      <c r="F102" s="91">
        <v>28</v>
      </c>
      <c r="G102" s="91">
        <f t="shared" si="1"/>
        <v>31.12032</v>
      </c>
      <c r="H102" s="91"/>
      <c r="I102" s="91">
        <v>1.2</v>
      </c>
    </row>
    <row r="103" spans="1:9" x14ac:dyDescent="0.25">
      <c r="A103" s="83"/>
      <c r="B103" s="91" t="s">
        <v>529</v>
      </c>
      <c r="C103" s="91">
        <v>1.6048</v>
      </c>
      <c r="D103" s="91">
        <f>2*I103</f>
        <v>1.4</v>
      </c>
      <c r="E103" s="91">
        <v>22.5</v>
      </c>
      <c r="F103" s="91">
        <v>24</v>
      </c>
      <c r="G103" s="91">
        <f t="shared" si="1"/>
        <v>3.3700799999999997</v>
      </c>
      <c r="H103" s="91"/>
      <c r="I103" s="91">
        <v>0.7</v>
      </c>
    </row>
    <row r="104" spans="1:9" x14ac:dyDescent="0.25">
      <c r="A104" s="106" t="s">
        <v>582</v>
      </c>
      <c r="B104" s="91" t="s">
        <v>527</v>
      </c>
      <c r="C104" s="91">
        <v>2.3576000000000001</v>
      </c>
      <c r="D104" s="91">
        <f>2*I104</f>
        <v>1.8</v>
      </c>
      <c r="E104" s="91">
        <v>22.5</v>
      </c>
      <c r="F104" s="91">
        <v>28</v>
      </c>
      <c r="G104" s="91">
        <f t="shared" si="1"/>
        <v>23.340240000000001</v>
      </c>
      <c r="H104" s="91"/>
      <c r="I104" s="91">
        <v>0.9</v>
      </c>
    </row>
    <row r="105" spans="1:9" x14ac:dyDescent="0.25">
      <c r="A105" s="106"/>
      <c r="B105" s="91" t="s">
        <v>529</v>
      </c>
      <c r="C105" s="91">
        <v>1.6048</v>
      </c>
      <c r="D105" s="91">
        <f>2*I105</f>
        <v>1.2</v>
      </c>
      <c r="E105" s="91">
        <v>22.5</v>
      </c>
      <c r="F105" s="91">
        <v>24</v>
      </c>
      <c r="G105" s="91">
        <f t="shared" si="1"/>
        <v>2.8886399999999997</v>
      </c>
      <c r="H105" s="91"/>
      <c r="I105" s="91">
        <v>0.6</v>
      </c>
    </row>
    <row r="106" spans="1:9" x14ac:dyDescent="0.25">
      <c r="A106" s="83" t="s">
        <v>583</v>
      </c>
      <c r="B106" s="91" t="s">
        <v>527</v>
      </c>
      <c r="C106" s="91">
        <v>2.3576000000000001</v>
      </c>
      <c r="D106" s="91">
        <f>2*I106</f>
        <v>2</v>
      </c>
      <c r="E106" s="91">
        <v>22.5</v>
      </c>
      <c r="F106" s="91">
        <v>28</v>
      </c>
      <c r="G106" s="91">
        <f t="shared" si="1"/>
        <v>25.933600000000002</v>
      </c>
      <c r="H106" s="91"/>
      <c r="I106" s="91">
        <v>1</v>
      </c>
    </row>
    <row r="107" spans="1:9" x14ac:dyDescent="0.25">
      <c r="A107" s="83" t="s">
        <v>584</v>
      </c>
      <c r="B107" s="91" t="s">
        <v>527</v>
      </c>
      <c r="C107" s="91">
        <v>2.3576000000000001</v>
      </c>
      <c r="D107" s="91">
        <f>2*I107</f>
        <v>3.2</v>
      </c>
      <c r="E107" s="91">
        <v>22</v>
      </c>
      <c r="F107" s="91">
        <v>28</v>
      </c>
      <c r="G107" s="91">
        <f t="shared" si="1"/>
        <v>45.265920000000008</v>
      </c>
      <c r="H107" s="91"/>
      <c r="I107" s="91">
        <v>1.6</v>
      </c>
    </row>
    <row r="108" spans="1:9" x14ac:dyDescent="0.25">
      <c r="A108" s="106" t="s">
        <v>585</v>
      </c>
      <c r="B108" s="91" t="s">
        <v>529</v>
      </c>
      <c r="C108" s="91">
        <v>1.6048</v>
      </c>
      <c r="D108" s="91">
        <f>2*I108</f>
        <v>1.4</v>
      </c>
      <c r="E108" s="91">
        <v>22.5</v>
      </c>
      <c r="F108" s="91">
        <v>24</v>
      </c>
      <c r="G108" s="91">
        <f t="shared" si="1"/>
        <v>3.3700799999999997</v>
      </c>
      <c r="H108" s="91"/>
      <c r="I108" s="91">
        <v>0.7</v>
      </c>
    </row>
    <row r="109" spans="1:9" x14ac:dyDescent="0.25">
      <c r="A109" s="106"/>
      <c r="B109" s="91" t="s">
        <v>527</v>
      </c>
      <c r="C109" s="91">
        <v>2.3576000000000001</v>
      </c>
      <c r="D109" s="91">
        <f>2*I109</f>
        <v>2</v>
      </c>
      <c r="E109" s="91">
        <v>22.5</v>
      </c>
      <c r="F109" s="91">
        <v>28</v>
      </c>
      <c r="G109" s="91">
        <f t="shared" si="1"/>
        <v>25.933600000000002</v>
      </c>
      <c r="H109" s="91"/>
      <c r="I109" s="91">
        <v>1</v>
      </c>
    </row>
    <row r="110" spans="1:9" x14ac:dyDescent="0.25">
      <c r="A110" s="106"/>
      <c r="B110" s="91" t="s">
        <v>527</v>
      </c>
      <c r="C110" s="91">
        <v>2.3576000000000001</v>
      </c>
      <c r="D110" s="91">
        <f>2*I110</f>
        <v>3.2</v>
      </c>
      <c r="E110" s="91">
        <v>22.5</v>
      </c>
      <c r="F110" s="91">
        <v>28</v>
      </c>
      <c r="G110" s="91">
        <f t="shared" si="1"/>
        <v>41.493760000000002</v>
      </c>
      <c r="H110" s="91"/>
      <c r="I110" s="91">
        <v>1.6</v>
      </c>
    </row>
    <row r="111" spans="1:9" x14ac:dyDescent="0.25">
      <c r="A111" s="83" t="s">
        <v>586</v>
      </c>
      <c r="B111" s="91" t="s">
        <v>527</v>
      </c>
      <c r="C111" s="91">
        <v>2.3576000000000001</v>
      </c>
      <c r="D111" s="91">
        <f>2*I111</f>
        <v>1.6</v>
      </c>
      <c r="E111" s="91">
        <v>22.5</v>
      </c>
      <c r="F111" s="91">
        <v>28</v>
      </c>
      <c r="G111" s="91">
        <f t="shared" si="1"/>
        <v>20.746880000000001</v>
      </c>
      <c r="H111" s="91"/>
      <c r="I111" s="91">
        <v>0.8</v>
      </c>
    </row>
    <row r="112" spans="1:9" x14ac:dyDescent="0.25">
      <c r="A112" s="83" t="s">
        <v>587</v>
      </c>
      <c r="B112" s="91" t="s">
        <v>527</v>
      </c>
      <c r="C112" s="91">
        <v>2.3576000000000001</v>
      </c>
      <c r="D112" s="91">
        <f>2*I112</f>
        <v>1.8</v>
      </c>
      <c r="E112" s="91">
        <v>22</v>
      </c>
      <c r="F112" s="91">
        <v>28</v>
      </c>
      <c r="G112" s="91">
        <f t="shared" si="1"/>
        <v>25.46208</v>
      </c>
      <c r="H112" s="91"/>
      <c r="I112" s="91">
        <v>0.9</v>
      </c>
    </row>
    <row r="113" spans="1:9" x14ac:dyDescent="0.25">
      <c r="A113" s="106" t="s">
        <v>588</v>
      </c>
      <c r="B113" s="91" t="s">
        <v>527</v>
      </c>
      <c r="C113" s="91">
        <v>2.3576000000000001</v>
      </c>
      <c r="D113" s="91">
        <f>2*I113</f>
        <v>3.2</v>
      </c>
      <c r="E113" s="91">
        <v>22</v>
      </c>
      <c r="F113" s="91">
        <v>28</v>
      </c>
      <c r="G113" s="91">
        <f t="shared" si="1"/>
        <v>45.265920000000008</v>
      </c>
      <c r="H113" s="91"/>
      <c r="I113" s="91">
        <v>1.6</v>
      </c>
    </row>
    <row r="114" spans="1:9" x14ac:dyDescent="0.25">
      <c r="A114" s="106"/>
      <c r="B114" s="91" t="s">
        <v>589</v>
      </c>
      <c r="C114" s="91">
        <v>2.3576000000000001</v>
      </c>
      <c r="D114" s="91">
        <f>2*I114</f>
        <v>1.8</v>
      </c>
      <c r="E114" s="91">
        <v>22</v>
      </c>
      <c r="F114" s="91">
        <v>28</v>
      </c>
      <c r="G114" s="91">
        <f t="shared" si="1"/>
        <v>25.46208</v>
      </c>
      <c r="H114" s="91"/>
      <c r="I114" s="91">
        <v>0.9</v>
      </c>
    </row>
    <row r="115" spans="1:9" x14ac:dyDescent="0.25">
      <c r="A115" s="83" t="s">
        <v>590</v>
      </c>
      <c r="B115" s="91" t="s">
        <v>527</v>
      </c>
      <c r="C115" s="91">
        <v>2.3576000000000001</v>
      </c>
      <c r="D115" s="91">
        <f>2*I115</f>
        <v>1.4</v>
      </c>
      <c r="E115" s="91">
        <v>24</v>
      </c>
      <c r="F115" s="91">
        <v>28</v>
      </c>
      <c r="G115" s="91">
        <f t="shared" si="1"/>
        <v>13.20256</v>
      </c>
      <c r="H115" s="91"/>
      <c r="I115" s="91">
        <v>0.7</v>
      </c>
    </row>
    <row r="116" spans="1:9" x14ac:dyDescent="0.25">
      <c r="A116" s="83" t="s">
        <v>591</v>
      </c>
      <c r="B116" s="91" t="s">
        <v>527</v>
      </c>
      <c r="C116" s="91">
        <v>2.3576000000000001</v>
      </c>
      <c r="D116" s="91">
        <f>2*I116</f>
        <v>2</v>
      </c>
      <c r="E116" s="91">
        <v>24</v>
      </c>
      <c r="F116" s="91">
        <v>28</v>
      </c>
      <c r="G116" s="91">
        <f t="shared" si="1"/>
        <v>18.860800000000001</v>
      </c>
      <c r="H116" s="91"/>
      <c r="I116" s="91">
        <v>1</v>
      </c>
    </row>
    <row r="117" spans="1:9" x14ac:dyDescent="0.25">
      <c r="A117" s="83" t="s">
        <v>592</v>
      </c>
      <c r="B117" s="91" t="s">
        <v>527</v>
      </c>
      <c r="C117" s="91">
        <v>2.3576000000000001</v>
      </c>
      <c r="D117" s="91">
        <f>2*I117</f>
        <v>1.6</v>
      </c>
      <c r="E117" s="91">
        <v>24</v>
      </c>
      <c r="F117" s="91">
        <v>28</v>
      </c>
      <c r="G117" s="91">
        <f t="shared" si="1"/>
        <v>15.088640000000002</v>
      </c>
      <c r="H117" s="91"/>
      <c r="I117" s="91">
        <v>0.8</v>
      </c>
    </row>
    <row r="118" spans="1:9" x14ac:dyDescent="0.25">
      <c r="A118" s="83" t="s">
        <v>520</v>
      </c>
      <c r="B118" s="91" t="s">
        <v>527</v>
      </c>
      <c r="C118" s="91">
        <v>2.3576000000000001</v>
      </c>
      <c r="D118" s="91">
        <f>2*I118</f>
        <v>1.8</v>
      </c>
      <c r="E118" s="91">
        <v>24</v>
      </c>
      <c r="F118" s="91">
        <v>28</v>
      </c>
      <c r="G118" s="91">
        <f t="shared" si="1"/>
        <v>16.974720000000001</v>
      </c>
      <c r="H118" s="91"/>
      <c r="I118" s="91">
        <v>0.9</v>
      </c>
    </row>
    <row r="119" spans="1:9" x14ac:dyDescent="0.25">
      <c r="A119" s="106" t="s">
        <v>593</v>
      </c>
      <c r="B119" s="91" t="s">
        <v>527</v>
      </c>
      <c r="C119" s="91">
        <v>2.3576000000000001</v>
      </c>
      <c r="D119" s="91">
        <f>2*I119</f>
        <v>1.6</v>
      </c>
      <c r="E119" s="91">
        <v>22.5</v>
      </c>
      <c r="F119" s="91">
        <v>28</v>
      </c>
      <c r="G119" s="91">
        <f t="shared" si="1"/>
        <v>20.746880000000001</v>
      </c>
      <c r="H119" s="91"/>
      <c r="I119" s="91">
        <v>0.8</v>
      </c>
    </row>
    <row r="120" spans="1:9" x14ac:dyDescent="0.25">
      <c r="A120" s="106"/>
      <c r="B120" s="91" t="s">
        <v>527</v>
      </c>
      <c r="C120" s="91">
        <v>2.3576000000000001</v>
      </c>
      <c r="D120" s="91">
        <f>2*I120</f>
        <v>1.8</v>
      </c>
      <c r="E120" s="91">
        <v>22.5</v>
      </c>
      <c r="F120" s="91">
        <v>28</v>
      </c>
      <c r="G120" s="91">
        <f t="shared" si="1"/>
        <v>23.340240000000001</v>
      </c>
      <c r="H120" s="91"/>
      <c r="I120" s="91">
        <v>0.9</v>
      </c>
    </row>
    <row r="121" spans="1:9" x14ac:dyDescent="0.25">
      <c r="A121" s="106"/>
      <c r="B121" s="91" t="s">
        <v>594</v>
      </c>
      <c r="C121" s="91">
        <v>1.6048</v>
      </c>
      <c r="D121" s="91">
        <f>2*I121</f>
        <v>1.2</v>
      </c>
      <c r="E121" s="91">
        <v>22.5</v>
      </c>
      <c r="F121" s="91">
        <v>24</v>
      </c>
      <c r="G121" s="91">
        <f t="shared" si="1"/>
        <v>2.8886399999999997</v>
      </c>
      <c r="H121" s="91"/>
      <c r="I121" s="91">
        <v>0.6</v>
      </c>
    </row>
    <row r="122" spans="1:9" x14ac:dyDescent="0.25">
      <c r="A122" s="106"/>
      <c r="B122" s="91" t="s">
        <v>595</v>
      </c>
      <c r="C122" s="91">
        <v>1.6048</v>
      </c>
      <c r="D122" s="91">
        <f>2*I122</f>
        <v>1.2</v>
      </c>
      <c r="E122" s="91">
        <v>22.5</v>
      </c>
      <c r="F122" s="91">
        <v>24</v>
      </c>
      <c r="G122" s="91">
        <f t="shared" si="1"/>
        <v>2.8886399999999997</v>
      </c>
      <c r="H122" s="91"/>
      <c r="I122" s="91">
        <v>0.6</v>
      </c>
    </row>
    <row r="123" spans="1:9" x14ac:dyDescent="0.25">
      <c r="A123" s="106"/>
      <c r="B123" s="91" t="s">
        <v>596</v>
      </c>
      <c r="C123" s="91">
        <v>1.6048</v>
      </c>
      <c r="D123" s="91">
        <f>2*I123</f>
        <v>1.2</v>
      </c>
      <c r="E123" s="91">
        <v>22.5</v>
      </c>
      <c r="F123" s="91">
        <v>24</v>
      </c>
      <c r="G123" s="91">
        <f t="shared" si="1"/>
        <v>2.8886399999999997</v>
      </c>
      <c r="H123" s="91"/>
      <c r="I123" s="91">
        <v>0.6</v>
      </c>
    </row>
    <row r="127" spans="1:9" x14ac:dyDescent="0.25">
      <c r="A127" s="140" t="s">
        <v>20</v>
      </c>
      <c r="B127" s="5"/>
      <c r="C127" s="5" t="s">
        <v>2</v>
      </c>
      <c r="D127" s="5" t="s">
        <v>54</v>
      </c>
      <c r="E127" s="5" t="s">
        <v>7</v>
      </c>
      <c r="F127" s="5" t="s">
        <v>13</v>
      </c>
      <c r="G127" s="5" t="s">
        <v>24</v>
      </c>
      <c r="H127" s="91"/>
      <c r="I127" s="91"/>
    </row>
    <row r="128" spans="1:9" x14ac:dyDescent="0.25">
      <c r="A128" s="99" t="s">
        <v>597</v>
      </c>
      <c r="B128" s="91" t="s">
        <v>527</v>
      </c>
      <c r="C128" s="91">
        <v>2.3576000000000001</v>
      </c>
      <c r="D128" s="91">
        <f>2*I128</f>
        <v>2.4</v>
      </c>
      <c r="E128" s="91">
        <v>22.5</v>
      </c>
      <c r="F128" s="91">
        <v>28</v>
      </c>
      <c r="G128" s="91">
        <f>C128*D128*(F128-E128)</f>
        <v>31.12032</v>
      </c>
      <c r="H128" s="91"/>
      <c r="I128" s="91">
        <v>1.2</v>
      </c>
    </row>
    <row r="129" spans="1:9" x14ac:dyDescent="0.25">
      <c r="A129" s="99"/>
      <c r="B129" s="91" t="s">
        <v>529</v>
      </c>
      <c r="C129" s="91">
        <v>1.6048</v>
      </c>
      <c r="D129" s="91">
        <f>2*I129</f>
        <v>1.4</v>
      </c>
      <c r="E129" s="91">
        <v>22.5</v>
      </c>
      <c r="F129" s="91">
        <v>24</v>
      </c>
      <c r="G129" s="91">
        <f t="shared" ref="G129:G186" si="2">C129*D129*(F129-E129)</f>
        <v>3.3700799999999997</v>
      </c>
      <c r="H129" s="91"/>
      <c r="I129" s="91">
        <v>0.7</v>
      </c>
    </row>
    <row r="130" spans="1:9" x14ac:dyDescent="0.25">
      <c r="A130" s="99" t="s">
        <v>598</v>
      </c>
      <c r="B130" s="91" t="s">
        <v>527</v>
      </c>
      <c r="C130" s="91">
        <v>2.3576000000000001</v>
      </c>
      <c r="D130" s="91">
        <f>2*I130</f>
        <v>2.4</v>
      </c>
      <c r="E130" s="91">
        <v>22.5</v>
      </c>
      <c r="F130" s="91">
        <v>28</v>
      </c>
      <c r="G130" s="91">
        <f t="shared" si="2"/>
        <v>31.12032</v>
      </c>
      <c r="H130" s="91"/>
      <c r="I130" s="91">
        <v>1.2</v>
      </c>
    </row>
    <row r="131" spans="1:9" x14ac:dyDescent="0.25">
      <c r="A131" s="99"/>
      <c r="B131" s="91" t="s">
        <v>529</v>
      </c>
      <c r="C131" s="91">
        <v>1.6048</v>
      </c>
      <c r="D131" s="91">
        <f>2*I131</f>
        <v>1.4</v>
      </c>
      <c r="E131" s="91">
        <v>22.5</v>
      </c>
      <c r="F131" s="91">
        <v>24</v>
      </c>
      <c r="G131" s="91">
        <f t="shared" si="2"/>
        <v>3.3700799999999997</v>
      </c>
      <c r="H131" s="91"/>
      <c r="I131" s="91">
        <v>0.7</v>
      </c>
    </row>
    <row r="132" spans="1:9" x14ac:dyDescent="0.25">
      <c r="A132" s="99" t="s">
        <v>599</v>
      </c>
      <c r="B132" s="91" t="s">
        <v>527</v>
      </c>
      <c r="C132" s="91">
        <v>2.3576000000000001</v>
      </c>
      <c r="D132" s="91">
        <f>2*I132</f>
        <v>2.4</v>
      </c>
      <c r="E132" s="91">
        <v>22.5</v>
      </c>
      <c r="F132" s="91">
        <v>28</v>
      </c>
      <c r="G132" s="91">
        <f t="shared" si="2"/>
        <v>31.12032</v>
      </c>
      <c r="H132" s="91"/>
      <c r="I132" s="91">
        <v>1.2</v>
      </c>
    </row>
    <row r="133" spans="1:9" x14ac:dyDescent="0.25">
      <c r="A133" s="99"/>
      <c r="B133" s="91" t="s">
        <v>529</v>
      </c>
      <c r="C133" s="91">
        <v>1.6048</v>
      </c>
      <c r="D133" s="91">
        <f>2*I133</f>
        <v>1.4</v>
      </c>
      <c r="E133" s="91">
        <v>22.5</v>
      </c>
      <c r="F133" s="91">
        <v>24</v>
      </c>
      <c r="G133" s="91">
        <f t="shared" si="2"/>
        <v>3.3700799999999997</v>
      </c>
      <c r="H133" s="91"/>
      <c r="I133" s="91">
        <v>0.7</v>
      </c>
    </row>
    <row r="134" spans="1:9" x14ac:dyDescent="0.25">
      <c r="A134" s="99" t="s">
        <v>600</v>
      </c>
      <c r="B134" s="91" t="s">
        <v>527</v>
      </c>
      <c r="C134" s="91">
        <v>2.3576000000000001</v>
      </c>
      <c r="D134" s="91">
        <f>2*I134</f>
        <v>2.4</v>
      </c>
      <c r="E134" s="91">
        <v>22.5</v>
      </c>
      <c r="F134" s="91">
        <v>28</v>
      </c>
      <c r="G134" s="91">
        <f t="shared" si="2"/>
        <v>31.12032</v>
      </c>
      <c r="H134" s="91"/>
      <c r="I134" s="91">
        <v>1.2</v>
      </c>
    </row>
    <row r="135" spans="1:9" x14ac:dyDescent="0.25">
      <c r="A135" s="99"/>
      <c r="B135" s="91" t="s">
        <v>529</v>
      </c>
      <c r="C135" s="91">
        <v>1.6048</v>
      </c>
      <c r="D135" s="91">
        <f>2*I135</f>
        <v>1.4</v>
      </c>
      <c r="E135" s="91">
        <v>22.5</v>
      </c>
      <c r="F135" s="91">
        <v>24</v>
      </c>
      <c r="G135" s="91">
        <f t="shared" si="2"/>
        <v>3.3700799999999997</v>
      </c>
      <c r="H135" s="91"/>
      <c r="I135" s="91">
        <v>0.7</v>
      </c>
    </row>
    <row r="136" spans="1:9" x14ac:dyDescent="0.25">
      <c r="A136" s="99" t="s">
        <v>573</v>
      </c>
      <c r="B136" s="91" t="s">
        <v>527</v>
      </c>
      <c r="C136" s="91">
        <v>2.3576000000000001</v>
      </c>
      <c r="D136" s="91">
        <f>2*I136</f>
        <v>2.4</v>
      </c>
      <c r="E136" s="91">
        <v>22.5</v>
      </c>
      <c r="F136" s="91">
        <v>28</v>
      </c>
      <c r="G136" s="91">
        <f t="shared" si="2"/>
        <v>31.12032</v>
      </c>
      <c r="H136" s="91"/>
      <c r="I136" s="91">
        <v>1.2</v>
      </c>
    </row>
    <row r="137" spans="1:9" x14ac:dyDescent="0.25">
      <c r="A137" s="99"/>
      <c r="B137" s="91" t="s">
        <v>529</v>
      </c>
      <c r="C137" s="91">
        <v>1.6048</v>
      </c>
      <c r="D137" s="91">
        <f>2*I137</f>
        <v>1.4</v>
      </c>
      <c r="E137" s="91">
        <v>22.5</v>
      </c>
      <c r="F137" s="91">
        <v>24</v>
      </c>
      <c r="G137" s="91">
        <f t="shared" si="2"/>
        <v>3.3700799999999997</v>
      </c>
      <c r="H137" s="91"/>
      <c r="I137" s="91">
        <v>0.7</v>
      </c>
    </row>
    <row r="138" spans="1:9" x14ac:dyDescent="0.25">
      <c r="A138" s="99" t="s">
        <v>601</v>
      </c>
      <c r="B138" s="91" t="s">
        <v>527</v>
      </c>
      <c r="C138" s="91">
        <v>2.3576000000000001</v>
      </c>
      <c r="D138" s="91">
        <f>2*I138</f>
        <v>2.4</v>
      </c>
      <c r="E138" s="91">
        <v>22.5</v>
      </c>
      <c r="F138" s="91">
        <v>28</v>
      </c>
      <c r="G138" s="91">
        <f t="shared" si="2"/>
        <v>31.12032</v>
      </c>
      <c r="H138" s="91"/>
      <c r="I138" s="91">
        <v>1.2</v>
      </c>
    </row>
    <row r="139" spans="1:9" x14ac:dyDescent="0.25">
      <c r="A139" s="99"/>
      <c r="B139" s="91" t="s">
        <v>529</v>
      </c>
      <c r="C139" s="91">
        <v>1.6048</v>
      </c>
      <c r="D139" s="91">
        <f>2*I139</f>
        <v>1.4</v>
      </c>
      <c r="E139" s="91">
        <v>22.5</v>
      </c>
      <c r="F139" s="91">
        <v>24</v>
      </c>
      <c r="G139" s="91">
        <f t="shared" si="2"/>
        <v>3.3700799999999997</v>
      </c>
      <c r="H139" s="91"/>
      <c r="I139" s="91">
        <v>0.7</v>
      </c>
    </row>
    <row r="140" spans="1:9" x14ac:dyDescent="0.25">
      <c r="A140" s="99" t="s">
        <v>567</v>
      </c>
      <c r="B140" s="91" t="s">
        <v>527</v>
      </c>
      <c r="C140" s="91">
        <v>2.3576000000000001</v>
      </c>
      <c r="D140" s="91">
        <f>2*I140</f>
        <v>2.4</v>
      </c>
      <c r="E140" s="91">
        <v>22.5</v>
      </c>
      <c r="F140" s="91">
        <v>28</v>
      </c>
      <c r="G140" s="91">
        <f t="shared" si="2"/>
        <v>31.12032</v>
      </c>
      <c r="H140" s="91"/>
      <c r="I140" s="91">
        <v>1.2</v>
      </c>
    </row>
    <row r="141" spans="1:9" x14ac:dyDescent="0.25">
      <c r="A141" s="99"/>
      <c r="B141" s="91" t="s">
        <v>529</v>
      </c>
      <c r="C141" s="91">
        <v>1.6048</v>
      </c>
      <c r="D141" s="91">
        <f>2*I141</f>
        <v>1.4</v>
      </c>
      <c r="E141" s="91">
        <v>22.5</v>
      </c>
      <c r="F141" s="91">
        <v>24</v>
      </c>
      <c r="G141" s="91">
        <f t="shared" si="2"/>
        <v>3.3700799999999997</v>
      </c>
      <c r="H141" s="91"/>
      <c r="I141" s="91">
        <v>0.7</v>
      </c>
    </row>
    <row r="142" spans="1:9" x14ac:dyDescent="0.25">
      <c r="A142" s="99" t="s">
        <v>568</v>
      </c>
      <c r="B142" s="91" t="s">
        <v>527</v>
      </c>
      <c r="C142" s="91">
        <v>2.3576000000000001</v>
      </c>
      <c r="D142" s="91">
        <f>2*I142</f>
        <v>1.8</v>
      </c>
      <c r="E142" s="91">
        <v>22.5</v>
      </c>
      <c r="F142" s="91">
        <v>28</v>
      </c>
      <c r="G142" s="91">
        <f t="shared" si="2"/>
        <v>23.340240000000001</v>
      </c>
      <c r="H142" s="91"/>
      <c r="I142" s="91">
        <v>0.9</v>
      </c>
    </row>
    <row r="143" spans="1:9" x14ac:dyDescent="0.25">
      <c r="A143" s="99"/>
      <c r="B143" s="91" t="s">
        <v>529</v>
      </c>
      <c r="C143" s="91">
        <v>1.6048</v>
      </c>
      <c r="D143" s="91">
        <f>2*I143</f>
        <v>1.4</v>
      </c>
      <c r="E143" s="91">
        <v>22.5</v>
      </c>
      <c r="F143" s="91">
        <v>24</v>
      </c>
      <c r="G143" s="91">
        <f t="shared" si="2"/>
        <v>3.3700799999999997</v>
      </c>
      <c r="H143" s="91"/>
      <c r="I143" s="91">
        <v>0.7</v>
      </c>
    </row>
    <row r="144" spans="1:9" x14ac:dyDescent="0.25">
      <c r="A144" s="91" t="s">
        <v>569</v>
      </c>
      <c r="B144" s="91" t="s">
        <v>527</v>
      </c>
      <c r="C144" s="91">
        <v>2.3576000000000001</v>
      </c>
      <c r="D144" s="91">
        <f>2*I144</f>
        <v>2.4</v>
      </c>
      <c r="E144" s="91">
        <v>22.5</v>
      </c>
      <c r="F144" s="91">
        <v>28</v>
      </c>
      <c r="G144" s="91">
        <f t="shared" si="2"/>
        <v>31.12032</v>
      </c>
      <c r="H144" s="91"/>
      <c r="I144" s="91">
        <v>1.2</v>
      </c>
    </row>
    <row r="145" spans="1:9" x14ac:dyDescent="0.25">
      <c r="A145" s="91" t="s">
        <v>570</v>
      </c>
      <c r="B145" s="91" t="s">
        <v>527</v>
      </c>
      <c r="C145" s="91">
        <v>2.3576000000000001</v>
      </c>
      <c r="D145" s="91">
        <f>2*I145</f>
        <v>1.2</v>
      </c>
      <c r="E145" s="91">
        <v>24</v>
      </c>
      <c r="F145" s="91">
        <v>28</v>
      </c>
      <c r="G145" s="91">
        <f t="shared" si="2"/>
        <v>11.31648</v>
      </c>
      <c r="H145" s="91"/>
      <c r="I145" s="91">
        <v>0.6</v>
      </c>
    </row>
    <row r="146" spans="1:9" x14ac:dyDescent="0.25">
      <c r="A146" s="91" t="s">
        <v>571</v>
      </c>
      <c r="B146" s="91" t="s">
        <v>527</v>
      </c>
      <c r="C146" s="91">
        <v>2.3576000000000001</v>
      </c>
      <c r="D146" s="91">
        <f>2*I146</f>
        <v>1.2</v>
      </c>
      <c r="E146" s="91">
        <v>24</v>
      </c>
      <c r="F146" s="91">
        <v>28</v>
      </c>
      <c r="G146" s="91">
        <f t="shared" si="2"/>
        <v>11.31648</v>
      </c>
      <c r="H146" s="91"/>
      <c r="I146" s="91">
        <v>0.6</v>
      </c>
    </row>
    <row r="147" spans="1:9" x14ac:dyDescent="0.25">
      <c r="A147" s="99" t="s">
        <v>602</v>
      </c>
      <c r="B147" s="91" t="s">
        <v>527</v>
      </c>
      <c r="C147" s="91">
        <v>2.3576000000000001</v>
      </c>
      <c r="D147" s="91">
        <f>2*I147</f>
        <v>2.4</v>
      </c>
      <c r="E147" s="91">
        <v>22.5</v>
      </c>
      <c r="F147" s="91">
        <v>28</v>
      </c>
      <c r="G147" s="91">
        <f t="shared" si="2"/>
        <v>31.12032</v>
      </c>
      <c r="H147" s="91"/>
      <c r="I147" s="91">
        <v>1.2</v>
      </c>
    </row>
    <row r="148" spans="1:9" x14ac:dyDescent="0.25">
      <c r="A148" s="99"/>
      <c r="B148" s="91" t="s">
        <v>529</v>
      </c>
      <c r="C148" s="91">
        <v>1.6048</v>
      </c>
      <c r="D148" s="91">
        <f>2*I148</f>
        <v>1.4</v>
      </c>
      <c r="E148" s="91">
        <v>22.5</v>
      </c>
      <c r="F148" s="91">
        <v>24</v>
      </c>
      <c r="G148" s="91">
        <f t="shared" si="2"/>
        <v>3.3700799999999997</v>
      </c>
      <c r="H148" s="91"/>
      <c r="I148" s="91">
        <v>0.7</v>
      </c>
    </row>
    <row r="149" spans="1:9" x14ac:dyDescent="0.25">
      <c r="A149" s="99" t="s">
        <v>572</v>
      </c>
      <c r="B149" s="91" t="s">
        <v>527</v>
      </c>
      <c r="C149" s="91">
        <v>2.3576000000000001</v>
      </c>
      <c r="D149" s="91">
        <f>2*I149</f>
        <v>2.4</v>
      </c>
      <c r="E149" s="91">
        <v>22.5</v>
      </c>
      <c r="F149" s="91">
        <v>28</v>
      </c>
      <c r="G149" s="91">
        <f t="shared" si="2"/>
        <v>31.12032</v>
      </c>
      <c r="H149" s="91"/>
      <c r="I149" s="91">
        <v>1.2</v>
      </c>
    </row>
    <row r="150" spans="1:9" x14ac:dyDescent="0.25">
      <c r="A150" s="99"/>
      <c r="B150" s="91" t="s">
        <v>529</v>
      </c>
      <c r="C150" s="91">
        <v>1.6048</v>
      </c>
      <c r="D150" s="91">
        <f>2*I150</f>
        <v>1.4</v>
      </c>
      <c r="E150" s="91">
        <v>22.5</v>
      </c>
      <c r="F150" s="91">
        <v>24</v>
      </c>
      <c r="G150" s="91">
        <f t="shared" si="2"/>
        <v>3.3700799999999997</v>
      </c>
      <c r="H150" s="91"/>
      <c r="I150" s="91">
        <v>0.7</v>
      </c>
    </row>
    <row r="151" spans="1:9" x14ac:dyDescent="0.25">
      <c r="A151" s="99" t="s">
        <v>603</v>
      </c>
      <c r="B151" s="91" t="s">
        <v>527</v>
      </c>
      <c r="C151" s="91">
        <v>2.3576000000000001</v>
      </c>
      <c r="D151" s="91">
        <f>2*I151</f>
        <v>2.4</v>
      </c>
      <c r="E151" s="91">
        <v>22.5</v>
      </c>
      <c r="F151" s="91">
        <v>28</v>
      </c>
      <c r="G151" s="91">
        <f t="shared" si="2"/>
        <v>31.12032</v>
      </c>
      <c r="H151" s="91"/>
      <c r="I151" s="91">
        <v>1.2</v>
      </c>
    </row>
    <row r="152" spans="1:9" x14ac:dyDescent="0.25">
      <c r="A152" s="99"/>
      <c r="B152" s="91" t="s">
        <v>529</v>
      </c>
      <c r="C152" s="91">
        <v>1.6048</v>
      </c>
      <c r="D152" s="91">
        <f>2*I152</f>
        <v>1.4</v>
      </c>
      <c r="E152" s="91">
        <v>22.5</v>
      </c>
      <c r="F152" s="91">
        <v>24</v>
      </c>
      <c r="G152" s="91">
        <f t="shared" si="2"/>
        <v>3.3700799999999997</v>
      </c>
      <c r="H152" s="91"/>
      <c r="I152" s="91">
        <v>0.7</v>
      </c>
    </row>
    <row r="153" spans="1:9" x14ac:dyDescent="0.25">
      <c r="A153" s="99" t="s">
        <v>577</v>
      </c>
      <c r="B153" s="91" t="s">
        <v>527</v>
      </c>
      <c r="C153" s="91">
        <v>2.3576000000000001</v>
      </c>
      <c r="D153" s="91">
        <f>2*I153</f>
        <v>2.4</v>
      </c>
      <c r="E153" s="91">
        <v>22.5</v>
      </c>
      <c r="F153" s="91">
        <v>28</v>
      </c>
      <c r="G153" s="91">
        <f t="shared" si="2"/>
        <v>31.12032</v>
      </c>
      <c r="H153" s="91"/>
      <c r="I153" s="91">
        <v>1.2</v>
      </c>
    </row>
    <row r="154" spans="1:9" x14ac:dyDescent="0.25">
      <c r="A154" s="99"/>
      <c r="B154" s="91" t="s">
        <v>529</v>
      </c>
      <c r="C154" s="91">
        <v>1.6048</v>
      </c>
      <c r="D154" s="91">
        <f>2*I154</f>
        <v>1.4</v>
      </c>
      <c r="E154" s="91">
        <v>22.5</v>
      </c>
      <c r="F154" s="91">
        <v>24</v>
      </c>
      <c r="G154" s="91">
        <f t="shared" si="2"/>
        <v>3.3700799999999997</v>
      </c>
      <c r="H154" s="91"/>
      <c r="I154" s="91">
        <v>0.7</v>
      </c>
    </row>
    <row r="155" spans="1:9" x14ac:dyDescent="0.25">
      <c r="A155" s="99" t="s">
        <v>578</v>
      </c>
      <c r="B155" s="91" t="s">
        <v>527</v>
      </c>
      <c r="C155" s="91">
        <v>2.3576000000000001</v>
      </c>
      <c r="D155" s="91">
        <f>2*I155</f>
        <v>2.4</v>
      </c>
      <c r="E155" s="91">
        <v>22.5</v>
      </c>
      <c r="F155" s="91">
        <v>28</v>
      </c>
      <c r="G155" s="91">
        <f t="shared" si="2"/>
        <v>31.12032</v>
      </c>
      <c r="H155" s="91"/>
      <c r="I155" s="91">
        <v>1.2</v>
      </c>
    </row>
    <row r="156" spans="1:9" x14ac:dyDescent="0.25">
      <c r="A156" s="99"/>
      <c r="B156" s="91" t="s">
        <v>529</v>
      </c>
      <c r="C156" s="91">
        <v>1.6048</v>
      </c>
      <c r="D156" s="91">
        <f>2*I156</f>
        <v>1.4</v>
      </c>
      <c r="E156" s="91">
        <v>22.5</v>
      </c>
      <c r="F156" s="91">
        <v>24</v>
      </c>
      <c r="G156" s="91">
        <f t="shared" si="2"/>
        <v>3.3700799999999997</v>
      </c>
      <c r="H156" s="91"/>
      <c r="I156" s="91">
        <v>0.7</v>
      </c>
    </row>
    <row r="157" spans="1:9" x14ac:dyDescent="0.25">
      <c r="A157" s="99" t="s">
        <v>580</v>
      </c>
      <c r="B157" s="91" t="s">
        <v>527</v>
      </c>
      <c r="C157" s="91">
        <v>2.3576000000000001</v>
      </c>
      <c r="D157" s="91">
        <f>2*I157</f>
        <v>2.4</v>
      </c>
      <c r="E157" s="91">
        <v>22.5</v>
      </c>
      <c r="F157" s="91">
        <v>28</v>
      </c>
      <c r="G157" s="91">
        <f t="shared" si="2"/>
        <v>31.12032</v>
      </c>
      <c r="H157" s="91"/>
      <c r="I157" s="91">
        <v>1.2</v>
      </c>
    </row>
    <row r="158" spans="1:9" x14ac:dyDescent="0.25">
      <c r="A158" s="99"/>
      <c r="B158" s="91" t="s">
        <v>529</v>
      </c>
      <c r="C158" s="91">
        <v>1.6048</v>
      </c>
      <c r="D158" s="91">
        <f>2*I158</f>
        <v>1.4</v>
      </c>
      <c r="E158" s="91">
        <v>22.5</v>
      </c>
      <c r="F158" s="91">
        <v>24</v>
      </c>
      <c r="G158" s="91">
        <f t="shared" si="2"/>
        <v>3.3700799999999997</v>
      </c>
      <c r="H158" s="91"/>
      <c r="I158" s="91">
        <v>0.7</v>
      </c>
    </row>
    <row r="159" spans="1:9" x14ac:dyDescent="0.25">
      <c r="A159" s="99" t="s">
        <v>604</v>
      </c>
      <c r="B159" s="91" t="s">
        <v>527</v>
      </c>
      <c r="C159" s="91">
        <v>2.3576000000000001</v>
      </c>
      <c r="D159" s="91">
        <f>2*I159</f>
        <v>2.4</v>
      </c>
      <c r="E159" s="91">
        <v>22.5</v>
      </c>
      <c r="F159" s="91">
        <v>28</v>
      </c>
      <c r="G159" s="91">
        <f t="shared" si="2"/>
        <v>31.12032</v>
      </c>
      <c r="H159" s="91"/>
      <c r="I159" s="91">
        <v>1.2</v>
      </c>
    </row>
    <row r="160" spans="1:9" x14ac:dyDescent="0.25">
      <c r="A160" s="99"/>
      <c r="B160" s="91" t="s">
        <v>529</v>
      </c>
      <c r="C160" s="91">
        <v>1.6048</v>
      </c>
      <c r="D160" s="91">
        <f>2*I160</f>
        <v>1.4</v>
      </c>
      <c r="E160" s="91">
        <v>22.5</v>
      </c>
      <c r="F160" s="91">
        <v>24</v>
      </c>
      <c r="G160" s="91">
        <f t="shared" si="2"/>
        <v>3.3700799999999997</v>
      </c>
      <c r="H160" s="91"/>
      <c r="I160" s="91">
        <v>0.7</v>
      </c>
    </row>
    <row r="161" spans="1:9" x14ac:dyDescent="0.25">
      <c r="A161" s="99" t="s">
        <v>605</v>
      </c>
      <c r="B161" s="91" t="s">
        <v>527</v>
      </c>
      <c r="C161" s="91">
        <v>2.3576000000000001</v>
      </c>
      <c r="D161" s="91">
        <f>2*I161</f>
        <v>2.4</v>
      </c>
      <c r="E161" s="91">
        <v>22.5</v>
      </c>
      <c r="F161" s="91">
        <v>28</v>
      </c>
      <c r="G161" s="91">
        <f t="shared" si="2"/>
        <v>31.12032</v>
      </c>
      <c r="H161" s="91"/>
      <c r="I161" s="91">
        <v>1.2</v>
      </c>
    </row>
    <row r="162" spans="1:9" x14ac:dyDescent="0.25">
      <c r="A162" s="99"/>
      <c r="B162" s="91" t="s">
        <v>529</v>
      </c>
      <c r="C162" s="91">
        <v>1.6048</v>
      </c>
      <c r="D162" s="91">
        <f>2*I162</f>
        <v>1.4</v>
      </c>
      <c r="E162" s="91">
        <v>22.5</v>
      </c>
      <c r="F162" s="91">
        <v>24</v>
      </c>
      <c r="G162" s="91">
        <f t="shared" si="2"/>
        <v>3.3700799999999997</v>
      </c>
      <c r="H162" s="91"/>
      <c r="I162" s="91">
        <v>0.7</v>
      </c>
    </row>
    <row r="163" spans="1:9" x14ac:dyDescent="0.25">
      <c r="A163" s="99" t="s">
        <v>581</v>
      </c>
      <c r="B163" s="91" t="s">
        <v>527</v>
      </c>
      <c r="C163" s="91">
        <v>2.3576000000000001</v>
      </c>
      <c r="D163" s="91">
        <f>2*I163</f>
        <v>2.4</v>
      </c>
      <c r="E163" s="91">
        <v>22.5</v>
      </c>
      <c r="F163" s="91">
        <v>28</v>
      </c>
      <c r="G163" s="91">
        <f t="shared" si="2"/>
        <v>31.12032</v>
      </c>
      <c r="H163" s="91"/>
      <c r="I163" s="91">
        <v>1.2</v>
      </c>
    </row>
    <row r="164" spans="1:9" x14ac:dyDescent="0.25">
      <c r="A164" s="99"/>
      <c r="B164" s="91" t="s">
        <v>529</v>
      </c>
      <c r="C164" s="91">
        <v>1.6048</v>
      </c>
      <c r="D164" s="91">
        <f>2*I164</f>
        <v>1.4</v>
      </c>
      <c r="E164" s="91">
        <v>22.5</v>
      </c>
      <c r="F164" s="91">
        <v>24</v>
      </c>
      <c r="G164" s="91">
        <f t="shared" si="2"/>
        <v>3.3700799999999997</v>
      </c>
      <c r="H164" s="91"/>
      <c r="I164" s="91">
        <v>0.7</v>
      </c>
    </row>
    <row r="165" spans="1:9" x14ac:dyDescent="0.25">
      <c r="A165" s="99" t="s">
        <v>606</v>
      </c>
      <c r="B165" s="91" t="s">
        <v>527</v>
      </c>
      <c r="C165" s="91">
        <v>2.3576000000000001</v>
      </c>
      <c r="D165" s="91">
        <f>2*I165</f>
        <v>2.4</v>
      </c>
      <c r="E165" s="91">
        <v>22.5</v>
      </c>
      <c r="F165" s="91">
        <v>28</v>
      </c>
      <c r="G165" s="91">
        <f t="shared" si="2"/>
        <v>31.12032</v>
      </c>
      <c r="H165" s="91"/>
      <c r="I165" s="91">
        <v>1.2</v>
      </c>
    </row>
    <row r="166" spans="1:9" x14ac:dyDescent="0.25">
      <c r="A166" s="99"/>
      <c r="B166" s="91" t="s">
        <v>529</v>
      </c>
      <c r="C166" s="91">
        <v>1.6048</v>
      </c>
      <c r="D166" s="91">
        <f>2*I166</f>
        <v>1.4</v>
      </c>
      <c r="E166" s="91">
        <v>22.5</v>
      </c>
      <c r="F166" s="91">
        <v>24</v>
      </c>
      <c r="G166" s="91">
        <f t="shared" si="2"/>
        <v>3.3700799999999997</v>
      </c>
      <c r="H166" s="91"/>
      <c r="I166" s="91">
        <v>0.7</v>
      </c>
    </row>
    <row r="167" spans="1:9" x14ac:dyDescent="0.25">
      <c r="A167" s="99" t="s">
        <v>607</v>
      </c>
      <c r="B167" s="91" t="s">
        <v>527</v>
      </c>
      <c r="C167" s="91">
        <v>2.3576000000000001</v>
      </c>
      <c r="D167" s="91">
        <f>2*I167</f>
        <v>2.4</v>
      </c>
      <c r="E167" s="91">
        <v>22.5</v>
      </c>
      <c r="F167" s="91">
        <v>28</v>
      </c>
      <c r="G167" s="91">
        <f t="shared" si="2"/>
        <v>31.12032</v>
      </c>
      <c r="H167" s="91"/>
      <c r="I167" s="91">
        <v>1.2</v>
      </c>
    </row>
    <row r="168" spans="1:9" x14ac:dyDescent="0.25">
      <c r="A168" s="99"/>
      <c r="B168" s="91" t="s">
        <v>529</v>
      </c>
      <c r="C168" s="91">
        <v>1.6048</v>
      </c>
      <c r="D168" s="91">
        <f>2*I168</f>
        <v>1.4</v>
      </c>
      <c r="E168" s="91">
        <v>22.5</v>
      </c>
      <c r="F168" s="91">
        <v>24</v>
      </c>
      <c r="G168" s="91">
        <f t="shared" si="2"/>
        <v>3.3700799999999997</v>
      </c>
      <c r="H168" s="91"/>
      <c r="I168" s="91">
        <v>0.7</v>
      </c>
    </row>
    <row r="169" spans="1:9" x14ac:dyDescent="0.25">
      <c r="A169" s="99" t="s">
        <v>608</v>
      </c>
      <c r="B169" s="91" t="s">
        <v>527</v>
      </c>
      <c r="C169" s="91">
        <v>2.3576000000000001</v>
      </c>
      <c r="D169" s="91">
        <f>2*I169</f>
        <v>2.4</v>
      </c>
      <c r="E169" s="91">
        <v>22.5</v>
      </c>
      <c r="F169" s="91">
        <v>28</v>
      </c>
      <c r="G169" s="91">
        <f t="shared" si="2"/>
        <v>31.12032</v>
      </c>
      <c r="H169" s="91"/>
      <c r="I169" s="91">
        <v>1.2</v>
      </c>
    </row>
    <row r="170" spans="1:9" x14ac:dyDescent="0.25">
      <c r="A170" s="99"/>
      <c r="B170" s="91" t="s">
        <v>529</v>
      </c>
      <c r="C170" s="91">
        <v>1.6048</v>
      </c>
      <c r="D170" s="91">
        <f>2*I170</f>
        <v>1.4</v>
      </c>
      <c r="E170" s="91">
        <v>22.5</v>
      </c>
      <c r="F170" s="91">
        <v>24</v>
      </c>
      <c r="G170" s="91">
        <f t="shared" si="2"/>
        <v>3.3700799999999997</v>
      </c>
      <c r="H170" s="91"/>
      <c r="I170" s="91">
        <v>0.7</v>
      </c>
    </row>
    <row r="171" spans="1:9" x14ac:dyDescent="0.25">
      <c r="A171" s="99" t="s">
        <v>609</v>
      </c>
      <c r="B171" s="91" t="s">
        <v>527</v>
      </c>
      <c r="C171" s="91">
        <v>2.3576000000000001</v>
      </c>
      <c r="D171" s="91">
        <f>2*I171</f>
        <v>2.4</v>
      </c>
      <c r="E171" s="91">
        <v>22.5</v>
      </c>
      <c r="F171" s="91">
        <v>28</v>
      </c>
      <c r="G171" s="91">
        <f t="shared" si="2"/>
        <v>31.12032</v>
      </c>
      <c r="H171" s="91"/>
      <c r="I171" s="91">
        <v>1.2</v>
      </c>
    </row>
    <row r="172" spans="1:9" x14ac:dyDescent="0.25">
      <c r="A172" s="99"/>
      <c r="B172" s="91" t="s">
        <v>529</v>
      </c>
      <c r="C172" s="91">
        <v>1.6048</v>
      </c>
      <c r="D172" s="91">
        <f>2*I172</f>
        <v>1.4</v>
      </c>
      <c r="E172" s="91">
        <v>22.5</v>
      </c>
      <c r="F172" s="91">
        <v>24</v>
      </c>
      <c r="G172" s="91">
        <f t="shared" si="2"/>
        <v>3.3700799999999997</v>
      </c>
      <c r="H172" s="91"/>
      <c r="I172" s="91">
        <v>0.7</v>
      </c>
    </row>
    <row r="173" spans="1:9" x14ac:dyDescent="0.25">
      <c r="A173" s="99" t="s">
        <v>610</v>
      </c>
      <c r="B173" s="91" t="s">
        <v>527</v>
      </c>
      <c r="C173" s="91">
        <v>2.3576000000000001</v>
      </c>
      <c r="D173" s="91">
        <f>2*I173</f>
        <v>2.4</v>
      </c>
      <c r="E173" s="91">
        <v>22.5</v>
      </c>
      <c r="F173" s="91">
        <v>28</v>
      </c>
      <c r="G173" s="91">
        <f t="shared" si="2"/>
        <v>31.12032</v>
      </c>
      <c r="H173" s="91"/>
      <c r="I173" s="91">
        <v>1.2</v>
      </c>
    </row>
    <row r="174" spans="1:9" x14ac:dyDescent="0.25">
      <c r="A174" s="99"/>
      <c r="B174" s="91" t="s">
        <v>529</v>
      </c>
      <c r="C174" s="91">
        <v>1.6048</v>
      </c>
      <c r="D174" s="91">
        <f>2*I174</f>
        <v>1.4</v>
      </c>
      <c r="E174" s="91">
        <v>22.5</v>
      </c>
      <c r="F174" s="91">
        <v>24</v>
      </c>
      <c r="G174" s="91">
        <f t="shared" si="2"/>
        <v>3.3700799999999997</v>
      </c>
      <c r="H174" s="91"/>
      <c r="I174" s="91">
        <v>0.7</v>
      </c>
    </row>
    <row r="175" spans="1:9" x14ac:dyDescent="0.25">
      <c r="A175" s="99" t="s">
        <v>611</v>
      </c>
      <c r="B175" s="91" t="s">
        <v>527</v>
      </c>
      <c r="C175" s="91">
        <v>2.3576000000000001</v>
      </c>
      <c r="D175" s="91">
        <f>2*I175</f>
        <v>2.4</v>
      </c>
      <c r="E175" s="91">
        <v>22.5</v>
      </c>
      <c r="F175" s="91">
        <v>28</v>
      </c>
      <c r="G175" s="91">
        <f t="shared" si="2"/>
        <v>31.12032</v>
      </c>
      <c r="H175" s="91"/>
      <c r="I175" s="91">
        <v>1.2</v>
      </c>
    </row>
    <row r="176" spans="1:9" x14ac:dyDescent="0.25">
      <c r="A176" s="99"/>
      <c r="B176" s="91" t="s">
        <v>529</v>
      </c>
      <c r="C176" s="91">
        <v>1.6048</v>
      </c>
      <c r="D176" s="91">
        <f>2*I176</f>
        <v>1.4</v>
      </c>
      <c r="E176" s="91">
        <v>22.5</v>
      </c>
      <c r="F176" s="91">
        <v>24</v>
      </c>
      <c r="G176" s="91">
        <f t="shared" si="2"/>
        <v>3.3700799999999997</v>
      </c>
      <c r="H176" s="91"/>
      <c r="I176" s="91">
        <v>0.7</v>
      </c>
    </row>
    <row r="177" spans="1:9" x14ac:dyDescent="0.25">
      <c r="A177" s="99" t="s">
        <v>612</v>
      </c>
      <c r="B177" s="91" t="s">
        <v>527</v>
      </c>
      <c r="C177" s="91">
        <v>2.3576000000000001</v>
      </c>
      <c r="D177" s="91">
        <f>2*I177</f>
        <v>2.4</v>
      </c>
      <c r="E177" s="91">
        <v>22.5</v>
      </c>
      <c r="F177" s="91">
        <v>28</v>
      </c>
      <c r="G177" s="91">
        <f t="shared" si="2"/>
        <v>31.12032</v>
      </c>
      <c r="H177" s="91"/>
      <c r="I177" s="91">
        <v>1.2</v>
      </c>
    </row>
    <row r="178" spans="1:9" x14ac:dyDescent="0.25">
      <c r="A178" s="99"/>
      <c r="B178" s="91" t="s">
        <v>529</v>
      </c>
      <c r="C178" s="91">
        <v>1.6048</v>
      </c>
      <c r="D178" s="91">
        <f>2*I178</f>
        <v>1.4</v>
      </c>
      <c r="E178" s="91">
        <v>22.5</v>
      </c>
      <c r="F178" s="91">
        <v>24</v>
      </c>
      <c r="G178" s="91">
        <f t="shared" si="2"/>
        <v>3.3700799999999997</v>
      </c>
      <c r="H178" s="91"/>
      <c r="I178" s="91">
        <v>0.7</v>
      </c>
    </row>
    <row r="179" spans="1:9" x14ac:dyDescent="0.25">
      <c r="A179" s="99" t="s">
        <v>613</v>
      </c>
      <c r="B179" s="91" t="s">
        <v>527</v>
      </c>
      <c r="C179" s="91">
        <v>2.3576000000000001</v>
      </c>
      <c r="D179" s="91">
        <f>2*I179</f>
        <v>2.4</v>
      </c>
      <c r="E179" s="91">
        <v>22.5</v>
      </c>
      <c r="F179" s="91">
        <v>28</v>
      </c>
      <c r="G179" s="91">
        <f t="shared" si="2"/>
        <v>31.12032</v>
      </c>
      <c r="H179" s="91"/>
      <c r="I179" s="91">
        <v>1.2</v>
      </c>
    </row>
    <row r="180" spans="1:9" x14ac:dyDescent="0.25">
      <c r="A180" s="99"/>
      <c r="B180" s="91" t="s">
        <v>529</v>
      </c>
      <c r="C180" s="91">
        <v>1.6048</v>
      </c>
      <c r="D180" s="91">
        <f>2*I180</f>
        <v>1.4</v>
      </c>
      <c r="E180" s="91">
        <v>22.5</v>
      </c>
      <c r="F180" s="91">
        <v>24</v>
      </c>
      <c r="G180" s="91">
        <f t="shared" si="2"/>
        <v>3.3700799999999997</v>
      </c>
      <c r="H180" s="91"/>
      <c r="I180" s="91">
        <v>0.7</v>
      </c>
    </row>
    <row r="181" spans="1:9" x14ac:dyDescent="0.25">
      <c r="A181" s="91" t="s">
        <v>614</v>
      </c>
      <c r="B181" s="91" t="s">
        <v>527</v>
      </c>
      <c r="C181" s="91">
        <v>2.3576000000000001</v>
      </c>
      <c r="D181" s="91">
        <f>2*I181</f>
        <v>2.4</v>
      </c>
      <c r="E181" s="91">
        <v>22.5</v>
      </c>
      <c r="F181" s="91">
        <v>28</v>
      </c>
      <c r="G181" s="91">
        <f t="shared" si="2"/>
        <v>31.12032</v>
      </c>
      <c r="H181" s="91"/>
      <c r="I181" s="91">
        <v>1.2</v>
      </c>
    </row>
    <row r="182" spans="1:9" x14ac:dyDescent="0.25">
      <c r="A182" s="91" t="s">
        <v>615</v>
      </c>
      <c r="B182" s="91" t="s">
        <v>527</v>
      </c>
      <c r="C182" s="91">
        <v>2.3576000000000001</v>
      </c>
      <c r="D182" s="91">
        <f>2*I182</f>
        <v>2.4</v>
      </c>
      <c r="E182" s="91">
        <v>22.5</v>
      </c>
      <c r="F182" s="91">
        <v>28</v>
      </c>
      <c r="G182" s="91">
        <f t="shared" si="2"/>
        <v>31.12032</v>
      </c>
      <c r="H182" s="91"/>
      <c r="I182" s="91">
        <v>1.2</v>
      </c>
    </row>
    <row r="183" spans="1:9" x14ac:dyDescent="0.25">
      <c r="A183" s="99" t="s">
        <v>543</v>
      </c>
      <c r="B183" s="91" t="s">
        <v>527</v>
      </c>
      <c r="C183" s="91">
        <v>2.3576000000000001</v>
      </c>
      <c r="D183" s="91">
        <f>2*I183</f>
        <v>3.2</v>
      </c>
      <c r="E183" s="91">
        <v>22.5</v>
      </c>
      <c r="F183" s="91">
        <v>28</v>
      </c>
      <c r="G183" s="91">
        <f t="shared" si="2"/>
        <v>41.493760000000002</v>
      </c>
      <c r="H183" s="91"/>
      <c r="I183" s="91">
        <v>1.6</v>
      </c>
    </row>
    <row r="184" spans="1:9" x14ac:dyDescent="0.25">
      <c r="A184" s="99"/>
      <c r="B184" s="91" t="s">
        <v>616</v>
      </c>
      <c r="C184" s="91">
        <v>2.3576000000000001</v>
      </c>
      <c r="D184" s="91">
        <f>2*I184</f>
        <v>3.2</v>
      </c>
      <c r="E184" s="91">
        <v>22.5</v>
      </c>
      <c r="F184" s="91">
        <v>24</v>
      </c>
      <c r="G184" s="91">
        <f t="shared" si="2"/>
        <v>11.316480000000002</v>
      </c>
      <c r="H184" s="91"/>
      <c r="I184" s="91">
        <v>1.6</v>
      </c>
    </row>
    <row r="185" spans="1:9" x14ac:dyDescent="0.25">
      <c r="A185" s="91" t="s">
        <v>532</v>
      </c>
      <c r="B185" s="91" t="s">
        <v>527</v>
      </c>
      <c r="C185" s="91">
        <v>2.3576000000000001</v>
      </c>
      <c r="D185" s="91">
        <f>2*I185</f>
        <v>1.8</v>
      </c>
      <c r="E185" s="91">
        <v>24</v>
      </c>
      <c r="F185" s="91">
        <v>28</v>
      </c>
      <c r="G185" s="91">
        <f t="shared" si="2"/>
        <v>16.974720000000001</v>
      </c>
      <c r="H185" s="91"/>
      <c r="I185" s="91">
        <v>0.9</v>
      </c>
    </row>
    <row r="186" spans="1:9" x14ac:dyDescent="0.25">
      <c r="A186" s="91" t="s">
        <v>530</v>
      </c>
      <c r="B186" s="91" t="s">
        <v>527</v>
      </c>
      <c r="C186" s="91">
        <v>2.3576000000000001</v>
      </c>
      <c r="D186" s="91">
        <f>2*I186</f>
        <v>1.8</v>
      </c>
      <c r="E186" s="91">
        <v>24</v>
      </c>
      <c r="F186" s="91">
        <v>28</v>
      </c>
      <c r="G186" s="91">
        <f t="shared" si="2"/>
        <v>16.974720000000001</v>
      </c>
      <c r="H186" s="91"/>
      <c r="I186" s="91">
        <v>0.9</v>
      </c>
    </row>
  </sheetData>
  <mergeCells count="52">
    <mergeCell ref="A175:A176"/>
    <mergeCell ref="A177:A178"/>
    <mergeCell ref="A179:A180"/>
    <mergeCell ref="A183:A184"/>
    <mergeCell ref="A163:A164"/>
    <mergeCell ref="A165:A166"/>
    <mergeCell ref="A167:A168"/>
    <mergeCell ref="A169:A170"/>
    <mergeCell ref="A171:A172"/>
    <mergeCell ref="A173:A174"/>
    <mergeCell ref="A151:A152"/>
    <mergeCell ref="A153:A154"/>
    <mergeCell ref="A155:A156"/>
    <mergeCell ref="A157:A158"/>
    <mergeCell ref="A159:A160"/>
    <mergeCell ref="A161:A162"/>
    <mergeCell ref="A136:A137"/>
    <mergeCell ref="A138:A139"/>
    <mergeCell ref="A140:A141"/>
    <mergeCell ref="A142:A143"/>
    <mergeCell ref="A147:A148"/>
    <mergeCell ref="A149:A150"/>
    <mergeCell ref="A113:A114"/>
    <mergeCell ref="A119:A123"/>
    <mergeCell ref="A128:A129"/>
    <mergeCell ref="A130:A131"/>
    <mergeCell ref="A132:A133"/>
    <mergeCell ref="A134:A135"/>
    <mergeCell ref="A82:A83"/>
    <mergeCell ref="A85:A86"/>
    <mergeCell ref="A91:A92"/>
    <mergeCell ref="A93:A94"/>
    <mergeCell ref="A104:A105"/>
    <mergeCell ref="A108:A110"/>
    <mergeCell ref="A62:A63"/>
    <mergeCell ref="A64:A65"/>
    <mergeCell ref="A66:A67"/>
    <mergeCell ref="A68:A69"/>
    <mergeCell ref="A70:A71"/>
    <mergeCell ref="A72:A73"/>
    <mergeCell ref="A30:A31"/>
    <mergeCell ref="A33:A34"/>
    <mergeCell ref="A43:A44"/>
    <mergeCell ref="A45:A51"/>
    <mergeCell ref="A54:A55"/>
    <mergeCell ref="A60:A61"/>
    <mergeCell ref="A1:G1"/>
    <mergeCell ref="A2:G2"/>
    <mergeCell ref="A5:A6"/>
    <mergeCell ref="A13:A14"/>
    <mergeCell ref="A19:A20"/>
    <mergeCell ref="A28:A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AE83"/>
  <sheetViews>
    <sheetView zoomScale="70" zoomScaleNormal="70" workbookViewId="0">
      <selection activeCell="E60" sqref="E60"/>
    </sheetView>
  </sheetViews>
  <sheetFormatPr defaultRowHeight="15" x14ac:dyDescent="0.25"/>
  <cols>
    <col min="1" max="1" width="11.42578125" customWidth="1"/>
    <col min="2" max="2" width="10.7109375" customWidth="1"/>
  </cols>
  <sheetData>
    <row r="1" spans="1:31" x14ac:dyDescent="0.25">
      <c r="A1" t="s">
        <v>95</v>
      </c>
      <c r="J1" t="s">
        <v>100</v>
      </c>
      <c r="L1">
        <v>2.8721999999999999</v>
      </c>
    </row>
    <row r="2" spans="1:31" x14ac:dyDescent="0.25">
      <c r="A2" t="s">
        <v>96</v>
      </c>
      <c r="J2" t="s">
        <v>101</v>
      </c>
      <c r="L2">
        <v>2.8210999999999999</v>
      </c>
      <c r="S2" s="5" t="s">
        <v>44</v>
      </c>
      <c r="T2" s="3"/>
      <c r="Y2" s="99" t="s">
        <v>300</v>
      </c>
      <c r="Z2" s="99"/>
      <c r="AB2" t="s">
        <v>301</v>
      </c>
      <c r="AD2" s="99" t="s">
        <v>321</v>
      </c>
      <c r="AE2" s="99"/>
    </row>
    <row r="3" spans="1:31" x14ac:dyDescent="0.25">
      <c r="A3" s="99" t="s">
        <v>97</v>
      </c>
      <c r="B3" s="99"/>
      <c r="S3" s="3" t="s">
        <v>45</v>
      </c>
      <c r="T3" s="3">
        <v>8.1</v>
      </c>
      <c r="Y3" s="49" t="s">
        <v>236</v>
      </c>
      <c r="Z3" s="1" t="s">
        <v>237</v>
      </c>
      <c r="AB3" s="1" t="s">
        <v>54</v>
      </c>
      <c r="AD3" s="5" t="s">
        <v>304</v>
      </c>
      <c r="AE3" s="5" t="s">
        <v>237</v>
      </c>
    </row>
    <row r="4" spans="1:31" x14ac:dyDescent="0.25">
      <c r="A4" s="5" t="s">
        <v>53</v>
      </c>
      <c r="B4" s="5" t="s">
        <v>54</v>
      </c>
      <c r="E4" t="s">
        <v>122</v>
      </c>
      <c r="F4" t="s">
        <v>53</v>
      </c>
      <c r="S4" s="3" t="s">
        <v>46</v>
      </c>
      <c r="T4" s="3">
        <v>34.5</v>
      </c>
      <c r="Y4" s="50">
        <f>0.15+0.01*3+0.007*('INFILTRATION LOAD'!D4-'INFILTRATION LOAD'!E4)</f>
        <v>0.26400000000000001</v>
      </c>
      <c r="Z4">
        <v>37.438600000000001</v>
      </c>
      <c r="AB4" s="46">
        <v>34.276899999999998</v>
      </c>
      <c r="AD4">
        <f>0.15+3*0.01+0.007*('INFILTRATION LOAD'!D164-'INFILTRATION LOAD'!E164)</f>
        <v>0.26400000000000001</v>
      </c>
      <c r="AE4">
        <v>34.276899999999998</v>
      </c>
    </row>
    <row r="5" spans="1:31" x14ac:dyDescent="0.25">
      <c r="A5">
        <v>4</v>
      </c>
      <c r="B5">
        <f>A5*1</f>
        <v>4</v>
      </c>
      <c r="E5">
        <v>2</v>
      </c>
      <c r="F5">
        <v>1</v>
      </c>
      <c r="Y5" s="50">
        <f>0.15+0.01*3+0.007*('INFILTRATION LOAD'!D5-'INFILTRATION LOAD'!E5)</f>
        <v>0.26400000000000001</v>
      </c>
      <c r="Z5">
        <v>9.6511999999999993</v>
      </c>
      <c r="AB5" s="46">
        <v>2.6175000000000002</v>
      </c>
      <c r="AD5">
        <f>0.15+3*0.01+0.007*('INFILTRATION LOAD'!D165-'INFILTRATION LOAD'!E165)</f>
        <v>0.2535</v>
      </c>
      <c r="AE5">
        <v>2.6175000000000002</v>
      </c>
    </row>
    <row r="6" spans="1:31" x14ac:dyDescent="0.25">
      <c r="B6">
        <f>A6*1</f>
        <v>0</v>
      </c>
      <c r="E6">
        <v>1.2</v>
      </c>
      <c r="F6">
        <v>1</v>
      </c>
      <c r="Y6" s="50">
        <f>0.15+0.01*3+0.007*('INFILTRATION LOAD'!D6-'INFILTRATION LOAD'!E6)</f>
        <v>0.2535</v>
      </c>
      <c r="Z6">
        <v>7.8174999999999999</v>
      </c>
      <c r="AB6" s="46">
        <v>34.26</v>
      </c>
      <c r="AD6">
        <f>0.15+3*0.01+0.007*('INFILTRATION LOAD'!D166-'INFILTRATION LOAD'!E166)</f>
        <v>0.26400000000000001</v>
      </c>
      <c r="AE6">
        <v>34.26</v>
      </c>
    </row>
    <row r="7" spans="1:31" x14ac:dyDescent="0.25">
      <c r="A7">
        <v>1.2</v>
      </c>
      <c r="B7">
        <f>A7*1</f>
        <v>1.2</v>
      </c>
      <c r="E7">
        <v>0.6</v>
      </c>
      <c r="F7">
        <v>0.6</v>
      </c>
      <c r="Y7" s="50">
        <f>0.15+0.01*3+0.007*('INFILTRATION LOAD'!D7-'INFILTRATION LOAD'!E7)</f>
        <v>0.26400000000000001</v>
      </c>
      <c r="Z7">
        <v>16.3095</v>
      </c>
      <c r="AB7" s="46">
        <v>2.6175000000000002</v>
      </c>
      <c r="AD7">
        <f>0.15+3*0.01+0.007*('INFILTRATION LOAD'!D167-'INFILTRATION LOAD'!E167)</f>
        <v>0.26400000000000001</v>
      </c>
      <c r="AE7">
        <v>2.6175000000000002</v>
      </c>
    </row>
    <row r="8" spans="1:31" x14ac:dyDescent="0.25">
      <c r="A8">
        <v>0.6</v>
      </c>
      <c r="B8">
        <f>A8*0.6</f>
        <v>0.36</v>
      </c>
      <c r="E8">
        <v>1.2</v>
      </c>
      <c r="F8">
        <v>0.6</v>
      </c>
      <c r="Y8" s="50">
        <f>0.15+0.01*3+0.007*('INFILTRATION LOAD'!D8-'INFILTRATION LOAD'!E8)</f>
        <v>0.2535</v>
      </c>
      <c r="Z8" s="51">
        <v>2.8374999999999999</v>
      </c>
      <c r="AB8" s="47">
        <v>220.33240000000001</v>
      </c>
      <c r="AD8">
        <f>0.15+3*0.01+0.007*('INFILTRATION LOAD'!D168-'INFILTRATION LOAD'!E168)</f>
        <v>0.26400000000000001</v>
      </c>
      <c r="AE8">
        <v>37.408700000000003</v>
      </c>
    </row>
    <row r="9" spans="1:31" x14ac:dyDescent="0.25">
      <c r="A9">
        <v>1.2</v>
      </c>
      <c r="B9">
        <f>A9*0.6</f>
        <v>0.72</v>
      </c>
      <c r="E9">
        <v>1.2</v>
      </c>
      <c r="F9">
        <v>0.6</v>
      </c>
      <c r="Y9" s="50">
        <f>0.15+0.01*3+0.007*('INFILTRATION LOAD'!D9-'INFILTRATION LOAD'!E9)</f>
        <v>0.2535</v>
      </c>
      <c r="Z9">
        <v>18.299099999999999</v>
      </c>
      <c r="AB9" s="47">
        <v>143.29113000000001</v>
      </c>
      <c r="AD9">
        <f>0.15+3*0.01+0.007*('INFILTRATION LOAD'!D169-'INFILTRATION LOAD'!E169)</f>
        <v>0.26400000000000001</v>
      </c>
      <c r="AE9">
        <v>37.408700000000003</v>
      </c>
    </row>
    <row r="10" spans="1:31" x14ac:dyDescent="0.25">
      <c r="A10">
        <v>1.2</v>
      </c>
      <c r="B10">
        <f>A10*0.6</f>
        <v>0.72</v>
      </c>
      <c r="E10">
        <v>1.6</v>
      </c>
      <c r="F10">
        <v>1</v>
      </c>
      <c r="Y10" s="50">
        <f>0.15+0.01*3+0.007*('INFILTRATION LOAD'!D10-'INFILTRATION LOAD'!E10)</f>
        <v>0.2535</v>
      </c>
      <c r="Z10">
        <v>18.346399999999999</v>
      </c>
      <c r="AB10" s="47">
        <v>78.757400000000004</v>
      </c>
      <c r="AD10">
        <f>0.15+3*0.01+0.007*('INFILTRATION LOAD'!D170-'INFILTRATION LOAD'!E170)</f>
        <v>0.26400000000000001</v>
      </c>
      <c r="AE10">
        <v>34.26</v>
      </c>
    </row>
    <row r="11" spans="1:31" x14ac:dyDescent="0.25">
      <c r="A11">
        <v>1.6</v>
      </c>
      <c r="B11">
        <f>A11*1</f>
        <v>1.6</v>
      </c>
      <c r="E11">
        <v>2.2000000000000002</v>
      </c>
      <c r="F11">
        <v>1</v>
      </c>
      <c r="Y11" s="50">
        <f>0.15+0.01*3+0.007*('INFILTRATION LOAD'!D11-'INFILTRATION LOAD'!E11)</f>
        <v>0.26750000000000002</v>
      </c>
      <c r="Z11">
        <v>23.3886</v>
      </c>
      <c r="AB11" s="47">
        <v>99.654700000000005</v>
      </c>
      <c r="AD11">
        <f>0.15+3*0.01+0.007*('INFILTRATION LOAD'!D171-'INFILTRATION LOAD'!E171)</f>
        <v>0.2535</v>
      </c>
      <c r="AE11">
        <v>2.6175000000000002</v>
      </c>
    </row>
    <row r="12" spans="1:31" x14ac:dyDescent="0.25">
      <c r="A12">
        <v>4.4000000000000004</v>
      </c>
      <c r="B12">
        <f>A12*1</f>
        <v>4.4000000000000004</v>
      </c>
      <c r="E12">
        <v>1.2</v>
      </c>
      <c r="F12">
        <v>0.6</v>
      </c>
      <c r="Y12" s="50">
        <f>0.15+0.01*3+0.007*('INFILTRATION LOAD'!D12-'INFILTRATION LOAD'!E12)</f>
        <v>0.2535</v>
      </c>
      <c r="Z12">
        <v>5.61</v>
      </c>
      <c r="AB12" s="47">
        <v>142.8801</v>
      </c>
      <c r="AD12">
        <f>0.15+3*0.01+0.007*('INFILTRATION LOAD'!D172-'INFILTRATION LOAD'!E172)</f>
        <v>0.26400000000000001</v>
      </c>
      <c r="AE12">
        <v>34.26</v>
      </c>
    </row>
    <row r="13" spans="1:31" x14ac:dyDescent="0.25">
      <c r="B13">
        <f>A13*1</f>
        <v>0</v>
      </c>
      <c r="E13">
        <v>2</v>
      </c>
      <c r="F13">
        <v>1</v>
      </c>
      <c r="Y13" s="50">
        <f>0.15+0.01*3+0.007*('INFILTRATION LOAD'!D13-'INFILTRATION LOAD'!E13)</f>
        <v>0.26400000000000001</v>
      </c>
      <c r="Z13">
        <v>42.192500000000003</v>
      </c>
      <c r="AB13" s="46">
        <v>34.29</v>
      </c>
      <c r="AD13">
        <f>0.15+3*0.01+0.007*('INFILTRATION LOAD'!D173-'INFILTRATION LOAD'!E173)</f>
        <v>0.2535</v>
      </c>
      <c r="AE13">
        <v>2.6175000000000002</v>
      </c>
    </row>
    <row r="14" spans="1:31" x14ac:dyDescent="0.25">
      <c r="A14">
        <v>1.2</v>
      </c>
      <c r="B14">
        <f>A14*0.6</f>
        <v>0.72</v>
      </c>
      <c r="E14">
        <v>2.75</v>
      </c>
      <c r="F14">
        <v>1</v>
      </c>
      <c r="Y14" s="50">
        <f>0.15+0.01*3+0.007*('INFILTRATION LOAD'!D14-'INFILTRATION LOAD'!E14)</f>
        <v>0.2535</v>
      </c>
      <c r="Z14" s="51">
        <v>3.7086999999999999</v>
      </c>
      <c r="AB14" s="46">
        <v>2.6175000000000002</v>
      </c>
      <c r="AD14">
        <f>0.15+3*0.01+0.007*('INFILTRATION LOAD'!D174-'INFILTRATION LOAD'!E174)</f>
        <v>0.26400000000000001</v>
      </c>
      <c r="AE14">
        <v>10.1393</v>
      </c>
    </row>
    <row r="15" spans="1:31" x14ac:dyDescent="0.25">
      <c r="A15">
        <v>1.6</v>
      </c>
      <c r="B15">
        <f>A15*1</f>
        <v>1.6</v>
      </c>
      <c r="E15">
        <v>3.6</v>
      </c>
      <c r="F15">
        <v>2.5</v>
      </c>
      <c r="Y15" s="50">
        <f>0.15+0.01*3+0.007*('INFILTRATION LOAD'!D15-'INFILTRATION LOAD'!E15)</f>
        <v>0.26400000000000001</v>
      </c>
      <c r="Z15">
        <v>19.637799999999999</v>
      </c>
      <c r="AB15" s="46">
        <v>34.1175</v>
      </c>
      <c r="AD15">
        <f>0.15+3*0.01+0.007*('INFILTRATION LOAD'!D175-'INFILTRATION LOAD'!E175)</f>
        <v>0.2535</v>
      </c>
      <c r="AE15">
        <v>2.6221999999999999</v>
      </c>
    </row>
    <row r="16" spans="1:31" x14ac:dyDescent="0.25">
      <c r="A16">
        <v>4.4000000000000004</v>
      </c>
      <c r="B16">
        <f>A16*1</f>
        <v>4.4000000000000004</v>
      </c>
      <c r="E16">
        <v>0.6</v>
      </c>
      <c r="F16">
        <v>1</v>
      </c>
      <c r="Y16" s="50">
        <f>0.15+0.01*3+0.007*('INFILTRATION LOAD'!D16-'INFILTRATION LOAD'!E16)</f>
        <v>0.26400000000000001</v>
      </c>
      <c r="Z16">
        <v>31.289300000000001</v>
      </c>
      <c r="AB16" s="46">
        <v>2.6175000000000002</v>
      </c>
      <c r="AD16">
        <f>0.15+3*0.01+0.007*('INFILTRATION LOAD'!D176-'INFILTRATION LOAD'!E176)</f>
        <v>0.26400000000000001</v>
      </c>
      <c r="AE16">
        <v>13.9222</v>
      </c>
    </row>
    <row r="17" spans="1:31" x14ac:dyDescent="0.25">
      <c r="A17">
        <v>8.15</v>
      </c>
      <c r="B17">
        <f>A17*1</f>
        <v>8.15</v>
      </c>
      <c r="E17">
        <v>4.2</v>
      </c>
      <c r="F17">
        <v>1</v>
      </c>
      <c r="Y17" s="50">
        <f>0.15+0.01*3+0.007*('INFILTRATION LOAD'!D17-'INFILTRATION LOAD'!E17)</f>
        <v>0.2535</v>
      </c>
      <c r="Z17">
        <v>3.9771999999999998</v>
      </c>
      <c r="AB17" s="46">
        <v>13.6738</v>
      </c>
      <c r="AD17">
        <f>0.15+3*0.01+0.007*('INFILTRATION LOAD'!D177-'INFILTRATION LOAD'!E177)</f>
        <v>0.2535</v>
      </c>
      <c r="AE17">
        <v>2.6154999999999999</v>
      </c>
    </row>
    <row r="18" spans="1:31" x14ac:dyDescent="0.25">
      <c r="A18">
        <v>2.4</v>
      </c>
      <c r="B18">
        <f>A18*1</f>
        <v>2.4</v>
      </c>
      <c r="E18">
        <v>0.6</v>
      </c>
      <c r="F18">
        <v>0.6</v>
      </c>
      <c r="Y18" s="50">
        <f>0.15+0.01*3+0.007*('INFILTRATION LOAD'!D18-'INFILTRATION LOAD'!E18)</f>
        <v>0.26400000000000001</v>
      </c>
      <c r="Z18">
        <v>20.748699999999999</v>
      </c>
      <c r="AB18" s="47">
        <v>2.6231</v>
      </c>
      <c r="AD18">
        <f>0.15+3*0.01+0.007*('INFILTRATION LOAD'!D178-'INFILTRATION LOAD'!E178)</f>
        <v>0.26400000000000001</v>
      </c>
      <c r="AE18">
        <v>13.873799999999999</v>
      </c>
    </row>
    <row r="19" spans="1:31" x14ac:dyDescent="0.25">
      <c r="A19">
        <v>0.6</v>
      </c>
      <c r="B19">
        <f>A19*0.6</f>
        <v>0.36</v>
      </c>
      <c r="E19">
        <v>0.6</v>
      </c>
      <c r="F19">
        <v>1</v>
      </c>
      <c r="Y19" s="50">
        <f>0.15+0.01*3+0.007*('INFILTRATION LOAD'!D19-'INFILTRATION LOAD'!E19)</f>
        <v>0.26400000000000001</v>
      </c>
      <c r="Z19">
        <v>17.9512</v>
      </c>
      <c r="AB19" s="46">
        <v>13.9206</v>
      </c>
      <c r="AD19">
        <f>0.15+3*0.01+0.007*('INFILTRATION LOAD'!D179-'INFILTRATION LOAD'!E179)</f>
        <v>0.2535</v>
      </c>
      <c r="AE19">
        <v>2.6185999999999998</v>
      </c>
    </row>
    <row r="20" spans="1:31" x14ac:dyDescent="0.25">
      <c r="A20">
        <v>0.6</v>
      </c>
      <c r="B20">
        <f>A20*0.6</f>
        <v>0.36</v>
      </c>
      <c r="E20">
        <v>1.6</v>
      </c>
      <c r="F20">
        <v>1</v>
      </c>
      <c r="Y20" s="50">
        <f>0.15+0.01*3+0.007*('INFILTRATION LOAD'!D20-'INFILTRATION LOAD'!E20)</f>
        <v>0.26400000000000001</v>
      </c>
      <c r="Z20">
        <v>18.630800000000001</v>
      </c>
      <c r="AB20" s="47">
        <v>2.6154999999999999</v>
      </c>
      <c r="AD20">
        <f>0.15+3*0.01+0.007*('INFILTRATION LOAD'!D180-'INFILTRATION LOAD'!E180)</f>
        <v>0.26400000000000001</v>
      </c>
      <c r="AE20">
        <v>30.712</v>
      </c>
    </row>
    <row r="21" spans="1:31" x14ac:dyDescent="0.25">
      <c r="A21">
        <v>2</v>
      </c>
      <c r="B21">
        <f>A21*1</f>
        <v>2</v>
      </c>
      <c r="E21">
        <v>0.6</v>
      </c>
      <c r="F21">
        <v>0.6</v>
      </c>
      <c r="Y21" s="50">
        <f>0.15+0.01*3+0.007*('INFILTRATION LOAD'!D21-'INFILTRATION LOAD'!E21)</f>
        <v>0.26400000000000001</v>
      </c>
      <c r="Z21">
        <v>17.137799999999999</v>
      </c>
      <c r="AB21" s="46">
        <v>13.875400000000001</v>
      </c>
      <c r="AD21">
        <f>0.15+3*0.01+0.007*('INFILTRATION LOAD'!D181-'INFILTRATION LOAD'!E181)</f>
        <v>0.2535</v>
      </c>
      <c r="AE21">
        <v>2.6374</v>
      </c>
    </row>
    <row r="22" spans="1:31" x14ac:dyDescent="0.25">
      <c r="A22">
        <v>4.8</v>
      </c>
      <c r="B22">
        <f>A22*1</f>
        <v>4.8</v>
      </c>
      <c r="E22">
        <v>4.2</v>
      </c>
      <c r="F22">
        <v>1</v>
      </c>
      <c r="Y22" s="50">
        <f>0.15+0.01*3+0.007*('INFILTRATION LOAD'!D22-'INFILTRATION LOAD'!E22)</f>
        <v>0.26400000000000001</v>
      </c>
      <c r="Z22">
        <v>11.606199999999999</v>
      </c>
      <c r="AB22" s="47">
        <v>2.6196999999999999</v>
      </c>
      <c r="AD22">
        <f>0.15+3*0.01+0.007*('INFILTRATION LOAD'!D182-'INFILTRATION LOAD'!E182)</f>
        <v>0.26400000000000001</v>
      </c>
      <c r="AE22">
        <v>17.941299999999998</v>
      </c>
    </row>
    <row r="23" spans="1:31" x14ac:dyDescent="0.25">
      <c r="A23">
        <v>0.6</v>
      </c>
      <c r="B23">
        <f>A23*0.6</f>
        <v>0.36</v>
      </c>
      <c r="E23">
        <v>8.4</v>
      </c>
      <c r="F23">
        <v>1</v>
      </c>
      <c r="Y23" s="50">
        <f>0.15+0.01*3+0.007*('INFILTRATION LOAD'!D23-'INFILTRATION LOAD'!E23)</f>
        <v>0.26400000000000001</v>
      </c>
      <c r="Z23">
        <v>130.9682</v>
      </c>
      <c r="AB23" s="46">
        <v>30.712</v>
      </c>
      <c r="AD23">
        <f>0.15+3*0.01+0.007*('INFILTRATION LOAD'!D183-'INFILTRATION LOAD'!E183)</f>
        <v>0.26400000000000001</v>
      </c>
      <c r="AE23">
        <v>22.829000000000001</v>
      </c>
    </row>
    <row r="24" spans="1:31" x14ac:dyDescent="0.25">
      <c r="B24">
        <f>A24*1</f>
        <v>0</v>
      </c>
      <c r="E24">
        <v>1.4</v>
      </c>
      <c r="F24">
        <v>1</v>
      </c>
      <c r="Y24" s="50">
        <f>0.15+0.01*3+0.007*('INFILTRATION LOAD'!D24-'INFILTRATION LOAD'!E24)</f>
        <v>0.2535</v>
      </c>
      <c r="Z24" s="51">
        <v>2.9773000000000001</v>
      </c>
      <c r="AB24" s="47">
        <v>2.6374</v>
      </c>
      <c r="AD24">
        <f>0.15+3*0.01+0.007*('INFILTRATION LOAD'!D184-'INFILTRATION LOAD'!E184)</f>
        <v>0.2535</v>
      </c>
      <c r="AE24">
        <v>2.415</v>
      </c>
    </row>
    <row r="25" spans="1:31" x14ac:dyDescent="0.25">
      <c r="A25">
        <v>4.2</v>
      </c>
      <c r="B25">
        <f>A25*1</f>
        <v>4.2</v>
      </c>
      <c r="E25">
        <v>2.4</v>
      </c>
      <c r="F25">
        <v>1</v>
      </c>
      <c r="Y25" s="50">
        <f>0.15+0.01*3+0.007*('INFILTRATION LOAD'!D25-'INFILTRATION LOAD'!E25)</f>
        <v>0.26400000000000001</v>
      </c>
      <c r="Z25" s="51">
        <v>656.17899999999997</v>
      </c>
      <c r="AB25" s="46">
        <v>17.941299999999998</v>
      </c>
      <c r="AD25">
        <f>0.15+3*0.01+0.007*('INFILTRATION LOAD'!D185-'INFILTRATION LOAD'!E185)</f>
        <v>0.2535</v>
      </c>
      <c r="AE25">
        <v>4.7869000000000002</v>
      </c>
    </row>
    <row r="26" spans="1:31" x14ac:dyDescent="0.25">
      <c r="A26">
        <v>2.8</v>
      </c>
      <c r="B26">
        <f>A26*1</f>
        <v>2.8</v>
      </c>
      <c r="E26">
        <v>2.8</v>
      </c>
      <c r="F26">
        <v>1</v>
      </c>
      <c r="Y26" s="50">
        <f>0.15+0.01*3+0.007*('INFILTRATION LOAD'!D26-'INFILTRATION LOAD'!E26)</f>
        <v>0.26750000000000002</v>
      </c>
      <c r="Z26">
        <v>32.86</v>
      </c>
      <c r="AB26" s="46">
        <v>22.829000000000001</v>
      </c>
      <c r="AD26">
        <f>0.15+3*0.01+0.007*('INFILTRATION LOAD'!D186-'INFILTRATION LOAD'!E186)</f>
        <v>0.2535</v>
      </c>
      <c r="AE26">
        <v>2.4581</v>
      </c>
    </row>
    <row r="27" spans="1:31" x14ac:dyDescent="0.25">
      <c r="A27">
        <v>2.8</v>
      </c>
      <c r="B27">
        <f>A27*0.6</f>
        <v>1.68</v>
      </c>
      <c r="E27">
        <v>1.8</v>
      </c>
      <c r="F27">
        <v>1</v>
      </c>
      <c r="Y27" s="50">
        <f>0.15+0.01*3+0.007*('INFILTRATION LOAD'!D27-'INFILTRATION LOAD'!E27)</f>
        <v>0.26400000000000001</v>
      </c>
      <c r="Z27">
        <v>12.6775</v>
      </c>
      <c r="AB27" s="47">
        <v>2.4121000000000001</v>
      </c>
      <c r="AD27">
        <f>0.15+3*0.01+0.007*('INFILTRATION LOAD'!D187-'INFILTRATION LOAD'!E187)</f>
        <v>0.26400000000000001</v>
      </c>
      <c r="AE27">
        <v>13.8735</v>
      </c>
    </row>
    <row r="28" spans="1:31" x14ac:dyDescent="0.25">
      <c r="A28">
        <v>2.4</v>
      </c>
      <c r="B28">
        <f>A28*1</f>
        <v>2.4</v>
      </c>
      <c r="E28">
        <v>2.4</v>
      </c>
      <c r="F28">
        <v>1</v>
      </c>
      <c r="Y28" s="50">
        <f>0.15+0.01*3+0.007*('INFILTRATION LOAD'!D28-'INFILTRATION LOAD'!E28)</f>
        <v>0.2535</v>
      </c>
      <c r="Z28" s="51">
        <v>3.2363</v>
      </c>
      <c r="AB28" s="46">
        <v>4.7869000000000002</v>
      </c>
      <c r="AD28">
        <f>0.15+3*0.01+0.007*('INFILTRATION LOAD'!D188-'INFILTRATION LOAD'!E188)</f>
        <v>0.2535</v>
      </c>
      <c r="AE28">
        <v>2.6175000000000002</v>
      </c>
    </row>
    <row r="29" spans="1:31" x14ac:dyDescent="0.25">
      <c r="B29">
        <f>A29*1</f>
        <v>0</v>
      </c>
      <c r="E29">
        <v>1.73</v>
      </c>
      <c r="F29">
        <v>1</v>
      </c>
      <c r="Y29" s="50">
        <f>0.15+0.01*3+0.007*('INFILTRATION LOAD'!D29-'INFILTRATION LOAD'!E29)</f>
        <v>0.26400000000000001</v>
      </c>
      <c r="Z29">
        <v>14.3811</v>
      </c>
      <c r="AB29" s="46">
        <v>2.4581</v>
      </c>
      <c r="AD29">
        <f>0.15+3*0.01+0.007*('INFILTRATION LOAD'!D189-'INFILTRATION LOAD'!E189)</f>
        <v>0.26400000000000001</v>
      </c>
      <c r="AE29">
        <v>13.892799999999999</v>
      </c>
    </row>
    <row r="30" spans="1:31" x14ac:dyDescent="0.25">
      <c r="A30">
        <v>2.2000000000000002</v>
      </c>
      <c r="B30">
        <f>A30*1</f>
        <v>2.2000000000000002</v>
      </c>
      <c r="E30">
        <v>2</v>
      </c>
      <c r="F30">
        <v>1</v>
      </c>
      <c r="Y30" s="50">
        <f>0.15+0.01*3+0.007*('INFILTRATION LOAD'!D30-'INFILTRATION LOAD'!E30)</f>
        <v>0.26400000000000001</v>
      </c>
      <c r="Z30">
        <v>14.3811</v>
      </c>
      <c r="AB30" s="46">
        <v>13.8735</v>
      </c>
      <c r="AD30">
        <f>0.15+3*0.01+0.007*('INFILTRATION LOAD'!D190-'INFILTRATION LOAD'!E190)</f>
        <v>0.2535</v>
      </c>
      <c r="AE30">
        <v>2.6175000000000002</v>
      </c>
    </row>
    <row r="31" spans="1:31" x14ac:dyDescent="0.25">
      <c r="B31">
        <f>A31*0.6</f>
        <v>0</v>
      </c>
      <c r="E31">
        <v>0.6</v>
      </c>
      <c r="F31">
        <v>0.6</v>
      </c>
      <c r="Y31" s="50">
        <f>0.15+0.01*3+0.007*('INFILTRATION LOAD'!D31-'INFILTRATION LOAD'!E31)</f>
        <v>0.26400000000000001</v>
      </c>
      <c r="Z31">
        <v>8.9650999999999996</v>
      </c>
      <c r="AB31" s="47">
        <v>2.6175000000000002</v>
      </c>
      <c r="AD31">
        <f>0.15+3*0.01+0.007*('INFILTRATION LOAD'!D191-'INFILTRATION LOAD'!E191)</f>
        <v>0.26400000000000001</v>
      </c>
      <c r="AE31">
        <v>10.1716</v>
      </c>
    </row>
    <row r="32" spans="1:31" x14ac:dyDescent="0.25">
      <c r="A32">
        <v>0.6</v>
      </c>
      <c r="B32">
        <f>A32*0.6</f>
        <v>0.36</v>
      </c>
      <c r="E32">
        <v>0.6</v>
      </c>
      <c r="F32">
        <v>0.6</v>
      </c>
      <c r="Y32" s="50">
        <f>0.15+0.01*3+0.007*('INFILTRATION LOAD'!D32-'INFILTRATION LOAD'!E32)</f>
        <v>0.26400000000000001</v>
      </c>
      <c r="Z32">
        <v>14.435600000000001</v>
      </c>
      <c r="AB32" s="46">
        <v>13.892799999999999</v>
      </c>
      <c r="AD32">
        <f>0.15+3*0.01+0.007*('INFILTRATION LOAD'!D192-'INFILTRATION LOAD'!E192)</f>
        <v>0.2535</v>
      </c>
      <c r="AE32">
        <v>2.6213000000000002</v>
      </c>
    </row>
    <row r="33" spans="1:31" x14ac:dyDescent="0.25">
      <c r="B33">
        <f>A33*1</f>
        <v>0</v>
      </c>
      <c r="E33">
        <v>2.4</v>
      </c>
      <c r="F33">
        <v>1</v>
      </c>
      <c r="Y33" s="50">
        <f>0.15+0.01*3+0.007*('INFILTRATION LOAD'!D33-'INFILTRATION LOAD'!E33)</f>
        <v>0.26400000000000001</v>
      </c>
      <c r="Z33">
        <v>14.435600000000001</v>
      </c>
      <c r="AB33" s="47">
        <v>2.6175000000000002</v>
      </c>
      <c r="AD33">
        <f>0.15+3*0.01+0.007*('INFILTRATION LOAD'!D193-'INFILTRATION LOAD'!E193)</f>
        <v>0.26400000000000001</v>
      </c>
      <c r="AE33">
        <v>15.8619</v>
      </c>
    </row>
    <row r="34" spans="1:31" x14ac:dyDescent="0.25">
      <c r="B34">
        <f>A34*1</f>
        <v>0</v>
      </c>
      <c r="E34">
        <v>1.6</v>
      </c>
      <c r="F34">
        <v>1</v>
      </c>
      <c r="Y34" s="50">
        <f>0.15+0.01*3+0.007*('INFILTRATION LOAD'!D34-'INFILTRATION LOAD'!E34)</f>
        <v>0.26400000000000001</v>
      </c>
      <c r="Z34">
        <v>5.4874999999999998</v>
      </c>
      <c r="AB34" s="46">
        <v>13.7066</v>
      </c>
      <c r="AD34">
        <f>0.15+3*0.01+0.007*('INFILTRATION LOAD'!D194-'INFILTRATION LOAD'!E194)</f>
        <v>0.2535</v>
      </c>
      <c r="AE34">
        <v>2.64</v>
      </c>
    </row>
    <row r="35" spans="1:31" x14ac:dyDescent="0.25">
      <c r="A35">
        <v>14</v>
      </c>
      <c r="B35">
        <f>A35*1</f>
        <v>14</v>
      </c>
      <c r="Y35" s="50">
        <f>0.15+0.01*3+0.007*('INFILTRATION LOAD'!D35-'INFILTRATION LOAD'!E35)</f>
        <v>0.26400000000000001</v>
      </c>
      <c r="Z35">
        <v>5.51</v>
      </c>
      <c r="AB35" s="47">
        <v>2.6213000000000002</v>
      </c>
      <c r="AD35">
        <f>0.15+3*0.01+0.007*('INFILTRATION LOAD'!D195-'INFILTRATION LOAD'!E195)</f>
        <v>0.26400000000000001</v>
      </c>
      <c r="AE35">
        <v>15.8619</v>
      </c>
    </row>
    <row r="36" spans="1:31" x14ac:dyDescent="0.25">
      <c r="B36">
        <f>A36*1</f>
        <v>0</v>
      </c>
      <c r="Y36" s="50">
        <f>0.15+0.01*3+0.007*('INFILTRATION LOAD'!D36-'INFILTRATION LOAD'!E36)</f>
        <v>0.26400000000000001</v>
      </c>
      <c r="Z36">
        <v>5.6363000000000003</v>
      </c>
      <c r="AB36" s="46">
        <v>11.052199999999999</v>
      </c>
      <c r="AD36">
        <f>0.15+3*0.01+0.007*('INFILTRATION LOAD'!D196-'INFILTRATION LOAD'!E196)</f>
        <v>0.2535</v>
      </c>
      <c r="AE36">
        <v>2.64</v>
      </c>
    </row>
    <row r="37" spans="1:31" x14ac:dyDescent="0.25">
      <c r="Y37" s="50">
        <f>0.15+0.01*3+0.007*('INFILTRATION LOAD'!D37-'INFILTRATION LOAD'!E37)</f>
        <v>0.2535</v>
      </c>
      <c r="Z37">
        <v>5.5202999999999998</v>
      </c>
      <c r="AB37" s="46">
        <v>13.6813</v>
      </c>
      <c r="AD37">
        <f>0.15+3*0.01+0.007*('INFILTRATION LOAD'!D197-'INFILTRATION LOAD'!E197)</f>
        <v>0.26400000000000001</v>
      </c>
      <c r="AE37">
        <v>24.783000000000001</v>
      </c>
    </row>
    <row r="38" spans="1:31" x14ac:dyDescent="0.25">
      <c r="A38" s="99" t="s">
        <v>99</v>
      </c>
      <c r="B38" s="99"/>
      <c r="C38" s="99"/>
      <c r="Y38" s="50">
        <f>0.15+0.01*3+0.007*('INFILTRATION LOAD'!D38-'INFILTRATION LOAD'!E38)</f>
        <v>0.26400000000000001</v>
      </c>
      <c r="Z38">
        <v>9.1492000000000004</v>
      </c>
      <c r="AB38" s="47">
        <v>2.64</v>
      </c>
      <c r="AD38">
        <f>0.15+3*0.01+0.007*('INFILTRATION LOAD'!D198-'INFILTRATION LOAD'!E198)</f>
        <v>0.2535</v>
      </c>
      <c r="AE38">
        <v>2.64</v>
      </c>
    </row>
    <row r="39" spans="1:31" x14ac:dyDescent="0.25">
      <c r="A39" s="99" t="s">
        <v>98</v>
      </c>
      <c r="B39" s="99"/>
      <c r="C39" s="99"/>
      <c r="Y39" s="50">
        <f>0.15+0.01*3+0.007*('INFILTRATION LOAD'!D39-'INFILTRATION LOAD'!E39)</f>
        <v>0.26400000000000001</v>
      </c>
      <c r="Z39">
        <v>4.9522000000000004</v>
      </c>
      <c r="AB39" s="46">
        <v>18.7319</v>
      </c>
      <c r="AD39">
        <f>0.15+3*0.01+0.007*('INFILTRATION LOAD'!D199-'INFILTRATION LOAD'!E199)</f>
        <v>0.26400000000000001</v>
      </c>
      <c r="AE39">
        <v>24.890899999999998</v>
      </c>
    </row>
    <row r="40" spans="1:31" x14ac:dyDescent="0.25">
      <c r="A40" s="27" t="s">
        <v>87</v>
      </c>
      <c r="B40" s="27" t="s">
        <v>88</v>
      </c>
      <c r="C40" s="27" t="s">
        <v>94</v>
      </c>
      <c r="E40" t="s">
        <v>122</v>
      </c>
      <c r="F40" t="s">
        <v>53</v>
      </c>
      <c r="Y40" s="50">
        <f>0.15+0.01*3+0.007*('INFILTRATION LOAD'!D40-'INFILTRATION LOAD'!E40)</f>
        <v>0.26400000000000001</v>
      </c>
      <c r="Z40">
        <v>25.253799999999998</v>
      </c>
      <c r="AB40" s="47">
        <v>6.9295999999999998</v>
      </c>
      <c r="AD40">
        <f>0.15+3*0.01+0.007*('INFILTRATION LOAD'!D200-'INFILTRATION LOAD'!E200)</f>
        <v>0.2535</v>
      </c>
      <c r="AE40">
        <v>2.64</v>
      </c>
    </row>
    <row r="41" spans="1:31" x14ac:dyDescent="0.25">
      <c r="A41">
        <v>0</v>
      </c>
      <c r="B41">
        <v>0</v>
      </c>
      <c r="C41">
        <v>6.5</v>
      </c>
      <c r="E41">
        <v>2.31</v>
      </c>
      <c r="F41">
        <v>1</v>
      </c>
      <c r="Y41" s="50">
        <f>0.15+0.01*3+0.007*('INFILTRATION LOAD'!D41-'INFILTRATION LOAD'!E41)</f>
        <v>0.26400000000000001</v>
      </c>
      <c r="Z41">
        <v>14.3811</v>
      </c>
      <c r="AB41" s="46">
        <v>25.372</v>
      </c>
      <c r="AD41">
        <f>0.15+3*0.01+0.007*('INFILTRATION LOAD'!D201-'INFILTRATION LOAD'!E201)</f>
        <v>0.26400000000000001</v>
      </c>
      <c r="AE41">
        <v>13.6813</v>
      </c>
    </row>
    <row r="42" spans="1:31" x14ac:dyDescent="0.25">
      <c r="A42">
        <v>0</v>
      </c>
      <c r="B42">
        <f>2.3*2</f>
        <v>4.5999999999999996</v>
      </c>
      <c r="C42">
        <v>6</v>
      </c>
      <c r="E42">
        <v>2.31</v>
      </c>
      <c r="F42">
        <v>1</v>
      </c>
      <c r="Y42" s="50">
        <f>0.15+0.01*3+0.007*('INFILTRATION LOAD'!D42-'INFILTRATION LOAD'!E42)</f>
        <v>0.26400000000000001</v>
      </c>
      <c r="Z42">
        <v>14.3811</v>
      </c>
      <c r="AB42" s="47">
        <v>2.6086999999999998</v>
      </c>
      <c r="AD42">
        <f>0.15+3*0.01+0.007*('INFILTRATION LOAD'!D202-'INFILTRATION LOAD'!E202)</f>
        <v>0.2535</v>
      </c>
      <c r="AE42">
        <v>2.64</v>
      </c>
    </row>
    <row r="43" spans="1:31" x14ac:dyDescent="0.25">
      <c r="A43">
        <v>0</v>
      </c>
      <c r="B43">
        <f>2.3*2</f>
        <v>4.5999999999999996</v>
      </c>
      <c r="C43">
        <v>6</v>
      </c>
      <c r="E43">
        <v>2.31</v>
      </c>
      <c r="F43">
        <v>1</v>
      </c>
      <c r="Y43" s="50">
        <f>0.15+0.01*3+0.007*('INFILTRATION LOAD'!D43-'INFILTRATION LOAD'!E43)</f>
        <v>0.26400000000000001</v>
      </c>
      <c r="Z43">
        <v>10.417999999999999</v>
      </c>
      <c r="AB43" s="47">
        <v>6.6151</v>
      </c>
      <c r="AD43">
        <f>0.15+3*0.01+0.007*('INFILTRATION LOAD'!D203-'INFILTRATION LOAD'!E203)</f>
        <v>0.26400000000000001</v>
      </c>
      <c r="AE43">
        <v>13.751200000000001</v>
      </c>
    </row>
    <row r="44" spans="1:31" x14ac:dyDescent="0.25">
      <c r="A44">
        <v>0</v>
      </c>
      <c r="B44">
        <v>0</v>
      </c>
      <c r="C44">
        <v>10.23</v>
      </c>
      <c r="E44">
        <v>2.31</v>
      </c>
      <c r="F44">
        <v>1</v>
      </c>
      <c r="Y44" s="50">
        <f>0.15+0.01*3+0.007*('INFILTRATION LOAD'!D44-'INFILTRATION LOAD'!E44)</f>
        <v>0.26400000000000001</v>
      </c>
      <c r="Z44">
        <v>9.9804999999999993</v>
      </c>
      <c r="AB44" s="46">
        <v>25.48</v>
      </c>
      <c r="AD44">
        <f>0.15+3*0.01+0.007*('INFILTRATION LOAD'!D204-'INFILTRATION LOAD'!E204)</f>
        <v>0.2535</v>
      </c>
      <c r="AE44">
        <v>2.64</v>
      </c>
    </row>
    <row r="45" spans="1:31" x14ac:dyDescent="0.25">
      <c r="A45">
        <v>0</v>
      </c>
      <c r="B45">
        <v>0</v>
      </c>
      <c r="C45">
        <v>17</v>
      </c>
      <c r="E45">
        <v>2.7</v>
      </c>
      <c r="F45">
        <v>1</v>
      </c>
      <c r="Y45" s="50">
        <f>0.15+0.01*3+0.007*('INFILTRATION LOAD'!D45-'INFILTRATION LOAD'!E45)</f>
        <v>0.26400000000000001</v>
      </c>
      <c r="Z45">
        <v>14.435600000000001</v>
      </c>
      <c r="AB45" s="47">
        <v>2.6086999999999998</v>
      </c>
      <c r="AD45">
        <f>0.15+3*0.01+0.007*('INFILTRATION LOAD'!D205-'INFILTRATION LOAD'!E205)</f>
        <v>0.26400000000000001</v>
      </c>
      <c r="AE45">
        <v>16.011199999999999</v>
      </c>
    </row>
    <row r="46" spans="1:31" x14ac:dyDescent="0.25">
      <c r="A46">
        <v>0</v>
      </c>
      <c r="B46">
        <v>0</v>
      </c>
      <c r="C46">
        <v>10.23</v>
      </c>
      <c r="E46">
        <v>1.4</v>
      </c>
      <c r="F46">
        <v>1</v>
      </c>
      <c r="Y46" s="50">
        <f>0.15+0.01*3+0.007*('INFILTRATION LOAD'!D46-'INFILTRATION LOAD'!E46)</f>
        <v>0.26400000000000001</v>
      </c>
      <c r="Z46">
        <v>14.435600000000001</v>
      </c>
      <c r="AB46" s="46">
        <v>13.751200000000001</v>
      </c>
      <c r="AD46">
        <f>0.15+3*0.01+0.007*('INFILTRATION LOAD'!D206-'INFILTRATION LOAD'!E206)</f>
        <v>0.2535</v>
      </c>
      <c r="AE46">
        <v>2.64</v>
      </c>
    </row>
    <row r="47" spans="1:31" x14ac:dyDescent="0.25">
      <c r="A47">
        <v>0</v>
      </c>
      <c r="B47">
        <f>2.3*2</f>
        <v>4.5999999999999996</v>
      </c>
      <c r="C47">
        <v>6</v>
      </c>
      <c r="E47">
        <v>1.4</v>
      </c>
      <c r="F47">
        <v>1</v>
      </c>
      <c r="Y47" s="50">
        <f>0.15+0.01*3+0.007*('INFILTRATION LOAD'!D47-'INFILTRATION LOAD'!E47)</f>
        <v>0.26400000000000001</v>
      </c>
      <c r="Z47">
        <v>14.363899999999999</v>
      </c>
      <c r="AB47" s="47">
        <v>2.64</v>
      </c>
      <c r="AD47">
        <f>0.15+3*0.01+0.007*('INFILTRATION LOAD'!D207-'INFILTRATION LOAD'!E207)</f>
        <v>0.26400000000000001</v>
      </c>
      <c r="AE47">
        <v>16.011199999999999</v>
      </c>
    </row>
    <row r="48" spans="1:31" x14ac:dyDescent="0.25">
      <c r="A48">
        <v>0</v>
      </c>
      <c r="B48">
        <f>2.3*2</f>
        <v>4.5999999999999996</v>
      </c>
      <c r="C48">
        <v>6</v>
      </c>
      <c r="E48">
        <v>1.4</v>
      </c>
      <c r="F48">
        <v>1</v>
      </c>
      <c r="Y48" s="50">
        <f>0.15+0.01*3+0.007*('INFILTRATION LOAD'!D48-'INFILTRATION LOAD'!E48)</f>
        <v>0.26400000000000001</v>
      </c>
      <c r="Z48">
        <v>8.4309999999999992</v>
      </c>
      <c r="AB48" s="46">
        <v>38.453699999999998</v>
      </c>
      <c r="AD48">
        <f>0.15+3*0.01+0.007*('INFILTRATION LOAD'!D208-'INFILTRATION LOAD'!E208)</f>
        <v>0.2535</v>
      </c>
      <c r="AE48">
        <v>2.64</v>
      </c>
    </row>
    <row r="49" spans="1:31" x14ac:dyDescent="0.25">
      <c r="A49">
        <v>0</v>
      </c>
      <c r="B49">
        <v>0</v>
      </c>
      <c r="C49">
        <v>6.5</v>
      </c>
      <c r="E49">
        <v>1.4</v>
      </c>
      <c r="F49">
        <v>1</v>
      </c>
      <c r="Y49" s="50">
        <f>0.15+0.01*3+0.007*('INFILTRATION LOAD'!D49-'INFILTRATION LOAD'!E49)</f>
        <v>0.2535</v>
      </c>
      <c r="Z49">
        <v>8.3137000000000008</v>
      </c>
      <c r="AB49" s="46">
        <v>25.372</v>
      </c>
      <c r="AD49">
        <f>0.15+3*0.01+0.007*('INFILTRATION LOAD'!D209-'INFILTRATION LOAD'!E209)</f>
        <v>0.26400000000000001</v>
      </c>
      <c r="AE49">
        <v>8.9650999999999996</v>
      </c>
    </row>
    <row r="50" spans="1:31" x14ac:dyDescent="0.25">
      <c r="A50">
        <v>0</v>
      </c>
      <c r="B50">
        <v>2.7</v>
      </c>
      <c r="C50">
        <v>3.1</v>
      </c>
      <c r="E50">
        <v>1.4</v>
      </c>
      <c r="F50">
        <v>1</v>
      </c>
      <c r="Y50" s="50">
        <f>0.15+0.01*3+0.007*('INFILTRATION LOAD'!D50-'INFILTRATION LOAD'!E50)</f>
        <v>0.26400000000000001</v>
      </c>
      <c r="Z50">
        <v>8.4375</v>
      </c>
      <c r="AB50" s="47">
        <v>2.6086999999999998</v>
      </c>
      <c r="AD50">
        <f>0.15+3*0.01+0.007*('INFILTRATION LOAD'!D210-'INFILTRATION LOAD'!E210)</f>
        <v>0.26400000000000001</v>
      </c>
      <c r="AE50">
        <v>13.751200000000001</v>
      </c>
    </row>
    <row r="51" spans="1:31" x14ac:dyDescent="0.25">
      <c r="A51">
        <v>0</v>
      </c>
      <c r="B51">
        <v>1.4</v>
      </c>
      <c r="C51">
        <v>3.7</v>
      </c>
      <c r="E51">
        <v>3.35</v>
      </c>
      <c r="F51">
        <v>1</v>
      </c>
      <c r="Y51" s="50">
        <f>0.15+0.01*3+0.007*('INFILTRATION LOAD'!D51-'INFILTRATION LOAD'!E51)</f>
        <v>0.26400000000000001</v>
      </c>
      <c r="Z51">
        <v>13.606999999999999</v>
      </c>
      <c r="AB51" s="46">
        <v>25.48</v>
      </c>
      <c r="AD51">
        <f>0.15+3*0.01+0.007*('INFILTRATION LOAD'!D211-'INFILTRATION LOAD'!E211)</f>
        <v>0.2535</v>
      </c>
      <c r="AE51">
        <v>2.64</v>
      </c>
    </row>
    <row r="52" spans="1:31" x14ac:dyDescent="0.25">
      <c r="A52">
        <v>0</v>
      </c>
      <c r="B52">
        <v>1.4</v>
      </c>
      <c r="C52">
        <v>2.35</v>
      </c>
      <c r="E52">
        <v>2.4</v>
      </c>
      <c r="F52">
        <v>1</v>
      </c>
      <c r="Y52" s="50">
        <f>0.15+0.01*3+0.007*('INFILTRATION LOAD'!D52-'INFILTRATION LOAD'!E52)</f>
        <v>0.2535</v>
      </c>
      <c r="Z52">
        <v>17.259899999999998</v>
      </c>
      <c r="AB52" s="47">
        <v>2.6086999999999998</v>
      </c>
      <c r="AD52">
        <f>0.15+3*0.01+0.007*('INFILTRATION LOAD'!D212-'INFILTRATION LOAD'!E212)</f>
        <v>0.26400000000000001</v>
      </c>
      <c r="AE52">
        <v>13.751200000000001</v>
      </c>
    </row>
    <row r="53" spans="1:31" x14ac:dyDescent="0.25">
      <c r="A53">
        <v>0</v>
      </c>
      <c r="B53">
        <v>0</v>
      </c>
      <c r="C53">
        <v>3</v>
      </c>
      <c r="E53">
        <v>2.4</v>
      </c>
      <c r="F53">
        <v>1</v>
      </c>
      <c r="Y53" s="50">
        <f>0.15+0.01*3+0.007*('INFILTRATION LOAD'!D53-'INFILTRATION LOAD'!E53)</f>
        <v>0.26400000000000001</v>
      </c>
      <c r="Z53">
        <v>17.1267</v>
      </c>
      <c r="AB53" s="46">
        <v>13.751200000000001</v>
      </c>
      <c r="AD53">
        <f>0.15+3*0.01+0.007*('INFILTRATION LOAD'!D213-'INFILTRATION LOAD'!E213)</f>
        <v>0.2535</v>
      </c>
      <c r="AE53">
        <v>2.64</v>
      </c>
    </row>
    <row r="54" spans="1:31" x14ac:dyDescent="0.25">
      <c r="A54">
        <v>0</v>
      </c>
      <c r="B54">
        <v>1.4</v>
      </c>
      <c r="C54">
        <v>3</v>
      </c>
      <c r="E54">
        <v>2.4</v>
      </c>
      <c r="F54">
        <v>1</v>
      </c>
      <c r="Y54" s="50">
        <f>0.15+0.01*3+0.007*('INFILTRATION LOAD'!D54-'INFILTRATION LOAD'!E54)</f>
        <v>0.26400000000000001</v>
      </c>
      <c r="Z54">
        <v>8.5710999999999995</v>
      </c>
      <c r="AB54" s="47">
        <v>2.64</v>
      </c>
      <c r="AD54">
        <f>0.15+3*0.01+0.007*('INFILTRATION LOAD'!D214-'INFILTRATION LOAD'!E214)</f>
        <v>0.26400000000000001</v>
      </c>
      <c r="AE54">
        <v>23.482900000000001</v>
      </c>
    </row>
    <row r="55" spans="1:31" x14ac:dyDescent="0.25">
      <c r="A55">
        <v>0</v>
      </c>
      <c r="B55">
        <v>1.4</v>
      </c>
      <c r="C55">
        <v>3</v>
      </c>
      <c r="E55">
        <v>2.23</v>
      </c>
      <c r="F55">
        <v>1</v>
      </c>
      <c r="Y55" s="50">
        <f>0.15+0.01*3+0.007*('INFILTRATION LOAD'!D55-'INFILTRATION LOAD'!E55)</f>
        <v>0.26400000000000001</v>
      </c>
      <c r="Z55">
        <v>35.317700000000002</v>
      </c>
      <c r="AB55" s="46">
        <v>13.751200000000001</v>
      </c>
      <c r="AD55">
        <f>0.15+3*0.01+0.007*('INFILTRATION LOAD'!D215-'INFILTRATION LOAD'!E215)</f>
        <v>0.26400000000000001</v>
      </c>
      <c r="AE55">
        <v>10.757199999999999</v>
      </c>
    </row>
    <row r="56" spans="1:31" x14ac:dyDescent="0.25">
      <c r="A56">
        <v>0</v>
      </c>
      <c r="B56">
        <v>1.4</v>
      </c>
      <c r="C56">
        <v>3</v>
      </c>
      <c r="E56">
        <v>0.6</v>
      </c>
      <c r="F56">
        <v>0.6</v>
      </c>
      <c r="Y56" s="50">
        <f>0.15+0.01*3+0.007*('INFILTRATION LOAD'!D56-'INFILTRATION LOAD'!E56)</f>
        <v>0.26400000000000001</v>
      </c>
      <c r="Z56">
        <v>13.5984</v>
      </c>
      <c r="AB56" s="47">
        <v>2.64</v>
      </c>
      <c r="AD56">
        <f>0.15+3*0.01+0.007*('INFILTRATION LOAD'!D216-'INFILTRATION LOAD'!E216)</f>
        <v>0.2535</v>
      </c>
      <c r="AE56">
        <v>2.64</v>
      </c>
    </row>
    <row r="57" spans="1:31" x14ac:dyDescent="0.25">
      <c r="A57">
        <v>0</v>
      </c>
      <c r="B57">
        <v>1.4</v>
      </c>
      <c r="C57">
        <v>3</v>
      </c>
      <c r="E57">
        <v>2.4</v>
      </c>
      <c r="F57">
        <v>1</v>
      </c>
      <c r="Y57" s="50">
        <f>0.15+0.01*3+0.007*('INFILTRATION LOAD'!D57-'INFILTRATION LOAD'!E57)</f>
        <v>0.2535</v>
      </c>
      <c r="Z57">
        <v>17.0428</v>
      </c>
      <c r="AB57" s="46">
        <v>21.361599999999999</v>
      </c>
      <c r="AD57">
        <f>0.15+3*0.01+0.007*('INFILTRATION LOAD'!D217-'INFILTRATION LOAD'!E217)</f>
        <v>0.26400000000000001</v>
      </c>
      <c r="AE57">
        <v>11.315</v>
      </c>
    </row>
    <row r="58" spans="1:31" x14ac:dyDescent="0.25">
      <c r="A58">
        <v>0</v>
      </c>
      <c r="B58">
        <v>3.35</v>
      </c>
      <c r="C58">
        <v>3.75</v>
      </c>
      <c r="E58">
        <v>1.2</v>
      </c>
      <c r="F58">
        <v>0.6</v>
      </c>
      <c r="Y58" s="50">
        <f>0.15+0.01*3+0.007*('INFILTRATION LOAD'!D58-'INFILTRATION LOAD'!E58)</f>
        <v>0.26400000000000001</v>
      </c>
      <c r="Z58">
        <v>10.441700000000001</v>
      </c>
      <c r="AB58" s="47">
        <v>1.6646000000000001</v>
      </c>
      <c r="AD58">
        <f>0.15+3*0.01+0.007*('INFILTRATION LOAD'!D218-'INFILTRATION LOAD'!E218)</f>
        <v>0.2535</v>
      </c>
      <c r="AE58">
        <v>2.64</v>
      </c>
    </row>
    <row r="59" spans="1:31" x14ac:dyDescent="0.25">
      <c r="A59">
        <v>0</v>
      </c>
      <c r="B59">
        <v>0</v>
      </c>
      <c r="C59">
        <v>3</v>
      </c>
      <c r="E59">
        <v>1.2</v>
      </c>
      <c r="F59">
        <v>0.6</v>
      </c>
      <c r="Y59" s="50">
        <f>0.15+0.01*3+0.007*('INFILTRATION LOAD'!D59-'INFILTRATION LOAD'!E59)</f>
        <v>0.26400000000000001</v>
      </c>
      <c r="Z59">
        <v>11.591900000000001</v>
      </c>
      <c r="AB59" s="46">
        <v>31.438800000000001</v>
      </c>
      <c r="AD59">
        <f>0.15+3*0.01+0.007*('INFILTRATION LOAD'!D219-'INFILTRATION LOAD'!E219)</f>
        <v>0.26400000000000001</v>
      </c>
      <c r="AE59">
        <v>13.308299999999999</v>
      </c>
    </row>
    <row r="60" spans="1:31" x14ac:dyDescent="0.25">
      <c r="A60">
        <v>0</v>
      </c>
      <c r="B60">
        <v>2.4</v>
      </c>
      <c r="C60">
        <v>3.9</v>
      </c>
      <c r="Y60" s="50">
        <f>0.15+0.01*3+0.007*('INFILTRATION LOAD'!D60-'INFILTRATION LOAD'!E60)</f>
        <v>0.26400000000000001</v>
      </c>
      <c r="Z60">
        <v>19.076899999999998</v>
      </c>
      <c r="AB60" s="46">
        <v>34.986199999999997</v>
      </c>
      <c r="AD60">
        <f>0.15+3*0.01+0.007*('INFILTRATION LOAD'!D220-'INFILTRATION LOAD'!E220)</f>
        <v>0.26400000000000001</v>
      </c>
      <c r="AE60">
        <v>11.087199999999999</v>
      </c>
    </row>
    <row r="61" spans="1:31" x14ac:dyDescent="0.25">
      <c r="A61">
        <v>0</v>
      </c>
      <c r="B61">
        <v>2.4</v>
      </c>
      <c r="C61">
        <v>3.9</v>
      </c>
      <c r="E61">
        <v>3.35</v>
      </c>
      <c r="F61">
        <v>1</v>
      </c>
      <c r="Y61" s="50">
        <f>0.15+0.01*3+0.007*('INFILTRATION LOAD'!D61-'INFILTRATION LOAD'!E61)</f>
        <v>0.2535</v>
      </c>
      <c r="Z61" s="51">
        <v>2.5344000000000002</v>
      </c>
      <c r="AB61" s="46">
        <v>5.4111000000000002</v>
      </c>
      <c r="AD61">
        <f>0.15+3*0.01+0.007*('INFILTRATION LOAD'!D221-'INFILTRATION LOAD'!E221)</f>
        <v>0.26400000000000001</v>
      </c>
      <c r="AE61">
        <v>8.2750000000000004</v>
      </c>
    </row>
    <row r="62" spans="1:31" x14ac:dyDescent="0.25">
      <c r="A62">
        <v>0</v>
      </c>
      <c r="B62">
        <v>2.4</v>
      </c>
      <c r="C62" s="28">
        <v>3.2</v>
      </c>
      <c r="E62">
        <v>1.4</v>
      </c>
      <c r="F62">
        <v>1</v>
      </c>
      <c r="Y62" s="50">
        <f>0.15+0.01*3+0.007*('INFILTRATION LOAD'!D62-'INFILTRATION LOAD'!E62)</f>
        <v>0.2535</v>
      </c>
      <c r="Z62">
        <v>34.215200000000003</v>
      </c>
      <c r="AB62" s="46">
        <v>25.7486</v>
      </c>
      <c r="AD62">
        <f>0.15+3*0.01+0.007*('INFILTRATION LOAD'!D222-'INFILTRATION LOAD'!E222)</f>
        <v>0.26400000000000001</v>
      </c>
      <c r="AE62">
        <v>13.467499999999999</v>
      </c>
    </row>
    <row r="63" spans="1:31" x14ac:dyDescent="0.25">
      <c r="A63">
        <v>0</v>
      </c>
      <c r="B63">
        <v>2.23</v>
      </c>
      <c r="C63" s="28">
        <v>2.48</v>
      </c>
      <c r="E63">
        <v>1.4</v>
      </c>
      <c r="F63">
        <v>1</v>
      </c>
      <c r="Y63" s="50">
        <f>0.15+0.01*3+0.007*('INFILTRATION LOAD'!D63-'INFILTRATION LOAD'!E63)</f>
        <v>0.2535</v>
      </c>
      <c r="Z63">
        <v>2.5941000000000001</v>
      </c>
      <c r="AB63" s="47">
        <v>3.863</v>
      </c>
      <c r="AD63">
        <f>0.15+3*0.01+0.007*('INFILTRATION LOAD'!D223-'INFILTRATION LOAD'!E223)</f>
        <v>0.26400000000000001</v>
      </c>
      <c r="AE63">
        <v>183.94380000000001</v>
      </c>
    </row>
    <row r="64" spans="1:31" x14ac:dyDescent="0.25">
      <c r="A64">
        <v>0</v>
      </c>
      <c r="B64">
        <v>0.6</v>
      </c>
      <c r="C64" s="28">
        <v>1.88</v>
      </c>
      <c r="E64">
        <v>1.4</v>
      </c>
      <c r="F64">
        <v>1</v>
      </c>
      <c r="Y64" s="50">
        <f>0.15+0.01*3+0.007*('INFILTRATION LOAD'!D64-'INFILTRATION LOAD'!E64)</f>
        <v>0.2535</v>
      </c>
      <c r="Z64">
        <v>1.9624999999999999</v>
      </c>
      <c r="AB64" s="46">
        <v>16.799399999999999</v>
      </c>
      <c r="AD64">
        <f>0.15+3*0.01+0.007*('INFILTRATION LOAD'!D224-'INFILTRATION LOAD'!E224)</f>
        <v>0.26400000000000001</v>
      </c>
      <c r="AE64">
        <v>58.860100000000003</v>
      </c>
    </row>
    <row r="65" spans="1:31" x14ac:dyDescent="0.25">
      <c r="A65">
        <v>0</v>
      </c>
      <c r="B65">
        <v>0.6</v>
      </c>
      <c r="C65" s="28">
        <v>1.5</v>
      </c>
      <c r="E65">
        <v>1.4</v>
      </c>
      <c r="F65">
        <v>1</v>
      </c>
      <c r="Y65" s="50">
        <f>0.15+0.01*3+0.007*('INFILTRATION LOAD'!D65-'INFILTRATION LOAD'!E65)</f>
        <v>0.26400000000000001</v>
      </c>
      <c r="Z65">
        <v>5.7183999999999999</v>
      </c>
      <c r="AB65" s="46">
        <v>16.799900000000001</v>
      </c>
      <c r="AD65">
        <f>0.15+3*0.01+0.007*('INFILTRATION LOAD'!D225-'INFILTRATION LOAD'!E225)</f>
        <v>0.2535</v>
      </c>
      <c r="AE65">
        <v>17.4452</v>
      </c>
    </row>
    <row r="66" spans="1:31" x14ac:dyDescent="0.25">
      <c r="A66">
        <v>0</v>
      </c>
      <c r="B66">
        <v>2.4</v>
      </c>
      <c r="C66">
        <v>5.7</v>
      </c>
      <c r="E66">
        <v>1.4</v>
      </c>
      <c r="F66">
        <v>1</v>
      </c>
      <c r="Y66" s="50">
        <f>0.15+0.01*3+0.007*('INFILTRATION LOAD'!D66-'INFILTRATION LOAD'!E66)</f>
        <v>0.26400000000000001</v>
      </c>
      <c r="Z66">
        <v>9.2249999999999996</v>
      </c>
      <c r="AB66" s="46">
        <v>10.2258</v>
      </c>
      <c r="AD66">
        <f>0.15+3*0.01+0.007*('INFILTRATION LOAD'!D226-'INFILTRATION LOAD'!E226)</f>
        <v>0.2535</v>
      </c>
      <c r="AE66">
        <v>17.480599999999999</v>
      </c>
    </row>
    <row r="67" spans="1:31" x14ac:dyDescent="0.25">
      <c r="A67">
        <v>0</v>
      </c>
      <c r="B67">
        <v>0</v>
      </c>
      <c r="C67">
        <v>4.8</v>
      </c>
      <c r="E67">
        <v>0.6</v>
      </c>
      <c r="F67">
        <v>0.6</v>
      </c>
      <c r="Y67" s="50">
        <f>0.15+0.01*3+0.007*('INFILTRATION LOAD'!D67-'INFILTRATION LOAD'!E67)</f>
        <v>0.2535</v>
      </c>
      <c r="Z67" s="51">
        <v>1.9450000000000001</v>
      </c>
      <c r="AB67" s="46">
        <v>19.000699999999998</v>
      </c>
      <c r="AD67">
        <f>0.15+3*0.01+0.007*('INFILTRATION LOAD'!D227-'INFILTRATION LOAD'!E227)</f>
        <v>0.26400000000000001</v>
      </c>
      <c r="AE67">
        <v>43.5914</v>
      </c>
    </row>
    <row r="68" spans="1:31" x14ac:dyDescent="0.25">
      <c r="A68">
        <v>0</v>
      </c>
      <c r="B68">
        <v>1.2</v>
      </c>
      <c r="C68">
        <v>3</v>
      </c>
      <c r="Y68" s="50">
        <f>0.15+0.01*3+0.007*('INFILTRATION LOAD'!D68-'INFILTRATION LOAD'!E68)</f>
        <v>0.26400000000000001</v>
      </c>
      <c r="Z68">
        <v>38.032499999999999</v>
      </c>
      <c r="AB68" s="46">
        <v>14.987500000000001</v>
      </c>
      <c r="AD68">
        <f>0.15+3*0.01+0.007*('INFILTRATION LOAD'!D228-'INFILTRATION LOAD'!E228)</f>
        <v>0.26400000000000001</v>
      </c>
      <c r="AE68">
        <v>10.900600000000001</v>
      </c>
    </row>
    <row r="69" spans="1:31" x14ac:dyDescent="0.25">
      <c r="A69">
        <v>0</v>
      </c>
      <c r="B69">
        <v>1.2</v>
      </c>
      <c r="C69">
        <v>3</v>
      </c>
      <c r="Y69" s="50">
        <f>0.15+0.01*3+0.007*('INFILTRATION LOAD'!D69-'INFILTRATION LOAD'!E69)</f>
        <v>0.26400000000000001</v>
      </c>
      <c r="Z69">
        <v>50.888100000000001</v>
      </c>
      <c r="AB69" s="47">
        <v>1.68</v>
      </c>
      <c r="AD69">
        <f>0.15+3*0.01+0.007*('INFILTRATION LOAD'!D229-'INFILTRATION LOAD'!E229)</f>
        <v>0.26400000000000001</v>
      </c>
      <c r="AE69">
        <v>10.783099999999999</v>
      </c>
    </row>
    <row r="70" spans="1:31" x14ac:dyDescent="0.25">
      <c r="A70">
        <v>0</v>
      </c>
      <c r="C70">
        <v>6</v>
      </c>
      <c r="Y70" s="50">
        <f>0.15+0.01*3+0.007*('INFILTRATION LOAD'!D70-'INFILTRATION LOAD'!E70)</f>
        <v>0.26400000000000001</v>
      </c>
      <c r="Z70">
        <v>27.005600000000001</v>
      </c>
      <c r="AB70" s="46">
        <v>21.6006</v>
      </c>
      <c r="AD70">
        <f>0.15+3*0.01+0.007*('INFILTRATION LOAD'!D230-'INFILTRATION LOAD'!E230)</f>
        <v>0.26400000000000001</v>
      </c>
      <c r="AE70">
        <v>9.4162999999999997</v>
      </c>
    </row>
    <row r="71" spans="1:31" x14ac:dyDescent="0.25">
      <c r="A71">
        <v>0</v>
      </c>
      <c r="B71">
        <v>0</v>
      </c>
      <c r="C71">
        <v>12</v>
      </c>
      <c r="Y71" s="50">
        <f>0.15+0.01*3+0.007*('INFILTRATION LOAD'!D71-'INFILTRATION LOAD'!E71)</f>
        <v>0.2535</v>
      </c>
      <c r="Z71" s="51">
        <v>2.5344000000000002</v>
      </c>
      <c r="AB71" s="46">
        <v>23.600300000000001</v>
      </c>
      <c r="AD71">
        <f>0.15+3*0.01+0.007*('INFILTRATION LOAD'!D231-'INFILTRATION LOAD'!E231)</f>
        <v>0.26400000000000001</v>
      </c>
      <c r="AE71">
        <v>26.995799999999999</v>
      </c>
    </row>
    <row r="72" spans="1:31" x14ac:dyDescent="0.25">
      <c r="A72">
        <v>0</v>
      </c>
      <c r="B72">
        <v>0</v>
      </c>
      <c r="C72">
        <v>15.4</v>
      </c>
      <c r="Y72" s="50">
        <f>0.15+0.01*3+0.007*('INFILTRATION LOAD'!D72-'INFILTRATION LOAD'!E72)</f>
        <v>0.26400000000000001</v>
      </c>
      <c r="Z72">
        <v>2.2799999999999998</v>
      </c>
      <c r="AB72" s="46">
        <v>35.042499999999997</v>
      </c>
      <c r="AD72">
        <f>0.15+3*0.01+0.007*('INFILTRATION LOAD'!D232-'INFILTRATION LOAD'!E232)</f>
        <v>0.2535</v>
      </c>
      <c r="AE72">
        <v>2.64</v>
      </c>
    </row>
    <row r="73" spans="1:31" x14ac:dyDescent="0.25">
      <c r="A73">
        <v>0</v>
      </c>
      <c r="B73">
        <v>0</v>
      </c>
      <c r="C73">
        <v>2.2200000000000002</v>
      </c>
      <c r="Y73" s="50">
        <f>0.15+0.01*3+0.007*('INFILTRATION LOAD'!D73-'INFILTRATION LOAD'!E73)</f>
        <v>0.2535</v>
      </c>
      <c r="Z73">
        <v>181.69919999999999</v>
      </c>
      <c r="AB73" s="46">
        <v>5.6912000000000003</v>
      </c>
      <c r="AD73">
        <f>0.15+3*0.01+0.007*('INFILTRATION LOAD'!D233-'INFILTRATION LOAD'!E233)</f>
        <v>0.26400000000000001</v>
      </c>
      <c r="AE73">
        <v>628.01829999999995</v>
      </c>
    </row>
    <row r="74" spans="1:31" x14ac:dyDescent="0.25">
      <c r="A74">
        <v>0</v>
      </c>
      <c r="B74">
        <v>3.33</v>
      </c>
      <c r="C74">
        <v>3.75</v>
      </c>
      <c r="AB74" s="46">
        <v>4.1337999999999999</v>
      </c>
    </row>
    <row r="75" spans="1:31" x14ac:dyDescent="0.25">
      <c r="A75">
        <v>0</v>
      </c>
      <c r="B75">
        <v>1.4</v>
      </c>
      <c r="C75">
        <v>3</v>
      </c>
      <c r="AB75" s="46">
        <v>12.91</v>
      </c>
    </row>
    <row r="76" spans="1:31" x14ac:dyDescent="0.25">
      <c r="A76">
        <v>0</v>
      </c>
      <c r="B76">
        <v>1.4</v>
      </c>
      <c r="C76">
        <v>3</v>
      </c>
      <c r="AB76" s="46">
        <v>7.4783999999999997</v>
      </c>
    </row>
    <row r="77" spans="1:31" x14ac:dyDescent="0.25">
      <c r="A77">
        <v>0</v>
      </c>
      <c r="B77">
        <v>1.4</v>
      </c>
      <c r="C77">
        <v>3</v>
      </c>
      <c r="AB77" s="46">
        <v>17.520700000000001</v>
      </c>
    </row>
    <row r="78" spans="1:31" x14ac:dyDescent="0.25">
      <c r="A78">
        <v>0</v>
      </c>
      <c r="B78">
        <v>1.4</v>
      </c>
      <c r="C78">
        <v>3</v>
      </c>
      <c r="AB78" s="46">
        <v>2.8</v>
      </c>
    </row>
    <row r="79" spans="1:31" x14ac:dyDescent="0.25">
      <c r="A79">
        <v>0</v>
      </c>
      <c r="B79">
        <v>0</v>
      </c>
      <c r="C79">
        <v>2.2200000000000002</v>
      </c>
      <c r="AB79" s="46">
        <v>2.8</v>
      </c>
    </row>
    <row r="80" spans="1:31" x14ac:dyDescent="0.25">
      <c r="A80">
        <v>0</v>
      </c>
      <c r="B80">
        <v>1.4</v>
      </c>
      <c r="C80">
        <v>3.7</v>
      </c>
      <c r="AB80" s="46">
        <v>2.8</v>
      </c>
    </row>
    <row r="81" spans="1:28" x14ac:dyDescent="0.25">
      <c r="A81">
        <v>0</v>
      </c>
      <c r="B81">
        <v>0.6</v>
      </c>
      <c r="C81">
        <v>2.35</v>
      </c>
      <c r="AB81" s="47">
        <v>41.302100000000003</v>
      </c>
    </row>
    <row r="82" spans="1:28" x14ac:dyDescent="0.25">
      <c r="A82">
        <f>2.5*2</f>
        <v>5</v>
      </c>
      <c r="B82">
        <v>0</v>
      </c>
      <c r="C82">
        <v>3.1</v>
      </c>
      <c r="AB82" s="46">
        <v>46.974200000000003</v>
      </c>
    </row>
    <row r="83" spans="1:28" x14ac:dyDescent="0.25">
      <c r="AB83" s="47">
        <v>2.0901000000000001</v>
      </c>
    </row>
  </sheetData>
  <autoFilter ref="A4:B36" xr:uid="{00000000-0009-0000-0000-000006000000}"/>
  <mergeCells count="5">
    <mergeCell ref="A3:B3"/>
    <mergeCell ref="A38:C38"/>
    <mergeCell ref="A39:C39"/>
    <mergeCell ref="Y2:Z2"/>
    <mergeCell ref="AD2:AE2"/>
  </mergeCells>
  <conditionalFormatting sqref="AB4:AB11 AB13:AB83">
    <cfRule type="cellIs" dxfId="40" priority="2" operator="equal">
      <formula>$T$1</formula>
    </cfRule>
  </conditionalFormatting>
  <conditionalFormatting sqref="AB4:AB83">
    <cfRule type="cellIs" dxfId="39" priority="1" operator="equal">
      <formula>$K$1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01"/>
  <sheetViews>
    <sheetView topLeftCell="A46" workbookViewId="0">
      <selection activeCell="F5" sqref="F5"/>
    </sheetView>
  </sheetViews>
  <sheetFormatPr defaultRowHeight="15" x14ac:dyDescent="0.25"/>
  <cols>
    <col min="1" max="1" width="33.28515625" customWidth="1"/>
    <col min="2" max="2" width="12.28515625" customWidth="1"/>
    <col min="10" max="11" width="9.28515625" customWidth="1"/>
  </cols>
  <sheetData>
    <row r="1" spans="1:11" x14ac:dyDescent="0.25">
      <c r="A1" s="95" t="s">
        <v>12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23.25" x14ac:dyDescent="0.35">
      <c r="A2" s="93" t="s">
        <v>161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1" ht="15.75" thickBot="1" x14ac:dyDescent="0.3">
      <c r="A3" s="41" t="s">
        <v>0</v>
      </c>
      <c r="B3" s="42" t="s">
        <v>1</v>
      </c>
      <c r="C3" s="42" t="s">
        <v>2</v>
      </c>
      <c r="D3" s="42" t="s">
        <v>13</v>
      </c>
      <c r="E3" s="42" t="s">
        <v>7</v>
      </c>
      <c r="F3" s="42" t="s">
        <v>3</v>
      </c>
      <c r="G3" s="42" t="s">
        <v>14</v>
      </c>
      <c r="H3" s="42" t="s">
        <v>15</v>
      </c>
      <c r="I3" s="42" t="s">
        <v>16</v>
      </c>
      <c r="J3" s="42" t="s">
        <v>18</v>
      </c>
      <c r="K3" s="43" t="s">
        <v>17</v>
      </c>
    </row>
    <row r="4" spans="1:11" ht="15.75" thickBot="1" x14ac:dyDescent="0.3">
      <c r="A4" s="8" t="s">
        <v>55</v>
      </c>
      <c r="B4" s="6" t="s">
        <v>47</v>
      </c>
      <c r="C4" s="6">
        <v>2.8721999999999999</v>
      </c>
      <c r="D4" s="6">
        <v>34.5</v>
      </c>
      <c r="E4" s="6">
        <v>22.5</v>
      </c>
      <c r="F4" s="6">
        <f>References!E5*References!F5</f>
        <v>2</v>
      </c>
      <c r="G4" s="6">
        <f>_xlfn.IFS(B4="E",685,B4="N",120,B4="W",685,B4="S",230)</f>
        <v>685</v>
      </c>
      <c r="H4" s="6">
        <f>_xlfn.IFS(B4="E",0.8,B4="N",0.91,B4="W",0.82,B4="S",0.83)</f>
        <v>0.8</v>
      </c>
      <c r="I4" s="6">
        <v>0.55000000000000004</v>
      </c>
      <c r="J4" s="6">
        <f>G4*H4*F4*I4</f>
        <v>602.80000000000007</v>
      </c>
      <c r="K4" s="15">
        <f>(C4*F4)*(D4-E4)</f>
        <v>68.9328</v>
      </c>
    </row>
    <row r="5" spans="1:11" ht="15.75" thickBot="1" x14ac:dyDescent="0.3">
      <c r="A5" s="8" t="s">
        <v>56</v>
      </c>
      <c r="B5" s="6" t="s">
        <v>48</v>
      </c>
      <c r="C5" s="6">
        <v>2.8721999999999999</v>
      </c>
      <c r="D5" s="6">
        <v>34.5</v>
      </c>
      <c r="E5" s="6">
        <v>22.5</v>
      </c>
      <c r="F5" s="6">
        <f>References!E6*References!F6</f>
        <v>1.2</v>
      </c>
      <c r="G5" s="6">
        <f t="shared" ref="G5:G33" si="0">_xlfn.IFS(B5="E",685,B5="N",120,B5="W",685,B5="S",230)</f>
        <v>120</v>
      </c>
      <c r="H5" s="6">
        <f t="shared" ref="H5:H33" si="1">_xlfn.IFS(B5="E",0.8,B5="N",0.91,B5="W",0.82,B5="S",0.83)</f>
        <v>0.91</v>
      </c>
      <c r="I5" s="6">
        <v>0.55000000000000004</v>
      </c>
      <c r="J5" s="6">
        <f t="shared" ref="J5:J33" si="2">G5*H5*F5*I5</f>
        <v>72.072000000000003</v>
      </c>
      <c r="K5" s="15">
        <f t="shared" ref="K5:K33" si="3">(C5*F5)*(D5-E5)</f>
        <v>41.359679999999997</v>
      </c>
    </row>
    <row r="6" spans="1:11" ht="15.75" thickBot="1" x14ac:dyDescent="0.3">
      <c r="A6" s="8" t="s">
        <v>57</v>
      </c>
      <c r="B6" s="6" t="s">
        <v>48</v>
      </c>
      <c r="C6" s="6">
        <v>2.8721999999999999</v>
      </c>
      <c r="D6" s="6">
        <v>34.5</v>
      </c>
      <c r="E6" s="6">
        <v>22.5</v>
      </c>
      <c r="F6" s="6">
        <f>References!E7*References!F7</f>
        <v>0.36</v>
      </c>
      <c r="G6" s="6">
        <f t="shared" si="0"/>
        <v>120</v>
      </c>
      <c r="H6" s="6">
        <f t="shared" si="1"/>
        <v>0.91</v>
      </c>
      <c r="I6" s="6">
        <v>0.55000000000000004</v>
      </c>
      <c r="J6" s="6">
        <f t="shared" si="2"/>
        <v>21.621600000000001</v>
      </c>
      <c r="K6" s="15">
        <f t="shared" si="3"/>
        <v>12.407904</v>
      </c>
    </row>
    <row r="7" spans="1:11" ht="15.75" thickBot="1" x14ac:dyDescent="0.3">
      <c r="A7" s="8" t="s">
        <v>102</v>
      </c>
      <c r="B7" s="6" t="s">
        <v>48</v>
      </c>
      <c r="C7" s="6">
        <v>2.8721999999999999</v>
      </c>
      <c r="D7" s="6">
        <v>34.5</v>
      </c>
      <c r="E7" s="6">
        <v>24</v>
      </c>
      <c r="F7" s="6">
        <f>References!E8*References!F8</f>
        <v>0.72</v>
      </c>
      <c r="G7" s="6">
        <f t="shared" si="0"/>
        <v>120</v>
      </c>
      <c r="H7" s="6">
        <f t="shared" si="1"/>
        <v>0.91</v>
      </c>
      <c r="I7" s="6">
        <v>0.55000000000000004</v>
      </c>
      <c r="J7" s="6">
        <f t="shared" si="2"/>
        <v>43.243200000000002</v>
      </c>
      <c r="K7" s="15">
        <f t="shared" si="3"/>
        <v>21.713832</v>
      </c>
    </row>
    <row r="8" spans="1:11" ht="15.75" thickBot="1" x14ac:dyDescent="0.3">
      <c r="A8" s="8" t="s">
        <v>59</v>
      </c>
      <c r="B8" s="6" t="s">
        <v>48</v>
      </c>
      <c r="C8" s="6">
        <v>2.8721999999999999</v>
      </c>
      <c r="D8" s="6">
        <v>34.5</v>
      </c>
      <c r="E8" s="6">
        <v>24</v>
      </c>
      <c r="F8" s="6">
        <f>References!E9*References!F9</f>
        <v>0.72</v>
      </c>
      <c r="G8" s="6">
        <f t="shared" si="0"/>
        <v>120</v>
      </c>
      <c r="H8" s="6">
        <f t="shared" si="1"/>
        <v>0.91</v>
      </c>
      <c r="I8" s="6">
        <v>0.55000000000000004</v>
      </c>
      <c r="J8" s="6">
        <f t="shared" si="2"/>
        <v>43.243200000000002</v>
      </c>
      <c r="K8" s="15">
        <f t="shared" si="3"/>
        <v>21.713832</v>
      </c>
    </row>
    <row r="9" spans="1:11" ht="15.75" thickBot="1" x14ac:dyDescent="0.3">
      <c r="A9" s="8" t="s">
        <v>103</v>
      </c>
      <c r="B9" s="6" t="s">
        <v>48</v>
      </c>
      <c r="C9" s="6">
        <v>2.8210999999999999</v>
      </c>
      <c r="D9" s="6">
        <v>34.5</v>
      </c>
      <c r="E9" s="6">
        <v>22</v>
      </c>
      <c r="F9" s="6">
        <f>References!E10*References!F10</f>
        <v>1.6</v>
      </c>
      <c r="G9" s="6">
        <f t="shared" si="0"/>
        <v>120</v>
      </c>
      <c r="H9" s="6">
        <f t="shared" si="1"/>
        <v>0.91</v>
      </c>
      <c r="I9" s="6">
        <v>0.55000000000000004</v>
      </c>
      <c r="J9" s="6">
        <f t="shared" si="2"/>
        <v>96.096000000000018</v>
      </c>
      <c r="K9" s="15">
        <f t="shared" si="3"/>
        <v>56.422000000000004</v>
      </c>
    </row>
    <row r="10" spans="1:11" ht="15.75" thickBot="1" x14ac:dyDescent="0.3">
      <c r="A10" s="8" t="s">
        <v>104</v>
      </c>
      <c r="B10" s="6" t="s">
        <v>48</v>
      </c>
      <c r="C10" s="6">
        <v>2.8721999999999999</v>
      </c>
      <c r="D10" s="6">
        <v>34.5</v>
      </c>
      <c r="E10" s="6">
        <v>22.5</v>
      </c>
      <c r="F10" s="6">
        <f>References!E11*References!F11</f>
        <v>2.2000000000000002</v>
      </c>
      <c r="G10" s="6">
        <f t="shared" si="0"/>
        <v>120</v>
      </c>
      <c r="H10" s="6">
        <f t="shared" si="1"/>
        <v>0.91</v>
      </c>
      <c r="I10" s="6">
        <v>0.55000000000000004</v>
      </c>
      <c r="J10" s="6">
        <f t="shared" si="2"/>
        <v>132.13200000000003</v>
      </c>
      <c r="K10" s="15">
        <f t="shared" si="3"/>
        <v>75.82607999999999</v>
      </c>
    </row>
    <row r="11" spans="1:11" ht="15.75" thickBot="1" x14ac:dyDescent="0.3">
      <c r="A11" s="8" t="s">
        <v>105</v>
      </c>
      <c r="B11" s="6" t="s">
        <v>48</v>
      </c>
      <c r="C11" s="6">
        <v>2.8721999999999999</v>
      </c>
      <c r="D11" s="6">
        <v>34.5</v>
      </c>
      <c r="E11" s="6">
        <v>22.5</v>
      </c>
      <c r="F11" s="6">
        <f>References!E12*References!F12</f>
        <v>0.72</v>
      </c>
      <c r="G11" s="6">
        <f t="shared" si="0"/>
        <v>120</v>
      </c>
      <c r="H11" s="6">
        <f t="shared" si="1"/>
        <v>0.91</v>
      </c>
      <c r="I11" s="6">
        <v>0.55000000000000004</v>
      </c>
      <c r="J11" s="6">
        <f t="shared" si="2"/>
        <v>43.243200000000002</v>
      </c>
      <c r="K11" s="15">
        <f t="shared" si="3"/>
        <v>24.815808000000001</v>
      </c>
    </row>
    <row r="12" spans="1:11" ht="15.75" thickBot="1" x14ac:dyDescent="0.3">
      <c r="A12" s="8" t="s">
        <v>106</v>
      </c>
      <c r="B12" s="6" t="s">
        <v>49</v>
      </c>
      <c r="C12" s="6">
        <v>2.8721999999999999</v>
      </c>
      <c r="D12" s="6">
        <v>34.5</v>
      </c>
      <c r="E12" s="6">
        <v>22.5</v>
      </c>
      <c r="F12" s="6">
        <f>References!E13*References!F13</f>
        <v>2</v>
      </c>
      <c r="G12" s="6">
        <f t="shared" si="0"/>
        <v>685</v>
      </c>
      <c r="H12" s="6">
        <f t="shared" si="1"/>
        <v>0.82</v>
      </c>
      <c r="I12" s="6">
        <v>0.55000000000000004</v>
      </c>
      <c r="J12" s="6">
        <f t="shared" si="2"/>
        <v>617.87</v>
      </c>
      <c r="K12" s="15">
        <f t="shared" si="3"/>
        <v>68.9328</v>
      </c>
    </row>
    <row r="13" spans="1:11" ht="15.75" thickBot="1" x14ac:dyDescent="0.3">
      <c r="A13" s="8" t="s">
        <v>65</v>
      </c>
      <c r="B13" s="6" t="s">
        <v>49</v>
      </c>
      <c r="C13" s="6">
        <v>2.8721999999999999</v>
      </c>
      <c r="D13" s="6">
        <v>34.5</v>
      </c>
      <c r="E13" s="6">
        <v>22.5</v>
      </c>
      <c r="F13" s="6">
        <f>References!E14*References!F14</f>
        <v>2.75</v>
      </c>
      <c r="G13" s="6">
        <f t="shared" si="0"/>
        <v>685</v>
      </c>
      <c r="H13" s="6">
        <f t="shared" si="1"/>
        <v>0.82</v>
      </c>
      <c r="I13" s="6">
        <v>0.55000000000000004</v>
      </c>
      <c r="J13" s="6">
        <f t="shared" si="2"/>
        <v>849.57124999999996</v>
      </c>
      <c r="K13" s="15">
        <f t="shared" ref="K13" si="4">(C13*F13)*(D13-E13)</f>
        <v>94.782599999999988</v>
      </c>
    </row>
    <row r="14" spans="1:11" ht="15.75" thickBot="1" x14ac:dyDescent="0.3">
      <c r="A14" s="8" t="s">
        <v>65</v>
      </c>
      <c r="B14" s="6" t="s">
        <v>49</v>
      </c>
      <c r="C14" s="6">
        <v>2.8210999999999999</v>
      </c>
      <c r="D14" s="6">
        <v>34.5</v>
      </c>
      <c r="E14" s="6">
        <v>22.5</v>
      </c>
      <c r="F14" s="6">
        <f>References!E15*References!F15</f>
        <v>9</v>
      </c>
      <c r="G14" s="6">
        <f t="shared" si="0"/>
        <v>685</v>
      </c>
      <c r="H14" s="6">
        <f t="shared" si="1"/>
        <v>0.82</v>
      </c>
      <c r="I14" s="6">
        <v>0.55000000000000004</v>
      </c>
      <c r="J14" s="6">
        <f t="shared" si="2"/>
        <v>2780.415</v>
      </c>
      <c r="K14" s="15">
        <f t="shared" si="3"/>
        <v>304.67880000000002</v>
      </c>
    </row>
    <row r="15" spans="1:11" ht="15.75" thickBot="1" x14ac:dyDescent="0.3">
      <c r="A15" s="8" t="s">
        <v>108</v>
      </c>
      <c r="B15" s="6" t="s">
        <v>48</v>
      </c>
      <c r="C15" s="6">
        <v>2.8721999999999999</v>
      </c>
      <c r="D15" s="6">
        <v>34.5</v>
      </c>
      <c r="E15" s="6">
        <v>22.5</v>
      </c>
      <c r="F15" s="6">
        <f>References!E16*References!F16</f>
        <v>0.6</v>
      </c>
      <c r="G15" s="6">
        <f t="shared" si="0"/>
        <v>120</v>
      </c>
      <c r="H15" s="6">
        <f t="shared" si="1"/>
        <v>0.91</v>
      </c>
      <c r="I15" s="6">
        <v>0.55000000000000004</v>
      </c>
      <c r="J15" s="6">
        <f t="shared" si="2"/>
        <v>36.036000000000001</v>
      </c>
      <c r="K15" s="15">
        <f t="shared" si="3"/>
        <v>20.679839999999999</v>
      </c>
    </row>
    <row r="16" spans="1:11" ht="15.75" thickBot="1" x14ac:dyDescent="0.3">
      <c r="A16" s="8" t="s">
        <v>109</v>
      </c>
      <c r="B16" s="6" t="s">
        <v>49</v>
      </c>
      <c r="C16" s="6">
        <v>2.8721999999999999</v>
      </c>
      <c r="D16" s="6">
        <v>34.5</v>
      </c>
      <c r="E16" s="6">
        <v>22.5</v>
      </c>
      <c r="F16" s="6">
        <f>References!E17*References!F17</f>
        <v>4.2</v>
      </c>
      <c r="G16" s="6">
        <f t="shared" si="0"/>
        <v>685</v>
      </c>
      <c r="H16" s="6">
        <f t="shared" si="1"/>
        <v>0.82</v>
      </c>
      <c r="I16" s="6">
        <v>0.55000000000000004</v>
      </c>
      <c r="J16" s="6">
        <f t="shared" si="2"/>
        <v>1297.527</v>
      </c>
      <c r="K16" s="15">
        <f t="shared" si="3"/>
        <v>144.75888</v>
      </c>
    </row>
    <row r="17" spans="1:11" ht="15.75" thickBot="1" x14ac:dyDescent="0.3">
      <c r="A17" s="8" t="s">
        <v>107</v>
      </c>
      <c r="B17" s="6" t="s">
        <v>49</v>
      </c>
      <c r="C17" s="6">
        <v>2.8721999999999999</v>
      </c>
      <c r="D17" s="6">
        <v>34.5</v>
      </c>
      <c r="E17" s="6">
        <v>24</v>
      </c>
      <c r="F17" s="6">
        <f>References!E18*References!F18</f>
        <v>0.36</v>
      </c>
      <c r="G17" s="6">
        <f t="shared" si="0"/>
        <v>685</v>
      </c>
      <c r="H17" s="6">
        <f t="shared" si="1"/>
        <v>0.82</v>
      </c>
      <c r="I17" s="6">
        <v>0.55000000000000004</v>
      </c>
      <c r="J17" s="6">
        <f t="shared" si="2"/>
        <v>111.21659999999999</v>
      </c>
      <c r="K17" s="15">
        <f t="shared" si="3"/>
        <v>10.856916</v>
      </c>
    </row>
    <row r="18" spans="1:11" ht="15.75" thickBot="1" x14ac:dyDescent="0.3">
      <c r="A18" s="8" t="s">
        <v>110</v>
      </c>
      <c r="B18" s="6" t="s">
        <v>49</v>
      </c>
      <c r="C18" s="6">
        <v>2.8721999999999999</v>
      </c>
      <c r="D18" s="6">
        <v>34.5</v>
      </c>
      <c r="E18" s="6">
        <v>22.5</v>
      </c>
      <c r="F18" s="6">
        <f>References!E19*References!F19</f>
        <v>0.6</v>
      </c>
      <c r="G18" s="6">
        <f t="shared" si="0"/>
        <v>685</v>
      </c>
      <c r="H18" s="6">
        <f t="shared" si="1"/>
        <v>0.82</v>
      </c>
      <c r="I18" s="6">
        <v>0.55000000000000004</v>
      </c>
      <c r="J18" s="6">
        <f t="shared" si="2"/>
        <v>185.36099999999996</v>
      </c>
      <c r="K18" s="15">
        <f t="shared" si="3"/>
        <v>20.679839999999999</v>
      </c>
    </row>
    <row r="19" spans="1:11" ht="15.75" thickBot="1" x14ac:dyDescent="0.3">
      <c r="A19" s="8" t="s">
        <v>111</v>
      </c>
      <c r="B19" s="6" t="s">
        <v>50</v>
      </c>
      <c r="C19" s="6">
        <v>2.8721999999999999</v>
      </c>
      <c r="D19" s="6">
        <v>34.5</v>
      </c>
      <c r="E19" s="6">
        <v>22.5</v>
      </c>
      <c r="F19" s="6">
        <f>References!E20*References!F20</f>
        <v>1.6</v>
      </c>
      <c r="G19" s="6">
        <f t="shared" si="0"/>
        <v>230</v>
      </c>
      <c r="H19" s="6">
        <f t="shared" si="1"/>
        <v>0.83</v>
      </c>
      <c r="I19" s="6">
        <v>0.55000000000000004</v>
      </c>
      <c r="J19" s="6">
        <f t="shared" si="2"/>
        <v>167.99200000000002</v>
      </c>
      <c r="K19" s="15">
        <f t="shared" si="3"/>
        <v>55.146239999999992</v>
      </c>
    </row>
    <row r="20" spans="1:11" ht="15.75" thickBot="1" x14ac:dyDescent="0.3">
      <c r="A20" s="8" t="s">
        <v>112</v>
      </c>
      <c r="B20" s="6" t="s">
        <v>50</v>
      </c>
      <c r="C20" s="6">
        <v>2.8721999999999999</v>
      </c>
      <c r="D20" s="6">
        <v>34.5</v>
      </c>
      <c r="E20" s="6">
        <v>24</v>
      </c>
      <c r="F20" s="6">
        <f>References!E21*References!F21</f>
        <v>0.36</v>
      </c>
      <c r="G20" s="6">
        <f t="shared" si="0"/>
        <v>230</v>
      </c>
      <c r="H20" s="6">
        <f t="shared" si="1"/>
        <v>0.83</v>
      </c>
      <c r="I20" s="6">
        <v>0.55000000000000004</v>
      </c>
      <c r="J20" s="6">
        <f t="shared" si="2"/>
        <v>37.798199999999994</v>
      </c>
      <c r="K20" s="15">
        <f t="shared" si="3"/>
        <v>10.856916</v>
      </c>
    </row>
    <row r="21" spans="1:11" ht="15.75" thickBot="1" x14ac:dyDescent="0.3">
      <c r="A21" s="8" t="s">
        <v>113</v>
      </c>
      <c r="B21" s="6" t="s">
        <v>49</v>
      </c>
      <c r="C21" s="6">
        <v>2.8721999999999999</v>
      </c>
      <c r="D21" s="6">
        <v>34.5</v>
      </c>
      <c r="E21" s="6">
        <v>24</v>
      </c>
      <c r="F21" s="6">
        <f>References!E22*References!F22</f>
        <v>4.2</v>
      </c>
      <c r="G21" s="6">
        <f t="shared" si="0"/>
        <v>685</v>
      </c>
      <c r="H21" s="6">
        <f t="shared" si="1"/>
        <v>0.82</v>
      </c>
      <c r="I21" s="6">
        <v>0.55000000000000004</v>
      </c>
      <c r="J21" s="6">
        <f t="shared" si="2"/>
        <v>1297.527</v>
      </c>
      <c r="K21" s="15">
        <f t="shared" si="3"/>
        <v>126.66402000000001</v>
      </c>
    </row>
    <row r="22" spans="1:11" ht="15.75" thickBot="1" x14ac:dyDescent="0.3">
      <c r="A22" s="8" t="s">
        <v>114</v>
      </c>
      <c r="B22" s="6" t="s">
        <v>50</v>
      </c>
      <c r="C22" s="6">
        <v>2.8721999999999999</v>
      </c>
      <c r="D22" s="6">
        <v>34.5</v>
      </c>
      <c r="E22" s="6">
        <v>24</v>
      </c>
      <c r="F22" s="6">
        <f>References!E23*References!F23</f>
        <v>8.4</v>
      </c>
      <c r="G22" s="6">
        <f t="shared" si="0"/>
        <v>230</v>
      </c>
      <c r="H22" s="6">
        <f t="shared" si="1"/>
        <v>0.83</v>
      </c>
      <c r="I22" s="6">
        <v>0.55000000000000004</v>
      </c>
      <c r="J22" s="6">
        <f t="shared" si="2"/>
        <v>881.95800000000008</v>
      </c>
      <c r="K22" s="15">
        <f t="shared" si="3"/>
        <v>253.32804000000002</v>
      </c>
    </row>
    <row r="23" spans="1:11" ht="15.75" thickBot="1" x14ac:dyDescent="0.3">
      <c r="A23" s="8" t="s">
        <v>115</v>
      </c>
      <c r="B23" s="6" t="s">
        <v>47</v>
      </c>
      <c r="C23" s="6">
        <v>2.8721999999999999</v>
      </c>
      <c r="D23" s="6">
        <v>34.5</v>
      </c>
      <c r="E23" s="6">
        <v>24</v>
      </c>
      <c r="F23" s="6">
        <f>References!E24*References!F24</f>
        <v>1.4</v>
      </c>
      <c r="G23" s="6">
        <f t="shared" si="0"/>
        <v>685</v>
      </c>
      <c r="H23" s="6">
        <f t="shared" si="1"/>
        <v>0.8</v>
      </c>
      <c r="I23" s="6">
        <v>0.55000000000000004</v>
      </c>
      <c r="J23" s="6">
        <f t="shared" si="2"/>
        <v>421.96</v>
      </c>
      <c r="K23" s="15">
        <f t="shared" si="3"/>
        <v>42.221339999999998</v>
      </c>
    </row>
    <row r="24" spans="1:11" ht="15.75" thickBot="1" x14ac:dyDescent="0.3">
      <c r="A24" s="8" t="s">
        <v>116</v>
      </c>
      <c r="B24" s="6" t="s">
        <v>50</v>
      </c>
      <c r="C24" s="6">
        <v>2.8721999999999999</v>
      </c>
      <c r="D24" s="6">
        <v>34.5</v>
      </c>
      <c r="E24" s="6">
        <v>22.5</v>
      </c>
      <c r="F24" s="6">
        <f>References!E25*References!F25</f>
        <v>2.4</v>
      </c>
      <c r="G24" s="6">
        <f t="shared" si="0"/>
        <v>230</v>
      </c>
      <c r="H24" s="6">
        <f t="shared" si="1"/>
        <v>0.83</v>
      </c>
      <c r="I24" s="6">
        <v>0.55000000000000004</v>
      </c>
      <c r="J24" s="6">
        <f t="shared" si="2"/>
        <v>251.98799999999997</v>
      </c>
      <c r="K24" s="15">
        <f t="shared" si="3"/>
        <v>82.719359999999995</v>
      </c>
    </row>
    <row r="25" spans="1:11" ht="15.75" thickBot="1" x14ac:dyDescent="0.3">
      <c r="A25" s="8" t="s">
        <v>117</v>
      </c>
      <c r="B25" s="6" t="s">
        <v>50</v>
      </c>
      <c r="C25" s="6">
        <v>2.8721999999999999</v>
      </c>
      <c r="D25" s="6">
        <v>34.5</v>
      </c>
      <c r="E25" s="6">
        <v>22.5</v>
      </c>
      <c r="F25" s="6">
        <f>References!E26*References!F26</f>
        <v>2.8</v>
      </c>
      <c r="G25" s="6">
        <f t="shared" si="0"/>
        <v>230</v>
      </c>
      <c r="H25" s="6">
        <f t="shared" si="1"/>
        <v>0.83</v>
      </c>
      <c r="I25" s="6">
        <v>0.55000000000000004</v>
      </c>
      <c r="J25" s="6">
        <f t="shared" si="2"/>
        <v>293.98599999999993</v>
      </c>
      <c r="K25" s="15">
        <f t="shared" si="3"/>
        <v>96.505919999999989</v>
      </c>
    </row>
    <row r="26" spans="1:11" ht="15.75" thickBot="1" x14ac:dyDescent="0.3">
      <c r="A26" s="8" t="s">
        <v>118</v>
      </c>
      <c r="B26" s="6" t="s">
        <v>50</v>
      </c>
      <c r="C26" s="6">
        <v>2.8721999999999999</v>
      </c>
      <c r="D26" s="6">
        <v>34.5</v>
      </c>
      <c r="E26" s="6">
        <v>24</v>
      </c>
      <c r="F26" s="6">
        <f>References!E27*References!F27</f>
        <v>1.8</v>
      </c>
      <c r="G26" s="6">
        <f t="shared" si="0"/>
        <v>230</v>
      </c>
      <c r="H26" s="6">
        <f t="shared" si="1"/>
        <v>0.83</v>
      </c>
      <c r="I26" s="6">
        <v>0.55000000000000004</v>
      </c>
      <c r="J26" s="6">
        <f t="shared" si="2"/>
        <v>188.99099999999999</v>
      </c>
      <c r="K26" s="15">
        <f t="shared" si="3"/>
        <v>54.284579999999998</v>
      </c>
    </row>
    <row r="27" spans="1:11" ht="15.75" thickBot="1" x14ac:dyDescent="0.3">
      <c r="A27" s="8" t="s">
        <v>119</v>
      </c>
      <c r="B27" s="6" t="s">
        <v>47</v>
      </c>
      <c r="C27" s="6">
        <v>2.8721999999999999</v>
      </c>
      <c r="D27" s="6">
        <v>34.5</v>
      </c>
      <c r="E27" s="6">
        <v>24</v>
      </c>
      <c r="F27" s="6">
        <f>References!E28*References!F28</f>
        <v>2.4</v>
      </c>
      <c r="G27" s="6">
        <f t="shared" si="0"/>
        <v>685</v>
      </c>
      <c r="H27" s="6">
        <f t="shared" si="1"/>
        <v>0.8</v>
      </c>
      <c r="I27" s="6">
        <v>0.55000000000000004</v>
      </c>
      <c r="J27" s="6">
        <f t="shared" si="2"/>
        <v>723.36000000000013</v>
      </c>
      <c r="K27" s="15">
        <f t="shared" si="3"/>
        <v>72.379440000000002</v>
      </c>
    </row>
    <row r="28" spans="1:11" ht="15.75" thickBot="1" x14ac:dyDescent="0.3">
      <c r="A28" s="8" t="s">
        <v>51</v>
      </c>
      <c r="B28" s="6" t="s">
        <v>47</v>
      </c>
      <c r="C28" s="6">
        <v>2.8721999999999999</v>
      </c>
      <c r="D28" s="6">
        <v>34.5</v>
      </c>
      <c r="E28" s="6">
        <v>24</v>
      </c>
      <c r="F28" s="6">
        <f>References!E29*References!F29</f>
        <v>1.73</v>
      </c>
      <c r="G28" s="6">
        <f>_xlfn.IFS(B28="E",685,B28="N",120,B28="W",685,B28="S",230)</f>
        <v>685</v>
      </c>
      <c r="H28" s="6">
        <f t="shared" si="1"/>
        <v>0.8</v>
      </c>
      <c r="I28" s="6">
        <v>0.55000000000000004</v>
      </c>
      <c r="J28" s="6">
        <f t="shared" si="2"/>
        <v>521.42200000000003</v>
      </c>
      <c r="K28" s="15">
        <f t="shared" si="3"/>
        <v>52.173512999999993</v>
      </c>
    </row>
    <row r="29" spans="1:11" ht="15.75" thickBot="1" x14ac:dyDescent="0.3">
      <c r="A29" s="8" t="s">
        <v>37</v>
      </c>
      <c r="B29" s="6" t="s">
        <v>47</v>
      </c>
      <c r="C29" s="6">
        <v>2.8721999999999999</v>
      </c>
      <c r="D29" s="6">
        <v>34.5</v>
      </c>
      <c r="E29" s="6">
        <v>22.5</v>
      </c>
      <c r="F29" s="6">
        <f>References!E30*References!F30</f>
        <v>2</v>
      </c>
      <c r="G29" s="6">
        <f t="shared" si="0"/>
        <v>685</v>
      </c>
      <c r="H29" s="6">
        <f t="shared" si="1"/>
        <v>0.8</v>
      </c>
      <c r="I29" s="6">
        <v>0.55000000000000004</v>
      </c>
      <c r="J29" s="6">
        <f>G29*H29*F29*I29</f>
        <v>602.80000000000007</v>
      </c>
      <c r="K29" s="15">
        <f t="shared" si="3"/>
        <v>68.9328</v>
      </c>
    </row>
    <row r="30" spans="1:11" ht="15.75" thickBot="1" x14ac:dyDescent="0.3">
      <c r="A30" s="8" t="s">
        <v>38</v>
      </c>
      <c r="B30" s="6" t="s">
        <v>47</v>
      </c>
      <c r="C30" s="6">
        <v>2.8721999999999999</v>
      </c>
      <c r="D30" s="6">
        <v>34.5</v>
      </c>
      <c r="E30" s="6">
        <v>22.5</v>
      </c>
      <c r="F30" s="6">
        <f>References!E31*References!F31</f>
        <v>0.36</v>
      </c>
      <c r="G30" s="6">
        <f t="shared" si="0"/>
        <v>685</v>
      </c>
      <c r="H30" s="6">
        <f t="shared" si="1"/>
        <v>0.8</v>
      </c>
      <c r="I30" s="6">
        <v>0.55000000000000004</v>
      </c>
      <c r="J30" s="6">
        <f t="shared" si="2"/>
        <v>108.504</v>
      </c>
      <c r="K30" s="15">
        <f t="shared" si="3"/>
        <v>12.407904</v>
      </c>
    </row>
    <row r="31" spans="1:11" ht="15.75" thickBot="1" x14ac:dyDescent="0.3">
      <c r="A31" s="8" t="s">
        <v>120</v>
      </c>
      <c r="B31" s="6" t="s">
        <v>47</v>
      </c>
      <c r="C31" s="6">
        <v>2.8721999999999999</v>
      </c>
      <c r="D31" s="6">
        <v>34.5</v>
      </c>
      <c r="E31" s="6">
        <v>24</v>
      </c>
      <c r="F31" s="6">
        <f>References!E32*References!F32</f>
        <v>0.36</v>
      </c>
      <c r="G31" s="6">
        <f t="shared" si="0"/>
        <v>685</v>
      </c>
      <c r="H31" s="6">
        <f t="shared" si="1"/>
        <v>0.8</v>
      </c>
      <c r="I31" s="6">
        <v>0.55000000000000004</v>
      </c>
      <c r="J31" s="6">
        <f t="shared" si="2"/>
        <v>108.504</v>
      </c>
      <c r="K31" s="15">
        <f t="shared" si="3"/>
        <v>10.856916</v>
      </c>
    </row>
    <row r="32" spans="1:11" ht="15.75" thickBot="1" x14ac:dyDescent="0.3">
      <c r="A32" s="8" t="s">
        <v>121</v>
      </c>
      <c r="B32" s="6" t="s">
        <v>47</v>
      </c>
      <c r="C32" s="6">
        <v>2.8721999999999999</v>
      </c>
      <c r="D32" s="6">
        <v>34.5</v>
      </c>
      <c r="E32" s="6">
        <v>22.5</v>
      </c>
      <c r="F32" s="6">
        <f>References!E33*References!F33</f>
        <v>2.4</v>
      </c>
      <c r="G32" s="6">
        <f t="shared" si="0"/>
        <v>685</v>
      </c>
      <c r="H32" s="6">
        <f t="shared" si="1"/>
        <v>0.8</v>
      </c>
      <c r="I32" s="6">
        <v>0.55000000000000004</v>
      </c>
      <c r="J32" s="6">
        <f t="shared" si="2"/>
        <v>723.36000000000013</v>
      </c>
      <c r="K32" s="15">
        <f t="shared" si="3"/>
        <v>82.719359999999995</v>
      </c>
    </row>
    <row r="33" spans="1:18" ht="15.75" thickBot="1" x14ac:dyDescent="0.3">
      <c r="A33" s="23" t="s">
        <v>41</v>
      </c>
      <c r="B33" s="21" t="s">
        <v>47</v>
      </c>
      <c r="C33" s="21">
        <v>2.8721999999999999</v>
      </c>
      <c r="D33" s="21">
        <v>34.5</v>
      </c>
      <c r="E33" s="21">
        <v>22.5</v>
      </c>
      <c r="F33" s="21">
        <f>References!E34*References!F34</f>
        <v>1.6</v>
      </c>
      <c r="G33" s="21">
        <f t="shared" si="0"/>
        <v>685</v>
      </c>
      <c r="H33" s="21">
        <f t="shared" si="1"/>
        <v>0.8</v>
      </c>
      <c r="I33" s="21">
        <v>0.55000000000000004</v>
      </c>
      <c r="J33" s="21">
        <f t="shared" si="2"/>
        <v>482.24000000000007</v>
      </c>
      <c r="K33" s="22">
        <f t="shared" si="3"/>
        <v>55.146239999999992</v>
      </c>
    </row>
    <row r="34" spans="1:18" ht="15.75" thickBot="1" x14ac:dyDescent="0.3">
      <c r="H34" s="96" t="s">
        <v>123</v>
      </c>
      <c r="I34" s="96"/>
      <c r="J34" s="44">
        <f>SUM(J4:J33)</f>
        <v>13744.838250000003</v>
      </c>
      <c r="K34" s="44">
        <f>SUM(K4:K33)</f>
        <v>2064.9042009999998</v>
      </c>
    </row>
    <row r="35" spans="1:18" ht="15.75" thickBot="1" x14ac:dyDescent="0.3">
      <c r="H35" s="96" t="s">
        <v>167</v>
      </c>
      <c r="I35" s="96"/>
      <c r="J35" s="53">
        <f>J34+K34</f>
        <v>15809.742451000002</v>
      </c>
      <c r="K35" s="53"/>
    </row>
    <row r="36" spans="1:18" x14ac:dyDescent="0.25">
      <c r="H36" s="3"/>
      <c r="I36" s="3"/>
      <c r="J36" s="3"/>
      <c r="K36" s="3"/>
    </row>
    <row r="37" spans="1:18" ht="23.25" x14ac:dyDescent="0.35">
      <c r="A37" s="93" t="s">
        <v>42</v>
      </c>
      <c r="B37" s="93"/>
      <c r="C37" s="93"/>
      <c r="D37" s="93"/>
      <c r="E37" s="93"/>
      <c r="F37" s="93"/>
      <c r="G37" s="93"/>
      <c r="H37" s="93"/>
      <c r="I37" s="93"/>
      <c r="J37" s="93"/>
      <c r="K37" s="93"/>
    </row>
    <row r="38" spans="1:18" ht="15.75" thickBot="1" x14ac:dyDescent="0.3">
      <c r="A38" s="25" t="s">
        <v>0</v>
      </c>
      <c r="B38" s="36" t="s">
        <v>1</v>
      </c>
      <c r="C38" s="36" t="s">
        <v>2</v>
      </c>
      <c r="D38" s="36" t="s">
        <v>13</v>
      </c>
      <c r="E38" s="36" t="s">
        <v>7</v>
      </c>
      <c r="F38" s="36" t="s">
        <v>3</v>
      </c>
      <c r="G38" s="36" t="s">
        <v>14</v>
      </c>
      <c r="H38" s="36" t="s">
        <v>15</v>
      </c>
      <c r="I38" s="36" t="s">
        <v>16</v>
      </c>
      <c r="J38" s="36" t="s">
        <v>18</v>
      </c>
      <c r="K38" s="24" t="s">
        <v>17</v>
      </c>
    </row>
    <row r="39" spans="1:18" ht="15.75" thickBot="1" x14ac:dyDescent="0.3">
      <c r="A39" s="8" t="s">
        <v>61</v>
      </c>
      <c r="B39" s="6" t="s">
        <v>48</v>
      </c>
      <c r="C39" s="6">
        <v>2.8721999999999999</v>
      </c>
      <c r="D39" s="6">
        <v>34.5</v>
      </c>
      <c r="E39" s="6">
        <v>22.5</v>
      </c>
      <c r="F39" s="6">
        <v>4.62</v>
      </c>
      <c r="G39" s="6">
        <f>_xlfn.IFS(B39="N",120,B39="E",685,B39="S",230,B39="W",685)</f>
        <v>120</v>
      </c>
      <c r="H39" s="6">
        <f>_xlfn.IFS(B39="N",0.91,B39="E",0.8,B39="S",0.83,B39="W",0.82)</f>
        <v>0.91</v>
      </c>
      <c r="I39" s="6">
        <v>0.55000000000000004</v>
      </c>
      <c r="J39" s="6">
        <f>I39*H39*G39*F39</f>
        <v>277.47720000000004</v>
      </c>
      <c r="K39" s="15">
        <f>(C39*F39)*(D39-E39)</f>
        <v>159.23476799999997</v>
      </c>
    </row>
    <row r="40" spans="1:18" ht="15.75" thickBot="1" x14ac:dyDescent="0.3">
      <c r="A40" s="8" t="s">
        <v>61</v>
      </c>
      <c r="B40" s="6" t="s">
        <v>48</v>
      </c>
      <c r="C40" s="6">
        <v>2.8721999999999999</v>
      </c>
      <c r="D40" s="6">
        <v>34.5</v>
      </c>
      <c r="E40" s="6">
        <v>22.5</v>
      </c>
      <c r="F40" s="6">
        <v>4.62</v>
      </c>
      <c r="G40" s="6">
        <f>_xlfn.IFS(B40="N",120,B40="E",685,B40="S",230,B40="W",685)</f>
        <v>120</v>
      </c>
      <c r="H40" s="6">
        <f t="shared" ref="H40:H67" si="5">_xlfn.IFS(B40="N",0.91,B40="E",0.8,B40="S",0.83,B40="W",0.82)</f>
        <v>0.91</v>
      </c>
      <c r="I40" s="6">
        <v>0.55000000000000004</v>
      </c>
      <c r="J40" s="6">
        <f t="shared" ref="J40:J67" si="6">I40*H40*G40*F40</f>
        <v>277.47720000000004</v>
      </c>
      <c r="K40" s="15">
        <f t="shared" ref="K40:K67" si="7">(C40*F40)*(D40-E40)</f>
        <v>159.23476799999997</v>
      </c>
      <c r="P40" t="s">
        <v>100</v>
      </c>
      <c r="R40">
        <v>2.8721999999999999</v>
      </c>
    </row>
    <row r="41" spans="1:18" ht="15.75" thickBot="1" x14ac:dyDescent="0.3">
      <c r="A41" s="8" t="s">
        <v>61</v>
      </c>
      <c r="B41" s="6" t="s">
        <v>48</v>
      </c>
      <c r="C41" s="6">
        <v>2.8721999999999999</v>
      </c>
      <c r="D41" s="6">
        <v>34.5</v>
      </c>
      <c r="E41" s="6">
        <v>22.5</v>
      </c>
      <c r="F41" s="6">
        <v>4.62</v>
      </c>
      <c r="G41" s="6">
        <f t="shared" ref="G41:G67" si="8">_xlfn.IFS(B41="N",120,B41="E",685,B41="S",230,B41="W",685)</f>
        <v>120</v>
      </c>
      <c r="H41" s="6">
        <f t="shared" si="5"/>
        <v>0.91</v>
      </c>
      <c r="I41" s="6">
        <v>0.55000000000000004</v>
      </c>
      <c r="J41" s="6">
        <f t="shared" si="6"/>
        <v>277.47720000000004</v>
      </c>
      <c r="K41" s="15">
        <f t="shared" si="7"/>
        <v>159.23476799999997</v>
      </c>
      <c r="P41" t="s">
        <v>101</v>
      </c>
      <c r="R41">
        <v>2.8210999999999999</v>
      </c>
    </row>
    <row r="42" spans="1:18" ht="15.75" thickBot="1" x14ac:dyDescent="0.3">
      <c r="A42" s="8" t="s">
        <v>61</v>
      </c>
      <c r="B42" s="6" t="s">
        <v>48</v>
      </c>
      <c r="C42" s="6">
        <v>2.8721999999999999</v>
      </c>
      <c r="D42" s="6">
        <v>34.5</v>
      </c>
      <c r="E42" s="6">
        <v>22.5</v>
      </c>
      <c r="F42" s="6">
        <v>4.62</v>
      </c>
      <c r="G42" s="6">
        <f t="shared" si="8"/>
        <v>120</v>
      </c>
      <c r="H42" s="6">
        <f t="shared" si="5"/>
        <v>0.91</v>
      </c>
      <c r="I42" s="6">
        <v>0.55000000000000004</v>
      </c>
      <c r="J42" s="6">
        <f t="shared" si="6"/>
        <v>277.47720000000004</v>
      </c>
      <c r="K42" s="15">
        <f t="shared" si="7"/>
        <v>159.23476799999997</v>
      </c>
    </row>
    <row r="43" spans="1:18" ht="15.75" thickBot="1" x14ac:dyDescent="0.3">
      <c r="A43" s="8" t="s">
        <v>65</v>
      </c>
      <c r="B43" s="6" t="s">
        <v>49</v>
      </c>
      <c r="C43" s="6">
        <v>2.8210999999999999</v>
      </c>
      <c r="D43" s="6">
        <v>34.5</v>
      </c>
      <c r="E43" s="6">
        <v>22.5</v>
      </c>
      <c r="F43" s="6">
        <v>2.7</v>
      </c>
      <c r="G43" s="6">
        <f t="shared" si="8"/>
        <v>685</v>
      </c>
      <c r="H43" s="6">
        <f t="shared" si="5"/>
        <v>0.82</v>
      </c>
      <c r="I43" s="6">
        <v>0.55000000000000004</v>
      </c>
      <c r="J43" s="6">
        <f t="shared" si="6"/>
        <v>834.12450000000001</v>
      </c>
      <c r="K43" s="15">
        <f t="shared" si="7"/>
        <v>91.403639999999996</v>
      </c>
    </row>
    <row r="44" spans="1:18" ht="15.75" thickBot="1" x14ac:dyDescent="0.3">
      <c r="A44" s="8" t="s">
        <v>67</v>
      </c>
      <c r="B44" s="6" t="s">
        <v>49</v>
      </c>
      <c r="C44" s="6">
        <v>2.8721999999999999</v>
      </c>
      <c r="D44" s="6">
        <v>34.5</v>
      </c>
      <c r="E44" s="6">
        <v>22.5</v>
      </c>
      <c r="F44" s="6">
        <v>1.4</v>
      </c>
      <c r="G44" s="6">
        <f t="shared" si="8"/>
        <v>685</v>
      </c>
      <c r="H44" s="6">
        <f t="shared" si="5"/>
        <v>0.82</v>
      </c>
      <c r="I44" s="6">
        <v>0.55000000000000004</v>
      </c>
      <c r="J44" s="6">
        <f t="shared" si="6"/>
        <v>432.50899999999996</v>
      </c>
      <c r="K44" s="15">
        <f t="shared" si="7"/>
        <v>48.252959999999995</v>
      </c>
    </row>
    <row r="45" spans="1:18" ht="15.75" thickBot="1" x14ac:dyDescent="0.3">
      <c r="A45" s="8" t="s">
        <v>89</v>
      </c>
      <c r="B45" s="6" t="s">
        <v>49</v>
      </c>
      <c r="C45" s="6">
        <v>2.8721999999999999</v>
      </c>
      <c r="D45" s="6">
        <v>34.5</v>
      </c>
      <c r="E45" s="6">
        <v>24</v>
      </c>
      <c r="F45" s="6">
        <v>0.36</v>
      </c>
      <c r="G45" s="6">
        <f t="shared" si="8"/>
        <v>685</v>
      </c>
      <c r="H45" s="6">
        <f t="shared" si="5"/>
        <v>0.82</v>
      </c>
      <c r="I45" s="6">
        <v>0.55000000000000004</v>
      </c>
      <c r="J45" s="6">
        <f t="shared" si="6"/>
        <v>111.2166</v>
      </c>
      <c r="K45" s="15">
        <f t="shared" si="7"/>
        <v>10.856916</v>
      </c>
    </row>
    <row r="46" spans="1:18" ht="15.75" thickBot="1" x14ac:dyDescent="0.3">
      <c r="A46" s="8" t="s">
        <v>71</v>
      </c>
      <c r="B46" s="6" t="s">
        <v>49</v>
      </c>
      <c r="C46" s="6">
        <v>2.8721999999999999</v>
      </c>
      <c r="D46" s="6">
        <v>34.5</v>
      </c>
      <c r="E46" s="6">
        <v>22.5</v>
      </c>
      <c r="F46" s="6">
        <v>3</v>
      </c>
      <c r="G46" s="6">
        <f t="shared" si="8"/>
        <v>685</v>
      </c>
      <c r="H46" s="6">
        <f t="shared" si="5"/>
        <v>0.82</v>
      </c>
      <c r="I46" s="6">
        <v>0.55000000000000004</v>
      </c>
      <c r="J46" s="6">
        <f t="shared" si="6"/>
        <v>926.80500000000006</v>
      </c>
      <c r="K46" s="15">
        <f t="shared" si="7"/>
        <v>103.39920000000001</v>
      </c>
    </row>
    <row r="47" spans="1:18" ht="15.75" thickBot="1" x14ac:dyDescent="0.3">
      <c r="A47" s="8" t="s">
        <v>71</v>
      </c>
      <c r="B47" s="6" t="s">
        <v>49</v>
      </c>
      <c r="C47" s="6">
        <v>2.8721999999999999</v>
      </c>
      <c r="D47" s="6">
        <v>34.5</v>
      </c>
      <c r="E47" s="6">
        <v>22.5</v>
      </c>
      <c r="F47" s="6">
        <v>3</v>
      </c>
      <c r="G47" s="6">
        <f t="shared" si="8"/>
        <v>685</v>
      </c>
      <c r="H47" s="6">
        <f t="shared" si="5"/>
        <v>0.82</v>
      </c>
      <c r="I47" s="6">
        <v>0.55000000000000004</v>
      </c>
      <c r="J47" s="6">
        <f t="shared" si="6"/>
        <v>926.80500000000006</v>
      </c>
      <c r="K47" s="15">
        <f t="shared" si="7"/>
        <v>103.39920000000001</v>
      </c>
    </row>
    <row r="48" spans="1:18" ht="15.75" thickBot="1" x14ac:dyDescent="0.3">
      <c r="A48" s="8" t="s">
        <v>71</v>
      </c>
      <c r="B48" s="6" t="s">
        <v>49</v>
      </c>
      <c r="C48" s="6">
        <v>2.8721999999999999</v>
      </c>
      <c r="D48" s="6">
        <v>34.5</v>
      </c>
      <c r="E48" s="6">
        <v>22.5</v>
      </c>
      <c r="F48" s="6">
        <v>3</v>
      </c>
      <c r="G48" s="6">
        <f t="shared" si="8"/>
        <v>685</v>
      </c>
      <c r="H48" s="6">
        <f t="shared" si="5"/>
        <v>0.82</v>
      </c>
      <c r="I48" s="6">
        <v>0.55000000000000004</v>
      </c>
      <c r="J48" s="6">
        <f t="shared" si="6"/>
        <v>926.80500000000006</v>
      </c>
      <c r="K48" s="15">
        <f t="shared" si="7"/>
        <v>103.39920000000001</v>
      </c>
    </row>
    <row r="49" spans="1:11" ht="15.75" thickBot="1" x14ac:dyDescent="0.3">
      <c r="A49" s="8" t="s">
        <v>71</v>
      </c>
      <c r="B49" s="6" t="s">
        <v>49</v>
      </c>
      <c r="C49" s="6">
        <v>2.8721999999999999</v>
      </c>
      <c r="D49" s="6">
        <v>34.5</v>
      </c>
      <c r="E49" s="6">
        <v>22.5</v>
      </c>
      <c r="F49" s="6">
        <v>3</v>
      </c>
      <c r="G49" s="6">
        <f t="shared" si="8"/>
        <v>685</v>
      </c>
      <c r="H49" s="6">
        <f t="shared" si="5"/>
        <v>0.82</v>
      </c>
      <c r="I49" s="6">
        <v>0.55000000000000004</v>
      </c>
      <c r="J49" s="6">
        <f t="shared" si="6"/>
        <v>926.80500000000006</v>
      </c>
      <c r="K49" s="15">
        <f t="shared" si="7"/>
        <v>103.39920000000001</v>
      </c>
    </row>
    <row r="50" spans="1:11" ht="15.75" thickBot="1" x14ac:dyDescent="0.3">
      <c r="A50" s="8" t="s">
        <v>128</v>
      </c>
      <c r="B50" s="6" t="s">
        <v>49</v>
      </c>
      <c r="C50" s="6">
        <v>2.8721999999999999</v>
      </c>
      <c r="D50" s="6">
        <v>34.5</v>
      </c>
      <c r="E50" s="6">
        <v>22.5</v>
      </c>
      <c r="F50" s="6">
        <v>1.95</v>
      </c>
      <c r="G50" s="6">
        <f t="shared" si="8"/>
        <v>685</v>
      </c>
      <c r="H50" s="6">
        <f t="shared" si="5"/>
        <v>0.82</v>
      </c>
      <c r="I50" s="6">
        <v>0.55000000000000004</v>
      </c>
      <c r="J50" s="6">
        <f t="shared" si="6"/>
        <v>602.42324999999994</v>
      </c>
      <c r="K50" s="15">
        <f t="shared" si="7"/>
        <v>67.209479999999999</v>
      </c>
    </row>
    <row r="51" spans="1:11" ht="15.75" thickBot="1" x14ac:dyDescent="0.3">
      <c r="A51" s="8" t="s">
        <v>129</v>
      </c>
      <c r="B51" s="6" t="s">
        <v>49</v>
      </c>
      <c r="C51" s="6">
        <v>2.8721999999999999</v>
      </c>
      <c r="D51" s="6">
        <v>34.5</v>
      </c>
      <c r="E51" s="6">
        <v>24</v>
      </c>
      <c r="F51" s="6">
        <v>5.0199999999999996</v>
      </c>
      <c r="G51" s="6">
        <f t="shared" si="8"/>
        <v>685</v>
      </c>
      <c r="H51" s="6">
        <f t="shared" si="5"/>
        <v>0.82</v>
      </c>
      <c r="I51" s="6">
        <v>0.55000000000000004</v>
      </c>
      <c r="J51" s="6">
        <f t="shared" si="6"/>
        <v>1550.8536999999999</v>
      </c>
      <c r="K51" s="15">
        <f t="shared" si="7"/>
        <v>151.39366199999998</v>
      </c>
    </row>
    <row r="52" spans="1:11" ht="15.75" thickBot="1" x14ac:dyDescent="0.3">
      <c r="A52" s="8" t="s">
        <v>130</v>
      </c>
      <c r="B52" s="6" t="s">
        <v>50</v>
      </c>
      <c r="C52" s="6">
        <v>2.8721999999999999</v>
      </c>
      <c r="D52" s="6">
        <v>34.5</v>
      </c>
      <c r="E52" s="6">
        <v>22.5</v>
      </c>
      <c r="F52" s="6">
        <v>2.4</v>
      </c>
      <c r="G52" s="6">
        <f t="shared" si="8"/>
        <v>230</v>
      </c>
      <c r="H52" s="6">
        <f t="shared" si="5"/>
        <v>0.83</v>
      </c>
      <c r="I52" s="6">
        <v>0.55000000000000004</v>
      </c>
      <c r="J52" s="6">
        <f t="shared" si="6"/>
        <v>251.988</v>
      </c>
      <c r="K52" s="15">
        <f t="shared" si="7"/>
        <v>82.719359999999995</v>
      </c>
    </row>
    <row r="53" spans="1:11" ht="15.75" thickBot="1" x14ac:dyDescent="0.3">
      <c r="A53" s="8" t="s">
        <v>156</v>
      </c>
      <c r="B53" s="6" t="s">
        <v>50</v>
      </c>
      <c r="C53" s="6">
        <v>2.8721999999999999</v>
      </c>
      <c r="D53" s="6">
        <v>34.5</v>
      </c>
      <c r="E53" s="6">
        <v>24</v>
      </c>
      <c r="F53" s="6">
        <v>0.36</v>
      </c>
      <c r="G53" s="6">
        <f t="shared" si="8"/>
        <v>230</v>
      </c>
      <c r="H53" s="6">
        <f t="shared" si="5"/>
        <v>0.83</v>
      </c>
      <c r="I53" s="6">
        <v>0.55000000000000004</v>
      </c>
      <c r="J53" s="6">
        <f t="shared" si="6"/>
        <v>37.798200000000001</v>
      </c>
      <c r="K53" s="15">
        <f t="shared" si="7"/>
        <v>10.856916</v>
      </c>
    </row>
    <row r="54" spans="1:11" ht="15.75" thickBot="1" x14ac:dyDescent="0.3">
      <c r="A54" s="8" t="s">
        <v>132</v>
      </c>
      <c r="B54" s="6" t="s">
        <v>50</v>
      </c>
      <c r="C54" s="6">
        <v>2.8721999999999999</v>
      </c>
      <c r="D54" s="6">
        <v>34.5</v>
      </c>
      <c r="E54" s="6">
        <v>22.5</v>
      </c>
      <c r="F54" s="6">
        <v>2.8</v>
      </c>
      <c r="G54" s="6">
        <f t="shared" si="8"/>
        <v>230</v>
      </c>
      <c r="H54" s="6">
        <f t="shared" si="5"/>
        <v>0.83</v>
      </c>
      <c r="I54" s="6">
        <v>0.55000000000000004</v>
      </c>
      <c r="J54" s="6">
        <f t="shared" si="6"/>
        <v>293.98599999999999</v>
      </c>
      <c r="K54" s="15">
        <f t="shared" si="7"/>
        <v>96.505919999999989</v>
      </c>
    </row>
    <row r="55" spans="1:11" ht="15.75" thickBot="1" x14ac:dyDescent="0.3">
      <c r="A55" s="8" t="s">
        <v>163</v>
      </c>
      <c r="B55" s="6" t="s">
        <v>50</v>
      </c>
      <c r="C55" s="6">
        <v>2.8721999999999999</v>
      </c>
      <c r="D55" s="6">
        <v>34.5</v>
      </c>
      <c r="E55" s="6">
        <v>22.5</v>
      </c>
      <c r="F55" s="6">
        <v>0.36</v>
      </c>
      <c r="G55" s="6">
        <f t="shared" si="8"/>
        <v>230</v>
      </c>
      <c r="H55" s="6">
        <f t="shared" si="5"/>
        <v>0.83</v>
      </c>
      <c r="I55" s="6">
        <v>0.55000000000000004</v>
      </c>
      <c r="J55" s="6">
        <f t="shared" si="6"/>
        <v>37.798200000000001</v>
      </c>
      <c r="K55" s="15">
        <f t="shared" si="7"/>
        <v>12.407904</v>
      </c>
    </row>
    <row r="56" spans="1:11" ht="15.75" thickBot="1" x14ac:dyDescent="0.3">
      <c r="A56" s="8" t="s">
        <v>164</v>
      </c>
      <c r="B56" s="6" t="s">
        <v>50</v>
      </c>
      <c r="C56" s="6">
        <v>2.8721999999999999</v>
      </c>
      <c r="D56" s="6">
        <v>34.5</v>
      </c>
      <c r="E56" s="6">
        <v>22.5</v>
      </c>
      <c r="F56" s="6">
        <v>0.36</v>
      </c>
      <c r="G56" s="6">
        <f t="shared" si="8"/>
        <v>230</v>
      </c>
      <c r="H56" s="6">
        <f t="shared" si="5"/>
        <v>0.83</v>
      </c>
      <c r="I56" s="6">
        <v>0.55000000000000004</v>
      </c>
      <c r="J56" s="6">
        <f t="shared" si="6"/>
        <v>37.798200000000001</v>
      </c>
      <c r="K56" s="15">
        <f t="shared" si="7"/>
        <v>12.407904</v>
      </c>
    </row>
    <row r="57" spans="1:11" ht="15.75" thickBot="1" x14ac:dyDescent="0.3">
      <c r="A57" s="8" t="s">
        <v>165</v>
      </c>
      <c r="B57" s="6" t="s">
        <v>50</v>
      </c>
      <c r="C57" s="6">
        <v>2.8721999999999999</v>
      </c>
      <c r="D57" s="6">
        <v>34.5</v>
      </c>
      <c r="E57" s="6">
        <v>22.5</v>
      </c>
      <c r="F57" s="6">
        <v>0.36</v>
      </c>
      <c r="G57" s="6">
        <f t="shared" si="8"/>
        <v>230</v>
      </c>
      <c r="H57" s="6">
        <f t="shared" si="5"/>
        <v>0.83</v>
      </c>
      <c r="I57" s="6">
        <v>0.55000000000000004</v>
      </c>
      <c r="J57" s="6">
        <f t="shared" si="6"/>
        <v>37.798200000000001</v>
      </c>
      <c r="K57" s="15">
        <f t="shared" si="7"/>
        <v>12.407904</v>
      </c>
    </row>
    <row r="58" spans="1:11" ht="15.75" thickBot="1" x14ac:dyDescent="0.3">
      <c r="A58" s="8" t="s">
        <v>166</v>
      </c>
      <c r="B58" s="6" t="s">
        <v>50</v>
      </c>
      <c r="C58" s="6">
        <v>2.8721999999999999</v>
      </c>
      <c r="D58" s="6">
        <v>34.5</v>
      </c>
      <c r="E58" s="6">
        <v>24</v>
      </c>
      <c r="F58" s="6">
        <v>1.6</v>
      </c>
      <c r="G58" s="6">
        <f t="shared" si="8"/>
        <v>230</v>
      </c>
      <c r="H58" s="6">
        <f t="shared" si="5"/>
        <v>0.83</v>
      </c>
      <c r="I58" s="6">
        <v>0.55000000000000004</v>
      </c>
      <c r="J58" s="6">
        <f t="shared" si="6"/>
        <v>167.99200000000002</v>
      </c>
      <c r="K58" s="15">
        <f t="shared" si="7"/>
        <v>48.252959999999995</v>
      </c>
    </row>
    <row r="59" spans="1:11" ht="15.75" thickBot="1" x14ac:dyDescent="0.3">
      <c r="A59" s="8" t="s">
        <v>137</v>
      </c>
      <c r="B59" s="6" t="s">
        <v>50</v>
      </c>
      <c r="C59" s="6">
        <v>2.8721999999999999</v>
      </c>
      <c r="D59" s="6">
        <v>34.5</v>
      </c>
      <c r="E59" s="6">
        <v>24</v>
      </c>
      <c r="F59" s="6">
        <v>1.6</v>
      </c>
      <c r="G59" s="6">
        <f t="shared" si="8"/>
        <v>230</v>
      </c>
      <c r="H59" s="6">
        <f t="shared" si="5"/>
        <v>0.83</v>
      </c>
      <c r="I59" s="6">
        <v>0.55000000000000004</v>
      </c>
      <c r="J59" s="6">
        <f t="shared" si="6"/>
        <v>167.99200000000002</v>
      </c>
      <c r="K59" s="15">
        <f t="shared" si="7"/>
        <v>48.252959999999995</v>
      </c>
    </row>
    <row r="60" spans="1:11" ht="15.75" thickBot="1" x14ac:dyDescent="0.3">
      <c r="A60" s="8" t="s">
        <v>138</v>
      </c>
      <c r="B60" s="6" t="s">
        <v>50</v>
      </c>
      <c r="C60" s="6">
        <v>2.8721999999999999</v>
      </c>
      <c r="D60" s="6">
        <v>34.5</v>
      </c>
      <c r="E60" s="6">
        <v>24</v>
      </c>
      <c r="F60" s="6">
        <v>1.6</v>
      </c>
      <c r="G60" s="6">
        <f t="shared" si="8"/>
        <v>230</v>
      </c>
      <c r="H60" s="6">
        <f t="shared" si="5"/>
        <v>0.83</v>
      </c>
      <c r="I60" s="6">
        <v>0.55000000000000004</v>
      </c>
      <c r="J60" s="6">
        <f t="shared" si="6"/>
        <v>167.99200000000002</v>
      </c>
      <c r="K60" s="15">
        <f t="shared" si="7"/>
        <v>48.252959999999995</v>
      </c>
    </row>
    <row r="61" spans="1:11" ht="15.75" thickBot="1" x14ac:dyDescent="0.3">
      <c r="A61" s="8" t="s">
        <v>139</v>
      </c>
      <c r="B61" s="6" t="s">
        <v>50</v>
      </c>
      <c r="C61" s="6">
        <v>2.8721999999999999</v>
      </c>
      <c r="D61" s="6">
        <v>34.5</v>
      </c>
      <c r="E61" s="6">
        <v>22.5</v>
      </c>
      <c r="F61" s="6">
        <v>1.6</v>
      </c>
      <c r="G61" s="6">
        <f t="shared" si="8"/>
        <v>230</v>
      </c>
      <c r="H61" s="6">
        <f t="shared" si="5"/>
        <v>0.83</v>
      </c>
      <c r="I61" s="6">
        <v>0.55000000000000004</v>
      </c>
      <c r="J61" s="6">
        <f t="shared" si="6"/>
        <v>167.99200000000002</v>
      </c>
      <c r="K61" s="15">
        <f t="shared" si="7"/>
        <v>55.146239999999992</v>
      </c>
    </row>
    <row r="62" spans="1:11" ht="15.75" thickBot="1" x14ac:dyDescent="0.3">
      <c r="A62" s="8" t="s">
        <v>141</v>
      </c>
      <c r="B62" s="6" t="s">
        <v>47</v>
      </c>
      <c r="C62" s="6">
        <v>2.8721999999999999</v>
      </c>
      <c r="D62" s="6">
        <v>34.5</v>
      </c>
      <c r="E62" s="6">
        <v>22.5</v>
      </c>
      <c r="F62" s="6">
        <v>2.1</v>
      </c>
      <c r="G62" s="6">
        <f t="shared" si="8"/>
        <v>685</v>
      </c>
      <c r="H62" s="6">
        <f t="shared" si="5"/>
        <v>0.8</v>
      </c>
      <c r="I62" s="6">
        <v>0.55000000000000004</v>
      </c>
      <c r="J62" s="6">
        <f t="shared" si="6"/>
        <v>632.94000000000005</v>
      </c>
      <c r="K62" s="15">
        <f t="shared" si="7"/>
        <v>72.379440000000002</v>
      </c>
    </row>
    <row r="63" spans="1:11" ht="15.75" thickBot="1" x14ac:dyDescent="0.3">
      <c r="A63" s="8" t="s">
        <v>142</v>
      </c>
      <c r="B63" s="6" t="s">
        <v>47</v>
      </c>
      <c r="C63" s="6">
        <v>2.8721999999999999</v>
      </c>
      <c r="D63" s="6">
        <v>34.5</v>
      </c>
      <c r="E63" s="6">
        <v>22.5</v>
      </c>
      <c r="F63" s="6">
        <v>3.6</v>
      </c>
      <c r="G63" s="6">
        <f t="shared" si="8"/>
        <v>685</v>
      </c>
      <c r="H63" s="6">
        <f t="shared" si="5"/>
        <v>0.8</v>
      </c>
      <c r="I63" s="6">
        <v>0.55000000000000004</v>
      </c>
      <c r="J63" s="6">
        <f t="shared" si="6"/>
        <v>1085.0400000000002</v>
      </c>
      <c r="K63" s="15">
        <f t="shared" si="7"/>
        <v>124.07903999999999</v>
      </c>
    </row>
    <row r="64" spans="1:11" ht="15.75" thickBot="1" x14ac:dyDescent="0.3">
      <c r="A64" s="8" t="s">
        <v>143</v>
      </c>
      <c r="B64" s="6" t="s">
        <v>47</v>
      </c>
      <c r="C64" s="6">
        <v>2.8721999999999999</v>
      </c>
      <c r="D64" s="6">
        <v>34.5</v>
      </c>
      <c r="E64" s="6">
        <v>22.5</v>
      </c>
      <c r="F64" s="6">
        <v>2.72</v>
      </c>
      <c r="G64" s="6">
        <f t="shared" si="8"/>
        <v>685</v>
      </c>
      <c r="H64" s="6">
        <f t="shared" si="5"/>
        <v>0.8</v>
      </c>
      <c r="I64" s="6">
        <v>0.55000000000000004</v>
      </c>
      <c r="J64" s="6">
        <f t="shared" si="6"/>
        <v>819.80800000000011</v>
      </c>
      <c r="K64" s="15">
        <f t="shared" si="7"/>
        <v>93.74860799999999</v>
      </c>
    </row>
    <row r="65" spans="1:11" ht="15.75" thickBot="1" x14ac:dyDescent="0.3">
      <c r="A65" s="8" t="s">
        <v>144</v>
      </c>
      <c r="B65" s="6" t="s">
        <v>50</v>
      </c>
      <c r="C65" s="6">
        <v>2.8721999999999999</v>
      </c>
      <c r="D65" s="6">
        <v>34.5</v>
      </c>
      <c r="E65" s="6">
        <v>22.5</v>
      </c>
      <c r="F65" s="6">
        <v>1.2</v>
      </c>
      <c r="G65" s="6">
        <f t="shared" si="8"/>
        <v>230</v>
      </c>
      <c r="H65" s="6">
        <f t="shared" si="5"/>
        <v>0.83</v>
      </c>
      <c r="I65" s="6">
        <v>0.55000000000000004</v>
      </c>
      <c r="J65" s="6">
        <f t="shared" si="6"/>
        <v>125.994</v>
      </c>
      <c r="K65" s="15">
        <f t="shared" si="7"/>
        <v>41.359679999999997</v>
      </c>
    </row>
    <row r="66" spans="1:11" ht="15.75" thickBot="1" x14ac:dyDescent="0.3">
      <c r="A66" s="8" t="s">
        <v>67</v>
      </c>
      <c r="B66" s="6" t="s">
        <v>47</v>
      </c>
      <c r="C66" s="6">
        <v>2.8721999999999999</v>
      </c>
      <c r="D66" s="6">
        <v>34.5</v>
      </c>
      <c r="E66" s="6">
        <v>22.5</v>
      </c>
      <c r="F66" s="6">
        <v>1.4</v>
      </c>
      <c r="G66" s="6">
        <f t="shared" si="8"/>
        <v>685</v>
      </c>
      <c r="H66" s="6">
        <f t="shared" si="5"/>
        <v>0.8</v>
      </c>
      <c r="I66" s="6">
        <v>0.55000000000000004</v>
      </c>
      <c r="J66" s="6">
        <f t="shared" si="6"/>
        <v>421.96000000000004</v>
      </c>
      <c r="K66" s="15">
        <f t="shared" si="7"/>
        <v>48.252959999999995</v>
      </c>
    </row>
    <row r="67" spans="1:11" ht="15.75" thickBot="1" x14ac:dyDescent="0.3">
      <c r="A67" s="23" t="s">
        <v>89</v>
      </c>
      <c r="B67" s="21" t="s">
        <v>47</v>
      </c>
      <c r="C67" s="21">
        <v>2.8721999999999999</v>
      </c>
      <c r="D67" s="21">
        <v>34.5</v>
      </c>
      <c r="E67" s="21">
        <v>24</v>
      </c>
      <c r="F67" s="21">
        <v>0.36</v>
      </c>
      <c r="G67" s="21">
        <f t="shared" si="8"/>
        <v>685</v>
      </c>
      <c r="H67" s="21">
        <f t="shared" si="5"/>
        <v>0.8</v>
      </c>
      <c r="I67" s="21">
        <v>0.55000000000000004</v>
      </c>
      <c r="J67" s="21">
        <f t="shared" si="6"/>
        <v>108.504</v>
      </c>
      <c r="K67" s="22">
        <f t="shared" si="7"/>
        <v>10.856916</v>
      </c>
    </row>
    <row r="68" spans="1:11" ht="15.75" thickBot="1" x14ac:dyDescent="0.3">
      <c r="H68" s="96" t="s">
        <v>123</v>
      </c>
      <c r="I68" s="96"/>
      <c r="J68" s="44">
        <f>SUM(J39:J67)</f>
        <v>12911.636650000004</v>
      </c>
      <c r="K68" s="44">
        <f>SUM(K39:K67)</f>
        <v>2237.5402020000001</v>
      </c>
    </row>
    <row r="69" spans="1:11" ht="15.75" thickBot="1" x14ac:dyDescent="0.3">
      <c r="H69" s="96" t="s">
        <v>168</v>
      </c>
      <c r="I69" s="96"/>
      <c r="J69" s="53">
        <f>J68+K68</f>
        <v>15149.176852000004</v>
      </c>
      <c r="K69" s="53"/>
    </row>
    <row r="71" spans="1:11" ht="23.25" x14ac:dyDescent="0.35">
      <c r="A71" s="93" t="s">
        <v>60</v>
      </c>
      <c r="B71" s="93"/>
      <c r="C71" s="93"/>
      <c r="D71" s="93"/>
      <c r="E71" s="93"/>
      <c r="F71" s="93"/>
      <c r="G71" s="93"/>
      <c r="H71" s="93"/>
      <c r="I71" s="93"/>
      <c r="J71" s="93"/>
      <c r="K71" s="93"/>
    </row>
    <row r="72" spans="1:11" ht="15.75" thickBot="1" x14ac:dyDescent="0.3">
      <c r="A72" s="25" t="s">
        <v>0</v>
      </c>
      <c r="B72" s="36" t="s">
        <v>1</v>
      </c>
      <c r="C72" s="36" t="s">
        <v>2</v>
      </c>
      <c r="D72" s="36" t="s">
        <v>13</v>
      </c>
      <c r="E72" s="36" t="s">
        <v>7</v>
      </c>
      <c r="F72" s="36" t="s">
        <v>3</v>
      </c>
      <c r="G72" s="36" t="s">
        <v>14</v>
      </c>
      <c r="H72" s="36" t="s">
        <v>15</v>
      </c>
      <c r="I72" s="36" t="s">
        <v>16</v>
      </c>
      <c r="J72" s="36" t="s">
        <v>18</v>
      </c>
      <c r="K72" s="24" t="s">
        <v>17</v>
      </c>
    </row>
    <row r="73" spans="1:11" ht="15.75" thickBot="1" x14ac:dyDescent="0.3">
      <c r="A73" s="8" t="s">
        <v>61</v>
      </c>
      <c r="B73" s="6" t="s">
        <v>48</v>
      </c>
      <c r="C73" s="6">
        <v>2.8721999999999999</v>
      </c>
      <c r="D73" s="6">
        <v>34.5</v>
      </c>
      <c r="E73" s="6">
        <v>22.5</v>
      </c>
      <c r="F73" s="6">
        <f>References!E41*References!F41</f>
        <v>2.31</v>
      </c>
      <c r="G73" s="37">
        <f>_xlfn.IFS(B73="E",685,B73="N",120,B73="W",685,B73="S",230)</f>
        <v>120</v>
      </c>
      <c r="H73" s="37">
        <f>_xlfn.IFS(B73="E",0.8,B73="N",0.91,B73="W",0.82,B73="S",0.83)</f>
        <v>0.91</v>
      </c>
      <c r="I73" s="37">
        <v>0.55000000000000004</v>
      </c>
      <c r="J73" s="37">
        <f>G73*H73*F73*I73</f>
        <v>138.73860000000002</v>
      </c>
      <c r="K73" s="38">
        <f>(C73*F73)*(D73-E73)</f>
        <v>79.617383999999987</v>
      </c>
    </row>
    <row r="74" spans="1:11" ht="15.75" thickBot="1" x14ac:dyDescent="0.3">
      <c r="A74" s="8" t="s">
        <v>61</v>
      </c>
      <c r="B74" s="6" t="s">
        <v>48</v>
      </c>
      <c r="C74" s="6">
        <v>2.8721999999999999</v>
      </c>
      <c r="D74" s="6">
        <v>34.5</v>
      </c>
      <c r="E74" s="6">
        <v>22.5</v>
      </c>
      <c r="F74" s="6">
        <f>References!E42*References!F42</f>
        <v>2.31</v>
      </c>
      <c r="G74" s="37">
        <f t="shared" ref="G74:G98" si="9">_xlfn.IFS(B74="E",685,B74="N",120,B74="W",685,B74="S",230)</f>
        <v>120</v>
      </c>
      <c r="H74" s="37">
        <f t="shared" ref="H74:H98" si="10">_xlfn.IFS(B74="E",0.8,B74="N",0.91,B74="W",0.82,B74="S",0.83)</f>
        <v>0.91</v>
      </c>
      <c r="I74" s="37">
        <v>0.55000000000000004</v>
      </c>
      <c r="J74" s="37">
        <f t="shared" ref="J74:J99" si="11">G74*H74*F74*I74</f>
        <v>138.73860000000002</v>
      </c>
      <c r="K74" s="38">
        <f t="shared" ref="K74:K99" si="12">(C74*F74)*(D74-E74)</f>
        <v>79.617383999999987</v>
      </c>
    </row>
    <row r="75" spans="1:11" ht="15.75" thickBot="1" x14ac:dyDescent="0.3">
      <c r="A75" s="8" t="s">
        <v>61</v>
      </c>
      <c r="B75" s="6" t="s">
        <v>48</v>
      </c>
      <c r="C75" s="6">
        <v>2.8721999999999999</v>
      </c>
      <c r="D75" s="6">
        <v>34.5</v>
      </c>
      <c r="E75" s="6">
        <v>22.5</v>
      </c>
      <c r="F75" s="6">
        <f>References!E43*References!F43</f>
        <v>2.31</v>
      </c>
      <c r="G75" s="37">
        <f t="shared" si="9"/>
        <v>120</v>
      </c>
      <c r="H75" s="37">
        <f t="shared" si="10"/>
        <v>0.91</v>
      </c>
      <c r="I75" s="37">
        <v>0.55000000000000004</v>
      </c>
      <c r="J75" s="37">
        <f t="shared" si="11"/>
        <v>138.73860000000002</v>
      </c>
      <c r="K75" s="38">
        <f t="shared" si="12"/>
        <v>79.617383999999987</v>
      </c>
    </row>
    <row r="76" spans="1:11" ht="15.75" thickBot="1" x14ac:dyDescent="0.3">
      <c r="A76" s="8" t="s">
        <v>61</v>
      </c>
      <c r="B76" s="6" t="s">
        <v>48</v>
      </c>
      <c r="C76" s="6">
        <v>2.8721999999999999</v>
      </c>
      <c r="D76" s="6">
        <v>34.5</v>
      </c>
      <c r="E76" s="6">
        <v>22.5</v>
      </c>
      <c r="F76" s="6">
        <f>References!E44*References!F44</f>
        <v>2.31</v>
      </c>
      <c r="G76" s="37">
        <f t="shared" si="9"/>
        <v>120</v>
      </c>
      <c r="H76" s="37">
        <f t="shared" si="10"/>
        <v>0.91</v>
      </c>
      <c r="I76" s="37">
        <v>0.55000000000000004</v>
      </c>
      <c r="J76" s="37">
        <f t="shared" si="11"/>
        <v>138.73860000000002</v>
      </c>
      <c r="K76" s="38">
        <f t="shared" si="12"/>
        <v>79.617383999999987</v>
      </c>
    </row>
    <row r="77" spans="1:11" ht="15.75" thickBot="1" x14ac:dyDescent="0.3">
      <c r="A77" s="8" t="s">
        <v>65</v>
      </c>
      <c r="B77" s="6" t="s">
        <v>49</v>
      </c>
      <c r="C77" s="6">
        <v>2.8721999999999999</v>
      </c>
      <c r="D77" s="6">
        <v>34.5</v>
      </c>
      <c r="E77" s="6">
        <v>22.5</v>
      </c>
      <c r="F77" s="6">
        <f>References!E45*References!F45</f>
        <v>2.7</v>
      </c>
      <c r="G77" s="37">
        <f t="shared" si="9"/>
        <v>685</v>
      </c>
      <c r="H77" s="37">
        <f t="shared" si="10"/>
        <v>0.82</v>
      </c>
      <c r="I77" s="37">
        <v>0.55000000000000004</v>
      </c>
      <c r="J77" s="37">
        <f t="shared" si="11"/>
        <v>834.12450000000001</v>
      </c>
      <c r="K77" s="38">
        <f t="shared" si="12"/>
        <v>93.059280000000001</v>
      </c>
    </row>
    <row r="78" spans="1:11" ht="15.75" thickBot="1" x14ac:dyDescent="0.3">
      <c r="A78" s="8" t="s">
        <v>67</v>
      </c>
      <c r="B78" s="6" t="s">
        <v>49</v>
      </c>
      <c r="C78" s="6">
        <v>2.8721999999999999</v>
      </c>
      <c r="D78" s="6">
        <v>34.5</v>
      </c>
      <c r="E78" s="6">
        <v>22.5</v>
      </c>
      <c r="F78" s="6">
        <f>References!E46*References!F46</f>
        <v>1.4</v>
      </c>
      <c r="G78" s="37">
        <f t="shared" si="9"/>
        <v>685</v>
      </c>
      <c r="H78" s="37">
        <f t="shared" si="10"/>
        <v>0.82</v>
      </c>
      <c r="I78" s="37">
        <v>0.55000000000000004</v>
      </c>
      <c r="J78" s="37">
        <f t="shared" si="11"/>
        <v>432.50899999999996</v>
      </c>
      <c r="K78" s="38">
        <f t="shared" si="12"/>
        <v>48.252959999999995</v>
      </c>
    </row>
    <row r="79" spans="1:11" ht="15.75" thickBot="1" x14ac:dyDescent="0.3">
      <c r="A79" s="8" t="s">
        <v>71</v>
      </c>
      <c r="B79" s="6" t="s">
        <v>49</v>
      </c>
      <c r="C79" s="6">
        <v>2.8721999999999999</v>
      </c>
      <c r="D79" s="6">
        <v>34.5</v>
      </c>
      <c r="E79" s="6">
        <v>22.5</v>
      </c>
      <c r="F79" s="6">
        <f>References!E47*References!F47</f>
        <v>1.4</v>
      </c>
      <c r="G79" s="37">
        <f t="shared" si="9"/>
        <v>685</v>
      </c>
      <c r="H79" s="37">
        <f t="shared" si="10"/>
        <v>0.82</v>
      </c>
      <c r="I79" s="37">
        <v>0.55000000000000004</v>
      </c>
      <c r="J79" s="37">
        <f t="shared" si="11"/>
        <v>432.50899999999996</v>
      </c>
      <c r="K79" s="38">
        <f t="shared" si="12"/>
        <v>48.252959999999995</v>
      </c>
    </row>
    <row r="80" spans="1:11" ht="15.75" thickBot="1" x14ac:dyDescent="0.3">
      <c r="A80" s="8" t="s">
        <v>71</v>
      </c>
      <c r="B80" s="6" t="s">
        <v>49</v>
      </c>
      <c r="C80" s="6">
        <v>2.8721999999999999</v>
      </c>
      <c r="D80" s="6">
        <v>34.5</v>
      </c>
      <c r="E80" s="6">
        <v>22.5</v>
      </c>
      <c r="F80" s="6">
        <f>References!E48*References!F48</f>
        <v>1.4</v>
      </c>
      <c r="G80" s="37">
        <f t="shared" si="9"/>
        <v>685</v>
      </c>
      <c r="H80" s="37">
        <f t="shared" si="10"/>
        <v>0.82</v>
      </c>
      <c r="I80" s="37">
        <v>0.55000000000000004</v>
      </c>
      <c r="J80" s="37">
        <f t="shared" si="11"/>
        <v>432.50899999999996</v>
      </c>
      <c r="K80" s="38">
        <f t="shared" si="12"/>
        <v>48.252959999999995</v>
      </c>
    </row>
    <row r="81" spans="1:11" ht="15.75" thickBot="1" x14ac:dyDescent="0.3">
      <c r="A81" s="8" t="s">
        <v>71</v>
      </c>
      <c r="B81" s="6" t="s">
        <v>49</v>
      </c>
      <c r="C81" s="6">
        <v>2.8721999999999999</v>
      </c>
      <c r="D81" s="6">
        <v>34.5</v>
      </c>
      <c r="E81" s="6">
        <v>22.5</v>
      </c>
      <c r="F81" s="6">
        <f>References!E49*References!F49</f>
        <v>1.4</v>
      </c>
      <c r="G81" s="37">
        <f t="shared" si="9"/>
        <v>685</v>
      </c>
      <c r="H81" s="37">
        <f t="shared" si="10"/>
        <v>0.82</v>
      </c>
      <c r="I81" s="37">
        <v>0.55000000000000004</v>
      </c>
      <c r="J81" s="37">
        <f t="shared" si="11"/>
        <v>432.50899999999996</v>
      </c>
      <c r="K81" s="38">
        <f t="shared" si="12"/>
        <v>48.252959999999995</v>
      </c>
    </row>
    <row r="82" spans="1:11" ht="15.75" thickBot="1" x14ac:dyDescent="0.3">
      <c r="A82" s="8" t="s">
        <v>71</v>
      </c>
      <c r="B82" s="6" t="s">
        <v>49</v>
      </c>
      <c r="C82" s="6">
        <v>2.8721999999999999</v>
      </c>
      <c r="D82" s="6">
        <v>34.5</v>
      </c>
      <c r="E82" s="6">
        <v>22.5</v>
      </c>
      <c r="F82" s="6">
        <f>References!E50*References!F50</f>
        <v>1.4</v>
      </c>
      <c r="G82" s="37">
        <f t="shared" si="9"/>
        <v>685</v>
      </c>
      <c r="H82" s="37">
        <f t="shared" si="10"/>
        <v>0.82</v>
      </c>
      <c r="I82" s="37">
        <v>0.55000000000000004</v>
      </c>
      <c r="J82" s="37">
        <f t="shared" si="11"/>
        <v>432.50899999999996</v>
      </c>
      <c r="K82" s="38">
        <f t="shared" si="12"/>
        <v>48.252959999999995</v>
      </c>
    </row>
    <row r="83" spans="1:11" ht="15.75" thickBot="1" x14ac:dyDescent="0.3">
      <c r="A83" s="8" t="s">
        <v>72</v>
      </c>
      <c r="B83" s="6" t="s">
        <v>49</v>
      </c>
      <c r="C83" s="6">
        <v>2.8210999999999999</v>
      </c>
      <c r="D83" s="6">
        <v>34.5</v>
      </c>
      <c r="E83" s="6">
        <v>22.5</v>
      </c>
      <c r="F83" s="6">
        <f>References!E51*References!F51</f>
        <v>3.35</v>
      </c>
      <c r="G83" s="37">
        <f t="shared" si="9"/>
        <v>685</v>
      </c>
      <c r="H83" s="37">
        <f t="shared" si="10"/>
        <v>0.82</v>
      </c>
      <c r="I83" s="37">
        <v>0.55000000000000004</v>
      </c>
      <c r="J83" s="37">
        <f t="shared" si="11"/>
        <v>1034.9322499999998</v>
      </c>
      <c r="K83" s="38">
        <f t="shared" si="12"/>
        <v>113.40822</v>
      </c>
    </row>
    <row r="84" spans="1:11" ht="15.75" thickBot="1" x14ac:dyDescent="0.3">
      <c r="A84" s="8" t="s">
        <v>73</v>
      </c>
      <c r="B84" s="6" t="s">
        <v>49</v>
      </c>
      <c r="C84" s="6">
        <v>2.8721999999999999</v>
      </c>
      <c r="D84" s="6">
        <v>34.5</v>
      </c>
      <c r="E84" s="6">
        <v>22.5</v>
      </c>
      <c r="F84" s="6">
        <f>References!E52*References!F52</f>
        <v>2.4</v>
      </c>
      <c r="G84" s="37">
        <f t="shared" si="9"/>
        <v>685</v>
      </c>
      <c r="H84" s="37">
        <f t="shared" si="10"/>
        <v>0.82</v>
      </c>
      <c r="I84" s="37">
        <v>0.55000000000000004</v>
      </c>
      <c r="J84" s="37">
        <f t="shared" si="11"/>
        <v>741.44399999999985</v>
      </c>
      <c r="K84" s="38">
        <f t="shared" si="12"/>
        <v>82.719359999999995</v>
      </c>
    </row>
    <row r="85" spans="1:11" ht="15.75" thickBot="1" x14ac:dyDescent="0.3">
      <c r="A85" s="8" t="s">
        <v>76</v>
      </c>
      <c r="B85" s="6" t="s">
        <v>49</v>
      </c>
      <c r="C85" s="6">
        <v>2.8721999999999999</v>
      </c>
      <c r="D85" s="6">
        <v>34.5</v>
      </c>
      <c r="E85" s="6">
        <v>22.5</v>
      </c>
      <c r="F85" s="6">
        <f>References!E53*References!F53</f>
        <v>2.4</v>
      </c>
      <c r="G85" s="37">
        <f t="shared" si="9"/>
        <v>685</v>
      </c>
      <c r="H85" s="37">
        <f t="shared" si="10"/>
        <v>0.82</v>
      </c>
      <c r="I85" s="37">
        <v>0.55000000000000004</v>
      </c>
      <c r="J85" s="37">
        <f t="shared" si="11"/>
        <v>741.44399999999985</v>
      </c>
      <c r="K85" s="38">
        <f t="shared" si="12"/>
        <v>82.719359999999995</v>
      </c>
    </row>
    <row r="86" spans="1:11" ht="15.75" thickBot="1" x14ac:dyDescent="0.3">
      <c r="A86" s="8" t="s">
        <v>77</v>
      </c>
      <c r="B86" s="6" t="s">
        <v>49</v>
      </c>
      <c r="C86" s="6">
        <v>2.8721999999999999</v>
      </c>
      <c r="D86" s="6">
        <v>34.5</v>
      </c>
      <c r="E86" s="6">
        <v>22.5</v>
      </c>
      <c r="F86" s="6">
        <f>References!E54*References!F54</f>
        <v>2.4</v>
      </c>
      <c r="G86" s="37">
        <f t="shared" si="9"/>
        <v>685</v>
      </c>
      <c r="H86" s="37">
        <f t="shared" si="10"/>
        <v>0.82</v>
      </c>
      <c r="I86" s="37">
        <v>0.55000000000000004</v>
      </c>
      <c r="J86" s="37">
        <f t="shared" si="11"/>
        <v>741.44399999999985</v>
      </c>
      <c r="K86" s="38">
        <f t="shared" si="12"/>
        <v>82.719359999999995</v>
      </c>
    </row>
    <row r="87" spans="1:11" ht="15.75" thickBot="1" x14ac:dyDescent="0.3">
      <c r="A87" s="8" t="s">
        <v>78</v>
      </c>
      <c r="B87" s="6" t="s">
        <v>49</v>
      </c>
      <c r="C87" s="6">
        <v>2.8721999999999999</v>
      </c>
      <c r="D87" s="6">
        <v>34.5</v>
      </c>
      <c r="E87" s="6">
        <v>22.5</v>
      </c>
      <c r="F87" s="6">
        <f>References!E55*References!F55</f>
        <v>2.23</v>
      </c>
      <c r="G87" s="37">
        <f t="shared" si="9"/>
        <v>685</v>
      </c>
      <c r="H87" s="37">
        <f t="shared" si="10"/>
        <v>0.82</v>
      </c>
      <c r="I87" s="37">
        <v>0.55000000000000004</v>
      </c>
      <c r="J87" s="37">
        <f t="shared" si="11"/>
        <v>688.92504999999994</v>
      </c>
      <c r="K87" s="38">
        <f t="shared" si="12"/>
        <v>76.860071999999988</v>
      </c>
    </row>
    <row r="88" spans="1:11" ht="15.75" thickBot="1" x14ac:dyDescent="0.3">
      <c r="A88" s="8" t="s">
        <v>90</v>
      </c>
      <c r="B88" s="6" t="s">
        <v>49</v>
      </c>
      <c r="C88" s="6">
        <v>2.8721999999999999</v>
      </c>
      <c r="D88" s="6">
        <v>34.5</v>
      </c>
      <c r="E88" s="6">
        <v>24</v>
      </c>
      <c r="F88" s="6">
        <f>References!E56*References!F56</f>
        <v>0.36</v>
      </c>
      <c r="G88" s="37">
        <f t="shared" si="9"/>
        <v>685</v>
      </c>
      <c r="H88" s="37">
        <f t="shared" si="10"/>
        <v>0.82</v>
      </c>
      <c r="I88" s="37">
        <v>0.55000000000000004</v>
      </c>
      <c r="J88" s="37">
        <f t="shared" si="11"/>
        <v>111.21659999999999</v>
      </c>
      <c r="K88" s="38">
        <f t="shared" si="12"/>
        <v>10.856916</v>
      </c>
    </row>
    <row r="89" spans="1:11" ht="15.75" thickBot="1" x14ac:dyDescent="0.3">
      <c r="A89" s="8" t="s">
        <v>79</v>
      </c>
      <c r="B89" s="6" t="s">
        <v>50</v>
      </c>
      <c r="C89" s="6">
        <v>2.8721999999999999</v>
      </c>
      <c r="D89" s="6">
        <v>34.5</v>
      </c>
      <c r="E89" s="6">
        <v>22.5</v>
      </c>
      <c r="F89" s="6">
        <f>References!E57*References!F57</f>
        <v>2.4</v>
      </c>
      <c r="G89" s="37">
        <f t="shared" si="9"/>
        <v>230</v>
      </c>
      <c r="H89" s="37">
        <f t="shared" si="10"/>
        <v>0.83</v>
      </c>
      <c r="I89" s="37">
        <v>0.55000000000000004</v>
      </c>
      <c r="J89" s="37">
        <f t="shared" si="11"/>
        <v>251.98799999999997</v>
      </c>
      <c r="K89" s="38">
        <f t="shared" si="12"/>
        <v>82.719359999999995</v>
      </c>
    </row>
    <row r="90" spans="1:11" ht="15.75" thickBot="1" x14ac:dyDescent="0.3">
      <c r="A90" s="8" t="s">
        <v>58</v>
      </c>
      <c r="B90" s="6" t="s">
        <v>50</v>
      </c>
      <c r="C90" s="6">
        <v>2.8721999999999999</v>
      </c>
      <c r="D90" s="6">
        <v>34.5</v>
      </c>
      <c r="E90" s="6">
        <v>24</v>
      </c>
      <c r="F90" s="6">
        <f>References!E58*References!F58</f>
        <v>0.72</v>
      </c>
      <c r="G90" s="37">
        <f t="shared" si="9"/>
        <v>230</v>
      </c>
      <c r="H90" s="37">
        <f t="shared" si="10"/>
        <v>0.83</v>
      </c>
      <c r="I90" s="37">
        <v>0.55000000000000004</v>
      </c>
      <c r="J90" s="37">
        <f t="shared" si="11"/>
        <v>75.596399999999988</v>
      </c>
      <c r="K90" s="38">
        <f t="shared" si="12"/>
        <v>21.713832</v>
      </c>
    </row>
    <row r="91" spans="1:11" ht="15.75" thickBot="1" x14ac:dyDescent="0.3">
      <c r="A91" s="8" t="s">
        <v>59</v>
      </c>
      <c r="B91" s="6" t="s">
        <v>50</v>
      </c>
      <c r="C91" s="6">
        <v>2.8721999999999999</v>
      </c>
      <c r="D91" s="6">
        <v>34.5</v>
      </c>
      <c r="E91" s="6">
        <v>24</v>
      </c>
      <c r="F91" s="6">
        <f>References!E59*References!F59</f>
        <v>0.72</v>
      </c>
      <c r="G91" s="37">
        <f t="shared" si="9"/>
        <v>230</v>
      </c>
      <c r="H91" s="37">
        <f t="shared" si="10"/>
        <v>0.83</v>
      </c>
      <c r="I91" s="37">
        <v>0.55000000000000004</v>
      </c>
      <c r="J91" s="37">
        <f t="shared" si="11"/>
        <v>75.596399999999988</v>
      </c>
      <c r="K91" s="38">
        <f t="shared" si="12"/>
        <v>21.713832</v>
      </c>
    </row>
    <row r="92" spans="1:11" ht="15.75" thickBot="1" x14ac:dyDescent="0.3">
      <c r="A92" s="8" t="s">
        <v>91</v>
      </c>
      <c r="B92" s="6" t="s">
        <v>50</v>
      </c>
      <c r="C92" s="6">
        <v>2.8721999999999999</v>
      </c>
      <c r="D92" s="6">
        <v>34.5</v>
      </c>
      <c r="E92" s="6">
        <v>22.5</v>
      </c>
      <c r="F92" s="6">
        <f>References!E60*References!F60</f>
        <v>0</v>
      </c>
      <c r="G92" s="37">
        <f t="shared" si="9"/>
        <v>230</v>
      </c>
      <c r="H92" s="37">
        <f t="shared" si="10"/>
        <v>0.83</v>
      </c>
      <c r="I92" s="37">
        <v>0.55000000000000004</v>
      </c>
      <c r="J92" s="37">
        <f t="shared" si="11"/>
        <v>0</v>
      </c>
      <c r="K92" s="38">
        <f t="shared" si="12"/>
        <v>0</v>
      </c>
    </row>
    <row r="93" spans="1:11" ht="15.75" thickBot="1" x14ac:dyDescent="0.3">
      <c r="A93" s="8" t="s">
        <v>72</v>
      </c>
      <c r="B93" s="6" t="s">
        <v>47</v>
      </c>
      <c r="C93" s="6">
        <v>2.8210999999999999</v>
      </c>
      <c r="D93" s="6">
        <v>34.5</v>
      </c>
      <c r="E93" s="6">
        <v>22.5</v>
      </c>
      <c r="F93" s="6">
        <f>References!E61*References!F61</f>
        <v>3.35</v>
      </c>
      <c r="G93" s="37">
        <f t="shared" si="9"/>
        <v>685</v>
      </c>
      <c r="H93" s="37">
        <f t="shared" si="10"/>
        <v>0.8</v>
      </c>
      <c r="I93" s="37">
        <v>0.55000000000000004</v>
      </c>
      <c r="J93" s="37">
        <f t="shared" si="11"/>
        <v>1009.69</v>
      </c>
      <c r="K93" s="38">
        <f t="shared" si="12"/>
        <v>113.40822</v>
      </c>
    </row>
    <row r="94" spans="1:11" ht="15.75" thickBot="1" x14ac:dyDescent="0.3">
      <c r="A94" s="8" t="s">
        <v>71</v>
      </c>
      <c r="B94" s="6" t="s">
        <v>47</v>
      </c>
      <c r="C94" s="6">
        <v>2.8721999999999999</v>
      </c>
      <c r="D94" s="6">
        <v>34.5</v>
      </c>
      <c r="E94" s="6">
        <v>22.5</v>
      </c>
      <c r="F94" s="6">
        <f>References!E62*References!F62</f>
        <v>1.4</v>
      </c>
      <c r="G94" s="37">
        <f t="shared" si="9"/>
        <v>685</v>
      </c>
      <c r="H94" s="37">
        <f t="shared" si="10"/>
        <v>0.8</v>
      </c>
      <c r="I94" s="37">
        <v>0.55000000000000004</v>
      </c>
      <c r="J94" s="37">
        <f t="shared" si="11"/>
        <v>421.96</v>
      </c>
      <c r="K94" s="38">
        <f t="shared" si="12"/>
        <v>48.252959999999995</v>
      </c>
    </row>
    <row r="95" spans="1:11" ht="15.75" thickBot="1" x14ac:dyDescent="0.3">
      <c r="A95" s="8" t="s">
        <v>71</v>
      </c>
      <c r="B95" s="6" t="s">
        <v>47</v>
      </c>
      <c r="C95" s="6">
        <v>2.8721999999999999</v>
      </c>
      <c r="D95" s="6">
        <v>34.5</v>
      </c>
      <c r="E95" s="6">
        <v>22.5</v>
      </c>
      <c r="F95" s="6">
        <f>References!E63*References!F63</f>
        <v>1.4</v>
      </c>
      <c r="G95" s="37">
        <f t="shared" si="9"/>
        <v>685</v>
      </c>
      <c r="H95" s="37">
        <f t="shared" si="10"/>
        <v>0.8</v>
      </c>
      <c r="I95" s="37">
        <v>0.55000000000000004</v>
      </c>
      <c r="J95" s="37">
        <f t="shared" si="11"/>
        <v>421.96</v>
      </c>
      <c r="K95" s="38">
        <f t="shared" si="12"/>
        <v>48.252959999999995</v>
      </c>
    </row>
    <row r="96" spans="1:11" ht="15.75" thickBot="1" x14ac:dyDescent="0.3">
      <c r="A96" s="8" t="s">
        <v>71</v>
      </c>
      <c r="B96" s="6" t="s">
        <v>47</v>
      </c>
      <c r="C96" s="6">
        <v>2.8721999999999999</v>
      </c>
      <c r="D96" s="6">
        <v>34.5</v>
      </c>
      <c r="E96" s="6">
        <v>22.5</v>
      </c>
      <c r="F96" s="6">
        <f>References!E64*References!F64</f>
        <v>1.4</v>
      </c>
      <c r="G96" s="37">
        <f t="shared" si="9"/>
        <v>685</v>
      </c>
      <c r="H96" s="37">
        <f t="shared" si="10"/>
        <v>0.8</v>
      </c>
      <c r="I96" s="37">
        <v>0.55000000000000004</v>
      </c>
      <c r="J96" s="37">
        <f t="shared" si="11"/>
        <v>421.96</v>
      </c>
      <c r="K96" s="38">
        <f t="shared" si="12"/>
        <v>48.252959999999995</v>
      </c>
    </row>
    <row r="97" spans="1:11" ht="15.75" thickBot="1" x14ac:dyDescent="0.3">
      <c r="A97" s="8" t="s">
        <v>71</v>
      </c>
      <c r="B97" s="6" t="s">
        <v>47</v>
      </c>
      <c r="C97" s="6">
        <v>2.8721999999999999</v>
      </c>
      <c r="D97" s="6">
        <v>34.5</v>
      </c>
      <c r="E97" s="6">
        <v>22.5</v>
      </c>
      <c r="F97" s="6">
        <f>References!E65*References!F65</f>
        <v>1.4</v>
      </c>
      <c r="G97" s="37">
        <f t="shared" si="9"/>
        <v>685</v>
      </c>
      <c r="H97" s="37">
        <f t="shared" si="10"/>
        <v>0.8</v>
      </c>
      <c r="I97" s="37">
        <v>0.55000000000000004</v>
      </c>
      <c r="J97" s="37">
        <f t="shared" si="11"/>
        <v>421.96</v>
      </c>
      <c r="K97" s="38">
        <f t="shared" si="12"/>
        <v>48.252959999999995</v>
      </c>
    </row>
    <row r="98" spans="1:11" ht="15.75" thickBot="1" x14ac:dyDescent="0.3">
      <c r="A98" s="8" t="s">
        <v>67</v>
      </c>
      <c r="B98" s="6" t="s">
        <v>47</v>
      </c>
      <c r="C98" s="6">
        <v>2.8721999999999999</v>
      </c>
      <c r="D98" s="6">
        <v>34.5</v>
      </c>
      <c r="E98" s="6">
        <v>22.5</v>
      </c>
      <c r="F98" s="6">
        <f>References!E66*References!F66</f>
        <v>1.4</v>
      </c>
      <c r="G98" s="37">
        <f t="shared" si="9"/>
        <v>685</v>
      </c>
      <c r="H98" s="37">
        <f t="shared" si="10"/>
        <v>0.8</v>
      </c>
      <c r="I98" s="37">
        <v>0.55000000000000004</v>
      </c>
      <c r="J98" s="37">
        <f>G98*H98*F98*I98</f>
        <v>421.96</v>
      </c>
      <c r="K98" s="38">
        <f>(C98*F98)*(D98-E98)</f>
        <v>48.252959999999995</v>
      </c>
    </row>
    <row r="99" spans="1:11" ht="15.75" thickBot="1" x14ac:dyDescent="0.3">
      <c r="A99" s="23" t="s">
        <v>89</v>
      </c>
      <c r="B99" s="21" t="s">
        <v>47</v>
      </c>
      <c r="C99" s="21">
        <v>2.8721999999999999</v>
      </c>
      <c r="D99" s="21">
        <v>34.5</v>
      </c>
      <c r="E99" s="21">
        <v>24</v>
      </c>
      <c r="F99" s="21">
        <f>References!E67*References!F67</f>
        <v>0.36</v>
      </c>
      <c r="G99" s="39">
        <f t="shared" ref="G99" si="13">_xlfn.IFS(B99="E",685,B99="N",120,B99="W",685,B99="S",230)</f>
        <v>685</v>
      </c>
      <c r="H99" s="39">
        <f t="shared" ref="H99" si="14">_xlfn.IFS(B99="E",0.8,B99="N",0.91,B99="W",0.82,B99="S",0.83)</f>
        <v>0.8</v>
      </c>
      <c r="I99" s="39">
        <v>0.55000000000000004</v>
      </c>
      <c r="J99" s="39">
        <f t="shared" si="11"/>
        <v>108.504</v>
      </c>
      <c r="K99" s="40">
        <f t="shared" si="12"/>
        <v>10.856916</v>
      </c>
    </row>
    <row r="100" spans="1:11" ht="15.75" thickBot="1" x14ac:dyDescent="0.3">
      <c r="H100" s="96" t="s">
        <v>123</v>
      </c>
      <c r="I100" s="96"/>
      <c r="J100" s="44">
        <f>SUM(J73:J99)</f>
        <v>11242.204599999995</v>
      </c>
      <c r="K100" s="44">
        <f>SUM(K73:K99)</f>
        <v>1593.753864</v>
      </c>
    </row>
    <row r="101" spans="1:11" ht="15.75" thickBot="1" x14ac:dyDescent="0.3">
      <c r="H101" s="96" t="s">
        <v>168</v>
      </c>
      <c r="I101" s="96"/>
      <c r="J101" s="97">
        <f>J100+K100</f>
        <v>12835.958463999996</v>
      </c>
      <c r="K101" s="98"/>
    </row>
  </sheetData>
  <mergeCells count="11">
    <mergeCell ref="A1:K1"/>
    <mergeCell ref="H35:I35"/>
    <mergeCell ref="H69:I69"/>
    <mergeCell ref="A37:K37"/>
    <mergeCell ref="H101:I101"/>
    <mergeCell ref="J101:K101"/>
    <mergeCell ref="A2:K2"/>
    <mergeCell ref="A71:K71"/>
    <mergeCell ref="H34:I34"/>
    <mergeCell ref="H68:I68"/>
    <mergeCell ref="H100:I100"/>
  </mergeCells>
  <conditionalFormatting sqref="A72:K99">
    <cfRule type="cellIs" dxfId="44" priority="1" operator="equal">
      <formula>0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235"/>
  <sheetViews>
    <sheetView zoomScale="70" zoomScaleNormal="70" workbookViewId="0">
      <selection activeCell="A4" sqref="A4"/>
    </sheetView>
  </sheetViews>
  <sheetFormatPr defaultRowHeight="15" x14ac:dyDescent="0.25"/>
  <cols>
    <col min="1" max="1" width="34.85546875" customWidth="1"/>
    <col min="2" max="2" width="9.7109375" customWidth="1"/>
    <col min="3" max="3" width="10.85546875" customWidth="1"/>
    <col min="4" max="5" width="8.85546875" customWidth="1"/>
    <col min="6" max="6" width="10.42578125" customWidth="1"/>
    <col min="7" max="7" width="8.85546875" customWidth="1"/>
    <col min="8" max="8" width="12.85546875" customWidth="1"/>
    <col min="9" max="9" width="12" customWidth="1"/>
    <col min="10" max="10" width="8.85546875" customWidth="1"/>
    <col min="15" max="15" width="14" customWidth="1"/>
    <col min="16" max="16" width="12" customWidth="1"/>
    <col min="17" max="17" width="11.28515625" customWidth="1"/>
    <col min="18" max="18" width="14" customWidth="1"/>
    <col min="19" max="19" width="11.28515625" customWidth="1"/>
  </cols>
  <sheetData>
    <row r="1" spans="1:20" x14ac:dyDescent="0.25">
      <c r="A1" s="95" t="s">
        <v>19</v>
      </c>
      <c r="B1" s="95"/>
      <c r="C1" s="95"/>
      <c r="D1" s="95"/>
      <c r="E1" s="95"/>
      <c r="F1" s="95"/>
      <c r="G1" s="95"/>
      <c r="H1" s="95"/>
      <c r="I1" s="95"/>
    </row>
    <row r="2" spans="1:20" x14ac:dyDescent="0.25">
      <c r="A2" s="52"/>
      <c r="B2" s="52"/>
      <c r="C2" s="52"/>
      <c r="D2" s="52"/>
      <c r="E2" s="52"/>
      <c r="F2" s="52"/>
      <c r="G2" s="52"/>
      <c r="H2" s="52"/>
      <c r="I2" s="52"/>
    </row>
    <row r="3" spans="1:20" ht="15.75" thickBot="1" x14ac:dyDescent="0.3">
      <c r="A3" s="41" t="s">
        <v>20</v>
      </c>
      <c r="B3" s="42" t="s">
        <v>169</v>
      </c>
      <c r="C3" s="42" t="s">
        <v>21</v>
      </c>
      <c r="D3" s="42" t="s">
        <v>13</v>
      </c>
      <c r="E3" s="42" t="s">
        <v>7</v>
      </c>
      <c r="F3" s="42" t="s">
        <v>22</v>
      </c>
      <c r="G3" s="42" t="s">
        <v>23</v>
      </c>
      <c r="H3" s="42" t="s">
        <v>24</v>
      </c>
      <c r="I3" s="43" t="s">
        <v>25</v>
      </c>
      <c r="O3" s="1"/>
    </row>
    <row r="4" spans="1:20" ht="15.75" thickBot="1" x14ac:dyDescent="0.3">
      <c r="A4" s="10" t="s">
        <v>238</v>
      </c>
      <c r="B4" s="6">
        <f>References!Z4*4</f>
        <v>149.7544</v>
      </c>
      <c r="C4" s="6">
        <f>(References!Y4*B4)/3.6</f>
        <v>10.981989333333333</v>
      </c>
      <c r="D4" s="6">
        <v>34.5</v>
      </c>
      <c r="E4" s="6">
        <v>22.5</v>
      </c>
      <c r="F4" s="6">
        <v>1.8136751999999999E-2</v>
      </c>
      <c r="G4" s="6">
        <v>9.2932350000000004E-3</v>
      </c>
      <c r="H4" s="6">
        <f t="shared" ref="H4:H35" si="0">(1.232*(D4-E4)*C4)</f>
        <v>162.35773030399997</v>
      </c>
      <c r="I4" s="15">
        <f t="shared" ref="I4:I35" si="1">3000*C4*(F4-G4)</f>
        <v>291.35822808945596</v>
      </c>
    </row>
    <row r="5" spans="1:20" ht="15.75" thickBot="1" x14ac:dyDescent="0.3">
      <c r="A5" s="10" t="s">
        <v>239</v>
      </c>
      <c r="B5" s="6">
        <f>References!Z5*4</f>
        <v>38.604799999999997</v>
      </c>
      <c r="C5" s="6">
        <f>(References!Y5*B5)/3.6</f>
        <v>2.8310186666666666</v>
      </c>
      <c r="D5" s="6">
        <v>34.5</v>
      </c>
      <c r="E5" s="6">
        <v>22.5</v>
      </c>
      <c r="F5" s="6">
        <v>1.8136751999999999E-2</v>
      </c>
      <c r="G5" s="6">
        <v>8.4806099999999995E-3</v>
      </c>
      <c r="H5" s="6">
        <f t="shared" si="0"/>
        <v>41.853779967999998</v>
      </c>
      <c r="I5" s="15">
        <f t="shared" si="1"/>
        <v>82.010154749951994</v>
      </c>
    </row>
    <row r="6" spans="1:20" ht="15.75" thickBot="1" x14ac:dyDescent="0.3">
      <c r="A6" s="10" t="s">
        <v>240</v>
      </c>
      <c r="B6" s="6">
        <f>References!Z6*4</f>
        <v>31.27</v>
      </c>
      <c r="C6" s="6">
        <f>(References!Y6*B6)/3.6</f>
        <v>2.2019291666666665</v>
      </c>
      <c r="D6" s="6">
        <v>34.5</v>
      </c>
      <c r="E6" s="6">
        <v>24</v>
      </c>
      <c r="F6" s="6">
        <v>1.8136751999999999E-2</v>
      </c>
      <c r="G6" s="6">
        <v>9.2932350000000004E-3</v>
      </c>
      <c r="H6" s="6">
        <f t="shared" si="0"/>
        <v>28.484155699999999</v>
      </c>
      <c r="I6" s="15">
        <f t="shared" si="1"/>
        <v>58.418394054637488</v>
      </c>
    </row>
    <row r="7" spans="1:20" ht="15.75" thickBot="1" x14ac:dyDescent="0.3">
      <c r="A7" s="10" t="s">
        <v>241</v>
      </c>
      <c r="B7" s="6">
        <f>References!Z7*4</f>
        <v>65.238</v>
      </c>
      <c r="C7" s="6">
        <f>(References!Y7*B7)/3.6</f>
        <v>4.7841199999999997</v>
      </c>
      <c r="D7" s="6">
        <v>34.5</v>
      </c>
      <c r="E7" s="6">
        <v>22.5</v>
      </c>
      <c r="F7" s="6">
        <v>1.8136751999999999E-2</v>
      </c>
      <c r="G7" s="6">
        <v>8.4806099999999995E-3</v>
      </c>
      <c r="H7" s="6">
        <f t="shared" si="0"/>
        <v>70.728430079999995</v>
      </c>
      <c r="I7" s="15">
        <f t="shared" si="1"/>
        <v>138.58842619511998</v>
      </c>
      <c r="Q7" s="1"/>
    </row>
    <row r="8" spans="1:20" ht="15.75" thickBot="1" x14ac:dyDescent="0.3">
      <c r="A8" s="10" t="s">
        <v>322</v>
      </c>
      <c r="B8" s="6">
        <f>References!Z8*4</f>
        <v>11.35</v>
      </c>
      <c r="C8" s="6">
        <f>(References!Y8*B8)/3.6</f>
        <v>0.79922916666666666</v>
      </c>
      <c r="D8" s="6">
        <v>34.5</v>
      </c>
      <c r="E8" s="6">
        <v>24</v>
      </c>
      <c r="F8" s="6">
        <v>1.8136751999999999E-2</v>
      </c>
      <c r="G8" s="6">
        <v>9.2932350000000004E-3</v>
      </c>
      <c r="H8" s="6">
        <f t="shared" si="0"/>
        <v>10.3388285</v>
      </c>
      <c r="I8" s="15">
        <f t="shared" si="1"/>
        <v>21.203990166937498</v>
      </c>
      <c r="Q8" s="1"/>
    </row>
    <row r="9" spans="1:20" ht="15.75" thickBot="1" x14ac:dyDescent="0.3">
      <c r="A9" s="10" t="s">
        <v>242</v>
      </c>
      <c r="B9" s="6">
        <f>References!Z9*4</f>
        <v>73.196399999999997</v>
      </c>
      <c r="C9" s="6">
        <f>(References!Y9*B9)/3.6</f>
        <v>5.1542465000000002</v>
      </c>
      <c r="D9" s="6">
        <v>34.5</v>
      </c>
      <c r="E9" s="6">
        <v>24</v>
      </c>
      <c r="F9" s="6">
        <v>1.8136751999999999E-2</v>
      </c>
      <c r="G9" s="6">
        <v>9.2932350000000004E-3</v>
      </c>
      <c r="H9" s="6">
        <f t="shared" si="0"/>
        <v>66.675332724</v>
      </c>
      <c r="I9" s="15">
        <f t="shared" si="1"/>
        <v>136.74499963482148</v>
      </c>
      <c r="Q9" s="1"/>
      <c r="R9" s="1"/>
      <c r="S9" s="1"/>
      <c r="T9" s="1"/>
    </row>
    <row r="10" spans="1:20" ht="15.75" thickBot="1" x14ac:dyDescent="0.3">
      <c r="A10" s="10" t="s">
        <v>243</v>
      </c>
      <c r="B10" s="6">
        <f>References!Z10*4</f>
        <v>73.385599999999997</v>
      </c>
      <c r="C10" s="6">
        <f>(References!Y10*B10)/3.6</f>
        <v>5.1675693333333328</v>
      </c>
      <c r="D10" s="6">
        <v>34.5</v>
      </c>
      <c r="E10" s="6">
        <v>24</v>
      </c>
      <c r="F10" s="6">
        <v>1.8136751999999999E-2</v>
      </c>
      <c r="G10" s="6">
        <v>9.2932350000000004E-3</v>
      </c>
      <c r="H10" s="6">
        <f t="shared" si="0"/>
        <v>66.847676895999996</v>
      </c>
      <c r="I10" s="15">
        <f t="shared" si="1"/>
        <v>137.09846174403597</v>
      </c>
      <c r="Q10" s="1"/>
      <c r="R10" s="1"/>
      <c r="S10" s="1"/>
      <c r="T10" s="1"/>
    </row>
    <row r="11" spans="1:20" ht="15.75" thickBot="1" x14ac:dyDescent="0.3">
      <c r="A11" s="10" t="s">
        <v>244</v>
      </c>
      <c r="B11" s="6">
        <f>References!Z11*4</f>
        <v>93.554400000000001</v>
      </c>
      <c r="C11" s="6">
        <f>(References!Y11*B11)/3.6</f>
        <v>6.9516116666666674</v>
      </c>
      <c r="D11" s="6">
        <v>34.5</v>
      </c>
      <c r="E11" s="6">
        <v>22</v>
      </c>
      <c r="F11" s="6">
        <v>1.8136751999999999E-2</v>
      </c>
      <c r="G11" s="6">
        <v>8.2197599999999996E-3</v>
      </c>
      <c r="H11" s="6">
        <f t="shared" si="0"/>
        <v>107.05481966666667</v>
      </c>
      <c r="I11" s="15">
        <f t="shared" si="1"/>
        <v>206.81723185632001</v>
      </c>
      <c r="Q11" s="1"/>
      <c r="R11" s="1"/>
      <c r="S11" s="1"/>
      <c r="T11" s="1"/>
    </row>
    <row r="12" spans="1:20" ht="15.75" thickBot="1" x14ac:dyDescent="0.3">
      <c r="A12" s="10" t="s">
        <v>245</v>
      </c>
      <c r="B12" s="6">
        <f>References!Z12*4</f>
        <v>22.44</v>
      </c>
      <c r="C12" s="6">
        <f>(References!Y12*B12)/3.6</f>
        <v>1.5801500000000002</v>
      </c>
      <c r="D12" s="6">
        <v>34.5</v>
      </c>
      <c r="E12" s="6">
        <v>24</v>
      </c>
      <c r="F12" s="6">
        <v>1.8136751999999999E-2</v>
      </c>
      <c r="G12" s="6">
        <v>9.2932350000000004E-3</v>
      </c>
      <c r="H12" s="6">
        <f t="shared" si="0"/>
        <v>20.440820400000003</v>
      </c>
      <c r="I12" s="15">
        <f t="shared" si="1"/>
        <v>41.922250162650002</v>
      </c>
      <c r="Q12" s="1"/>
      <c r="R12" s="1"/>
      <c r="S12" s="1"/>
      <c r="T12" s="1"/>
    </row>
    <row r="13" spans="1:20" ht="15.75" thickBot="1" x14ac:dyDescent="0.3">
      <c r="A13" s="10" t="s">
        <v>246</v>
      </c>
      <c r="B13" s="6">
        <f>References!Z13*4</f>
        <v>168.77</v>
      </c>
      <c r="C13" s="6">
        <f>(References!Y13*B13)/3.6</f>
        <v>12.376466666666667</v>
      </c>
      <c r="D13" s="6">
        <v>34.5</v>
      </c>
      <c r="E13" s="6">
        <v>22.5</v>
      </c>
      <c r="F13" s="6">
        <v>1.8136751999999999E-2</v>
      </c>
      <c r="G13" s="6">
        <v>8.4806099999999995E-3</v>
      </c>
      <c r="H13" s="6">
        <f t="shared" si="0"/>
        <v>182.97368320000001</v>
      </c>
      <c r="I13" s="15">
        <f t="shared" si="1"/>
        <v>358.52675877479999</v>
      </c>
      <c r="N13" s="47"/>
      <c r="O13" s="47"/>
    </row>
    <row r="14" spans="1:20" ht="15.75" thickBot="1" x14ac:dyDescent="0.3">
      <c r="A14" s="10" t="s">
        <v>323</v>
      </c>
      <c r="B14" s="6">
        <f>References!Z14*4</f>
        <v>14.8348</v>
      </c>
      <c r="C14" s="6">
        <f>(References!Y14*B14)/3.6</f>
        <v>1.0446171666666666</v>
      </c>
      <c r="D14" s="6">
        <v>34.5</v>
      </c>
      <c r="E14" s="6">
        <v>24</v>
      </c>
      <c r="F14" s="6">
        <v>1.8136751999999999E-2</v>
      </c>
      <c r="G14" s="6">
        <v>9.2932350000000004E-3</v>
      </c>
      <c r="H14" s="6">
        <f t="shared" si="0"/>
        <v>13.513167667999999</v>
      </c>
      <c r="I14" s="15">
        <f t="shared" si="1"/>
        <v>27.714269015725495</v>
      </c>
    </row>
    <row r="15" spans="1:20" ht="15.75" thickBot="1" x14ac:dyDescent="0.3">
      <c r="A15" s="10" t="s">
        <v>247</v>
      </c>
      <c r="B15" s="6">
        <f>References!Z15*4</f>
        <v>78.551199999999994</v>
      </c>
      <c r="C15" s="6">
        <f>(References!Y15*B15)/3.6</f>
        <v>5.7604213333333325</v>
      </c>
      <c r="D15" s="6">
        <v>34.5</v>
      </c>
      <c r="E15" s="6">
        <v>22.5</v>
      </c>
      <c r="F15" s="6">
        <v>1.8136751999999999E-2</v>
      </c>
      <c r="G15" s="6">
        <v>8.4806099999999995E-3</v>
      </c>
      <c r="H15" s="6">
        <f t="shared" si="0"/>
        <v>85.162068991999988</v>
      </c>
      <c r="I15" s="15">
        <f t="shared" si="1"/>
        <v>166.87033912348798</v>
      </c>
    </row>
    <row r="16" spans="1:20" ht="15.75" thickBot="1" x14ac:dyDescent="0.3">
      <c r="A16" s="10" t="s">
        <v>248</v>
      </c>
      <c r="B16" s="6">
        <f>References!Z16*4</f>
        <v>125.1572</v>
      </c>
      <c r="C16" s="6">
        <f>(References!Y16*B16)/3.6</f>
        <v>9.1781946666666663</v>
      </c>
      <c r="D16" s="6">
        <v>34.5</v>
      </c>
      <c r="E16" s="6">
        <v>22.5</v>
      </c>
      <c r="F16" s="6">
        <v>1.8136751999999999E-2</v>
      </c>
      <c r="G16" s="6">
        <v>8.4806099999999995E-3</v>
      </c>
      <c r="H16" s="6">
        <f t="shared" si="0"/>
        <v>135.69042995199999</v>
      </c>
      <c r="I16" s="15">
        <f t="shared" si="1"/>
        <v>265.87785301492795</v>
      </c>
    </row>
    <row r="17" spans="1:20" ht="15.75" thickBot="1" x14ac:dyDescent="0.3">
      <c r="A17" s="10" t="s">
        <v>249</v>
      </c>
      <c r="B17" s="6">
        <f>References!Z17*4</f>
        <v>15.908799999999999</v>
      </c>
      <c r="C17" s="6">
        <f>(References!Y17*B17)/3.6</f>
        <v>1.1202446666666666</v>
      </c>
      <c r="D17" s="6">
        <v>34.5</v>
      </c>
      <c r="E17" s="6">
        <v>24</v>
      </c>
      <c r="F17" s="6">
        <v>1.8136751999999999E-2</v>
      </c>
      <c r="G17" s="6">
        <v>9.2932350000000004E-3</v>
      </c>
      <c r="H17" s="6">
        <f t="shared" si="0"/>
        <v>14.491485007999998</v>
      </c>
      <c r="I17" s="15">
        <f t="shared" si="1"/>
        <v>29.720708261477991</v>
      </c>
    </row>
    <row r="18" spans="1:20" ht="15.75" thickBot="1" x14ac:dyDescent="0.3">
      <c r="A18" s="10" t="s">
        <v>250</v>
      </c>
      <c r="B18" s="6">
        <f>References!Z18*4</f>
        <v>82.994799999999998</v>
      </c>
      <c r="C18" s="6">
        <f>(References!Y18*B18)/3.6</f>
        <v>6.0862853333333335</v>
      </c>
      <c r="D18" s="6">
        <v>34.5</v>
      </c>
      <c r="E18" s="6">
        <v>22.5</v>
      </c>
      <c r="F18" s="6">
        <v>1.8136751999999999E-2</v>
      </c>
      <c r="G18" s="6">
        <v>8.4806099999999995E-3</v>
      </c>
      <c r="H18" s="6">
        <f t="shared" si="0"/>
        <v>89.979642368</v>
      </c>
      <c r="I18" s="15">
        <f t="shared" si="1"/>
        <v>176.310106293552</v>
      </c>
      <c r="P18" s="1"/>
      <c r="Q18" s="1"/>
    </row>
    <row r="19" spans="1:20" ht="15.75" thickBot="1" x14ac:dyDescent="0.3">
      <c r="A19" s="10" t="s">
        <v>251</v>
      </c>
      <c r="B19" s="6">
        <f>References!Z19*4</f>
        <v>71.8048</v>
      </c>
      <c r="C19" s="6">
        <f>(References!Y19*B19)/3.6</f>
        <v>5.2656853333333338</v>
      </c>
      <c r="D19" s="6">
        <v>34.5</v>
      </c>
      <c r="E19" s="6">
        <v>22.5</v>
      </c>
      <c r="F19" s="6">
        <v>1.8136751999999999E-2</v>
      </c>
      <c r="G19" s="6">
        <v>8.4806099999999995E-3</v>
      </c>
      <c r="H19" s="6">
        <f t="shared" si="0"/>
        <v>77.847891967999999</v>
      </c>
      <c r="I19" s="15">
        <f t="shared" si="1"/>
        <v>152.538615917952</v>
      </c>
      <c r="P19" s="1"/>
      <c r="Q19" s="1"/>
    </row>
    <row r="20" spans="1:20" ht="15.75" thickBot="1" x14ac:dyDescent="0.3">
      <c r="A20" s="10" t="s">
        <v>252</v>
      </c>
      <c r="B20" s="6">
        <f>References!Z20*4</f>
        <v>74.523200000000003</v>
      </c>
      <c r="C20" s="6">
        <f>(References!Y20*B20)/3.6</f>
        <v>5.4650346666666669</v>
      </c>
      <c r="D20" s="6">
        <v>34.5</v>
      </c>
      <c r="E20" s="6">
        <v>22.5</v>
      </c>
      <c r="F20" s="6">
        <v>1.8136751999999999E-2</v>
      </c>
      <c r="G20" s="6">
        <v>8.4806099999999995E-3</v>
      </c>
      <c r="H20" s="6">
        <f t="shared" si="0"/>
        <v>80.795072512000004</v>
      </c>
      <c r="I20" s="15">
        <f t="shared" si="1"/>
        <v>158.31345232876799</v>
      </c>
    </row>
    <row r="21" spans="1:20" ht="15.75" thickBot="1" x14ac:dyDescent="0.3">
      <c r="A21" s="10" t="s">
        <v>253</v>
      </c>
      <c r="B21" s="6">
        <f>References!Z21*4</f>
        <v>68.551199999999994</v>
      </c>
      <c r="C21" s="6">
        <f>(References!Y21*B21)/3.6</f>
        <v>5.027088</v>
      </c>
      <c r="D21" s="6">
        <v>34.5</v>
      </c>
      <c r="E21" s="6">
        <v>22.5</v>
      </c>
      <c r="F21" s="6">
        <v>1.8136751999999999E-2</v>
      </c>
      <c r="G21" s="6">
        <v>8.4806099999999995E-3</v>
      </c>
      <c r="H21" s="6">
        <f t="shared" si="0"/>
        <v>74.320468991999988</v>
      </c>
      <c r="I21" s="15">
        <f t="shared" si="1"/>
        <v>145.62682672348799</v>
      </c>
    </row>
    <row r="22" spans="1:20" ht="15.75" thickBot="1" x14ac:dyDescent="0.3">
      <c r="A22" s="10" t="s">
        <v>254</v>
      </c>
      <c r="B22" s="6">
        <f>References!Z22*4</f>
        <v>46.424799999999998</v>
      </c>
      <c r="C22" s="6">
        <f>(References!Y22*B22)/3.6</f>
        <v>3.4044853333333331</v>
      </c>
      <c r="D22" s="6">
        <v>34.5</v>
      </c>
      <c r="E22" s="6">
        <v>22.5</v>
      </c>
      <c r="F22" s="6">
        <v>1.8136751999999999E-2</v>
      </c>
      <c r="G22" s="6">
        <v>8.4806099999999995E-3</v>
      </c>
      <c r="H22" s="6">
        <f t="shared" si="0"/>
        <v>50.331911167999991</v>
      </c>
      <c r="I22" s="15">
        <f t="shared" si="1"/>
        <v>98.622581446751994</v>
      </c>
      <c r="Q22" s="99"/>
      <c r="R22" s="99"/>
    </row>
    <row r="23" spans="1:20" ht="15.75" thickBot="1" x14ac:dyDescent="0.3">
      <c r="A23" s="10" t="s">
        <v>255</v>
      </c>
      <c r="B23" s="6">
        <f>References!Z23*4</f>
        <v>523.87279999999998</v>
      </c>
      <c r="C23" s="6">
        <f>(References!Y23*B23)/3.6</f>
        <v>38.417338666666666</v>
      </c>
      <c r="D23" s="6">
        <v>34.5</v>
      </c>
      <c r="E23" s="6">
        <v>22.5</v>
      </c>
      <c r="F23" s="6">
        <v>1.8136751999999999E-2</v>
      </c>
      <c r="G23" s="6">
        <v>8.4806099999999995E-3</v>
      </c>
      <c r="H23" s="6">
        <f t="shared" si="0"/>
        <v>567.96193484799994</v>
      </c>
      <c r="I23" s="15">
        <f t="shared" si="1"/>
        <v>1112.889832282272</v>
      </c>
      <c r="Q23" s="3"/>
      <c r="R23" s="3"/>
    </row>
    <row r="24" spans="1:20" ht="15.75" thickBot="1" x14ac:dyDescent="0.3">
      <c r="A24" s="10" t="s">
        <v>324</v>
      </c>
      <c r="B24" s="6">
        <f>References!Z24*4</f>
        <v>11.9092</v>
      </c>
      <c r="C24" s="6">
        <f>(References!Y24*B24)/3.6</f>
        <v>0.83860616666666665</v>
      </c>
      <c r="D24" s="6">
        <v>34.5</v>
      </c>
      <c r="E24" s="6">
        <v>24</v>
      </c>
      <c r="F24" s="6">
        <v>1.8136751999999999E-2</v>
      </c>
      <c r="G24" s="6">
        <v>9.2932350000000004E-3</v>
      </c>
      <c r="H24" s="6">
        <f t="shared" si="0"/>
        <v>10.848209371999999</v>
      </c>
      <c r="I24" s="15">
        <f t="shared" si="1"/>
        <v>22.248683673664495</v>
      </c>
      <c r="Q24" s="2"/>
      <c r="R24" s="1"/>
      <c r="S24" s="1"/>
      <c r="T24" s="1"/>
    </row>
    <row r="25" spans="1:20" ht="15.75" thickBot="1" x14ac:dyDescent="0.3">
      <c r="A25" s="13" t="s">
        <v>29</v>
      </c>
      <c r="B25" s="6">
        <f>References!Z25*4</f>
        <v>2624.7159999999999</v>
      </c>
      <c r="C25" s="6">
        <f>(References!Y25*B25)/3.6</f>
        <v>192.47917333333334</v>
      </c>
      <c r="D25" s="6">
        <v>34.5</v>
      </c>
      <c r="E25" s="6">
        <v>22.5</v>
      </c>
      <c r="F25" s="6">
        <v>1.8136751999999999E-2</v>
      </c>
      <c r="G25" s="6">
        <v>8.4806099999999995E-3</v>
      </c>
      <c r="H25" s="6">
        <f t="shared" si="0"/>
        <v>2845.61209856</v>
      </c>
      <c r="I25" s="15">
        <f t="shared" si="1"/>
        <v>5575.8186892478398</v>
      </c>
      <c r="Q25" s="2"/>
      <c r="R25" s="1"/>
      <c r="S25" s="1"/>
      <c r="T25" s="1"/>
    </row>
    <row r="26" spans="1:20" ht="15.75" thickBot="1" x14ac:dyDescent="0.3">
      <c r="A26" s="10" t="s">
        <v>256</v>
      </c>
      <c r="B26" s="6">
        <f>References!Z26*4</f>
        <v>131.44</v>
      </c>
      <c r="C26" s="6">
        <f>(References!Y26*B26)/3.6</f>
        <v>9.7667222222222225</v>
      </c>
      <c r="D26" s="6">
        <v>34.5</v>
      </c>
      <c r="E26" s="6">
        <v>22</v>
      </c>
      <c r="F26" s="6">
        <v>1.8136751999999999E-2</v>
      </c>
      <c r="G26" s="6">
        <v>8.2197599999999996E-3</v>
      </c>
      <c r="H26" s="6">
        <f t="shared" si="0"/>
        <v>150.40752222222224</v>
      </c>
      <c r="I26" s="15">
        <f t="shared" si="1"/>
        <v>290.569518432</v>
      </c>
    </row>
    <row r="27" spans="1:20" ht="15.75" thickBot="1" x14ac:dyDescent="0.3">
      <c r="A27" s="10" t="s">
        <v>257</v>
      </c>
      <c r="B27" s="6">
        <f>References!Z27*4</f>
        <v>50.71</v>
      </c>
      <c r="C27" s="6">
        <f>(References!Y27*B27)/3.6</f>
        <v>3.7187333333333337</v>
      </c>
      <c r="D27" s="6">
        <v>34.5</v>
      </c>
      <c r="E27" s="6">
        <v>22.5</v>
      </c>
      <c r="F27" s="6">
        <v>1.8136751999999999E-2</v>
      </c>
      <c r="G27" s="6">
        <v>8.4806099999999995E-3</v>
      </c>
      <c r="H27" s="6">
        <f t="shared" si="0"/>
        <v>54.9777536</v>
      </c>
      <c r="I27" s="15">
        <f t="shared" si="1"/>
        <v>107.7258513804</v>
      </c>
      <c r="P27" s="1"/>
      <c r="Q27" s="1"/>
      <c r="R27" s="1"/>
      <c r="S27" s="1"/>
    </row>
    <row r="28" spans="1:20" ht="15.75" thickBot="1" x14ac:dyDescent="0.3">
      <c r="A28" s="10" t="s">
        <v>325</v>
      </c>
      <c r="B28" s="6">
        <f>References!Z28*4</f>
        <v>12.9452</v>
      </c>
      <c r="C28" s="6">
        <f>(References!Y28*B28)/3.6</f>
        <v>0.91155783333333329</v>
      </c>
      <c r="D28" s="6">
        <v>34.5</v>
      </c>
      <c r="E28" s="6">
        <v>24</v>
      </c>
      <c r="F28" s="6">
        <v>1.8136751999999999E-2</v>
      </c>
      <c r="G28" s="6">
        <v>9.2932350000000004E-3</v>
      </c>
      <c r="H28" s="6">
        <f t="shared" si="0"/>
        <v>11.791912132</v>
      </c>
      <c r="I28" s="15">
        <f t="shared" si="1"/>
        <v>24.184131586699497</v>
      </c>
      <c r="P28" s="1"/>
      <c r="Q28" s="1"/>
      <c r="R28" s="1"/>
      <c r="S28" s="1"/>
    </row>
    <row r="29" spans="1:20" ht="15.75" thickBot="1" x14ac:dyDescent="0.3">
      <c r="A29" s="10" t="s">
        <v>258</v>
      </c>
      <c r="B29" s="6">
        <f>References!Z29*4</f>
        <v>57.5244</v>
      </c>
      <c r="C29" s="6">
        <f>(References!Y29*B29)/3.6</f>
        <v>4.2184559999999998</v>
      </c>
      <c r="D29" s="6">
        <v>34.5</v>
      </c>
      <c r="E29" s="6">
        <v>22.5</v>
      </c>
      <c r="F29" s="6">
        <v>1.8136751999999999E-2</v>
      </c>
      <c r="G29" s="6">
        <v>8.4806099999999995E-3</v>
      </c>
      <c r="H29" s="6">
        <f t="shared" si="0"/>
        <v>62.365653503999994</v>
      </c>
      <c r="I29" s="15">
        <f t="shared" si="1"/>
        <v>122.20203047025598</v>
      </c>
    </row>
    <row r="30" spans="1:20" ht="15.75" thickBot="1" x14ac:dyDescent="0.3">
      <c r="A30" s="8" t="s">
        <v>259</v>
      </c>
      <c r="B30" s="6">
        <f>References!Z30*4</f>
        <v>57.5244</v>
      </c>
      <c r="C30" s="6">
        <f>(References!Y30*B30)/3.6</f>
        <v>4.2184559999999998</v>
      </c>
      <c r="D30" s="6">
        <v>34.5</v>
      </c>
      <c r="E30" s="6">
        <v>22.5</v>
      </c>
      <c r="F30" s="6">
        <v>1.8136751999999999E-2</v>
      </c>
      <c r="G30" s="6">
        <v>8.4806099999999995E-3</v>
      </c>
      <c r="H30" s="6">
        <f t="shared" si="0"/>
        <v>62.365653503999994</v>
      </c>
      <c r="I30" s="15">
        <f t="shared" si="1"/>
        <v>122.20203047025598</v>
      </c>
    </row>
    <row r="31" spans="1:20" ht="15.75" thickBot="1" x14ac:dyDescent="0.3">
      <c r="A31" s="10" t="s">
        <v>260</v>
      </c>
      <c r="B31" s="6">
        <f>References!Z31*4</f>
        <v>35.860399999999998</v>
      </c>
      <c r="C31" s="6">
        <f>(References!Y31*B31)/3.6</f>
        <v>2.6297626666666667</v>
      </c>
      <c r="D31" s="6">
        <v>34.5</v>
      </c>
      <c r="E31" s="6">
        <v>22.5</v>
      </c>
      <c r="F31" s="6">
        <v>1.8136751999999999E-2</v>
      </c>
      <c r="G31" s="6">
        <v>8.4806099999999995E-3</v>
      </c>
      <c r="H31" s="6">
        <f t="shared" si="0"/>
        <v>38.878411264</v>
      </c>
      <c r="I31" s="15">
        <f t="shared" si="1"/>
        <v>76.180085206895995</v>
      </c>
    </row>
    <row r="32" spans="1:20" ht="15.75" thickBot="1" x14ac:dyDescent="0.3">
      <c r="A32" s="10" t="s">
        <v>261</v>
      </c>
      <c r="B32" s="6">
        <f>References!Z32*4</f>
        <v>57.742400000000004</v>
      </c>
      <c r="C32" s="6">
        <f>(References!Y32*B32)/3.6</f>
        <v>4.2344426666666672</v>
      </c>
      <c r="D32" s="6">
        <v>34.5</v>
      </c>
      <c r="E32" s="6">
        <v>22.5</v>
      </c>
      <c r="F32" s="6">
        <v>1.8136751999999999E-2</v>
      </c>
      <c r="G32" s="6">
        <v>8.4806099999999995E-3</v>
      </c>
      <c r="H32" s="6">
        <f t="shared" si="0"/>
        <v>62.602000384000007</v>
      </c>
      <c r="I32" s="15">
        <f t="shared" si="1"/>
        <v>122.66513904057601</v>
      </c>
    </row>
    <row r="33" spans="1:9" ht="15.75" thickBot="1" x14ac:dyDescent="0.3">
      <c r="A33" s="10" t="s">
        <v>262</v>
      </c>
      <c r="B33" s="6">
        <f>References!Z33*4</f>
        <v>57.742400000000004</v>
      </c>
      <c r="C33" s="6">
        <f>(References!Y33*B33)/3.6</f>
        <v>4.2344426666666672</v>
      </c>
      <c r="D33" s="6">
        <v>34.5</v>
      </c>
      <c r="E33" s="6">
        <v>22.5</v>
      </c>
      <c r="F33" s="6">
        <v>1.8136751999999999E-2</v>
      </c>
      <c r="G33" s="6">
        <v>8.4806099999999995E-3</v>
      </c>
      <c r="H33" s="6">
        <f t="shared" si="0"/>
        <v>62.602000384000007</v>
      </c>
      <c r="I33" s="15">
        <f t="shared" si="1"/>
        <v>122.66513904057601</v>
      </c>
    </row>
    <row r="34" spans="1:9" ht="15.75" thickBot="1" x14ac:dyDescent="0.3">
      <c r="A34" s="10" t="s">
        <v>263</v>
      </c>
      <c r="B34" s="6">
        <f>References!Z34*4</f>
        <v>21.95</v>
      </c>
      <c r="C34" s="6">
        <f>(References!Y34*B34)/3.6</f>
        <v>1.6096666666666668</v>
      </c>
      <c r="D34" s="6">
        <v>34.5</v>
      </c>
      <c r="E34" s="6">
        <v>22.5</v>
      </c>
      <c r="F34" s="6">
        <v>1.8136751999999999E-2</v>
      </c>
      <c r="G34" s="6">
        <v>8.4806099999999995E-3</v>
      </c>
      <c r="H34" s="6">
        <f t="shared" si="0"/>
        <v>23.797312000000002</v>
      </c>
      <c r="I34" s="15">
        <f t="shared" si="1"/>
        <v>46.629509717999994</v>
      </c>
    </row>
    <row r="35" spans="1:9" ht="15.75" thickBot="1" x14ac:dyDescent="0.3">
      <c r="A35" s="10" t="s">
        <v>264</v>
      </c>
      <c r="B35" s="6">
        <f>References!Z35*4</f>
        <v>22.04</v>
      </c>
      <c r="C35" s="6">
        <f>(References!Y35*B35)/3.6</f>
        <v>1.6162666666666665</v>
      </c>
      <c r="D35" s="6">
        <v>34.5</v>
      </c>
      <c r="E35" s="6">
        <v>22.5</v>
      </c>
      <c r="F35" s="6">
        <v>1.8136751999999999E-2</v>
      </c>
      <c r="G35" s="6">
        <v>8.4806099999999995E-3</v>
      </c>
      <c r="H35" s="6">
        <f t="shared" si="0"/>
        <v>23.894886399999997</v>
      </c>
      <c r="I35" s="15">
        <f t="shared" si="1"/>
        <v>46.820701329599991</v>
      </c>
    </row>
    <row r="36" spans="1:9" ht="15.75" thickBot="1" x14ac:dyDescent="0.3">
      <c r="A36" s="10" t="s">
        <v>265</v>
      </c>
      <c r="B36" s="6">
        <f>References!Z36*4</f>
        <v>22.545200000000001</v>
      </c>
      <c r="C36" s="6">
        <f>(References!Y36*B36)/3.6</f>
        <v>1.6533146666666667</v>
      </c>
      <c r="D36" s="6">
        <v>34.5</v>
      </c>
      <c r="E36" s="6">
        <v>22.5</v>
      </c>
      <c r="F36" s="6">
        <v>1.8136751999999999E-2</v>
      </c>
      <c r="G36" s="6">
        <v>8.4806099999999995E-3</v>
      </c>
      <c r="H36" s="6">
        <f t="shared" ref="H36:H67" si="2">(1.232*(D36-E36)*C36)</f>
        <v>24.442604031999998</v>
      </c>
      <c r="I36" s="15">
        <f t="shared" ref="I36:I67" si="3">3000*C36*(F36-G36)</f>
        <v>47.893923576048003</v>
      </c>
    </row>
    <row r="37" spans="1:9" ht="15.75" thickBot="1" x14ac:dyDescent="0.3">
      <c r="A37" s="10" t="s">
        <v>266</v>
      </c>
      <c r="B37" s="6">
        <f>References!Z37*4</f>
        <v>22.081199999999999</v>
      </c>
      <c r="C37" s="6">
        <f>(References!Y37*B37)/3.6</f>
        <v>1.5548845</v>
      </c>
      <c r="D37" s="6">
        <v>34.5</v>
      </c>
      <c r="E37" s="6">
        <v>24</v>
      </c>
      <c r="F37" s="6">
        <v>1.8136751999999999E-2</v>
      </c>
      <c r="G37" s="6">
        <v>9.2932350000000004E-3</v>
      </c>
      <c r="H37" s="6">
        <f t="shared" si="2"/>
        <v>20.113985891999999</v>
      </c>
      <c r="I37" s="15">
        <f t="shared" si="3"/>
        <v>41.2519425263595</v>
      </c>
    </row>
    <row r="38" spans="1:9" ht="15.75" thickBot="1" x14ac:dyDescent="0.3">
      <c r="A38" s="10" t="s">
        <v>267</v>
      </c>
      <c r="B38" s="6">
        <f>References!Z38*4</f>
        <v>36.596800000000002</v>
      </c>
      <c r="C38" s="6">
        <f>(References!Y38*B38)/3.6</f>
        <v>2.6837653333333336</v>
      </c>
      <c r="D38" s="6">
        <v>34.5</v>
      </c>
      <c r="E38" s="6">
        <v>22.5</v>
      </c>
      <c r="F38" s="6">
        <v>1.8136751999999999E-2</v>
      </c>
      <c r="G38" s="6">
        <v>8.4806099999999995E-3</v>
      </c>
      <c r="H38" s="6">
        <f t="shared" si="2"/>
        <v>39.676786688</v>
      </c>
      <c r="I38" s="15">
        <f t="shared" si="3"/>
        <v>77.744457460031995</v>
      </c>
    </row>
    <row r="39" spans="1:9" ht="15.75" thickBot="1" x14ac:dyDescent="0.3">
      <c r="A39" s="10" t="s">
        <v>268</v>
      </c>
      <c r="B39" s="6">
        <f>References!Z39*4</f>
        <v>19.808800000000002</v>
      </c>
      <c r="C39" s="6">
        <f>(References!Y39*B39)/3.6</f>
        <v>1.4526453333333336</v>
      </c>
      <c r="D39" s="6">
        <v>34.5</v>
      </c>
      <c r="E39" s="6">
        <v>22.5</v>
      </c>
      <c r="F39" s="6">
        <v>1.8136751999999999E-2</v>
      </c>
      <c r="G39" s="6">
        <v>8.4806099999999995E-3</v>
      </c>
      <c r="H39" s="6">
        <f t="shared" si="2"/>
        <v>21.475908608000001</v>
      </c>
      <c r="I39" s="15">
        <f t="shared" si="3"/>
        <v>42.080848842912005</v>
      </c>
    </row>
    <row r="40" spans="1:9" ht="15.75" thickBot="1" x14ac:dyDescent="0.3">
      <c r="A40" s="10" t="s">
        <v>269</v>
      </c>
      <c r="B40" s="6">
        <f>References!Z40*4</f>
        <v>101.01519999999999</v>
      </c>
      <c r="C40" s="6">
        <f>(References!Y40*B40)/3.6</f>
        <v>7.4077813333333333</v>
      </c>
      <c r="D40" s="6">
        <v>34.5</v>
      </c>
      <c r="E40" s="6">
        <v>22.5</v>
      </c>
      <c r="F40" s="6">
        <v>1.8136751999999999E-2</v>
      </c>
      <c r="G40" s="6">
        <v>8.4806099999999995E-3</v>
      </c>
      <c r="H40" s="6">
        <f t="shared" si="2"/>
        <v>109.51663923199999</v>
      </c>
      <c r="I40" s="15">
        <f t="shared" si="3"/>
        <v>214.59176537884801</v>
      </c>
    </row>
    <row r="41" spans="1:9" ht="15.75" thickBot="1" x14ac:dyDescent="0.3">
      <c r="A41" s="10" t="s">
        <v>270</v>
      </c>
      <c r="B41" s="6">
        <f>References!Z41*4</f>
        <v>57.5244</v>
      </c>
      <c r="C41" s="6">
        <f>(References!Y41*B41)/3.6</f>
        <v>4.2184559999999998</v>
      </c>
      <c r="D41" s="6">
        <v>34.5</v>
      </c>
      <c r="E41" s="6">
        <v>22.5</v>
      </c>
      <c r="F41" s="6">
        <v>1.8136751999999999E-2</v>
      </c>
      <c r="G41" s="6">
        <v>8.4806099999999995E-3</v>
      </c>
      <c r="H41" s="6">
        <f t="shared" si="2"/>
        <v>62.365653503999994</v>
      </c>
      <c r="I41" s="15">
        <f t="shared" si="3"/>
        <v>122.20203047025598</v>
      </c>
    </row>
    <row r="42" spans="1:9" ht="15.75" thickBot="1" x14ac:dyDescent="0.3">
      <c r="A42" s="10" t="s">
        <v>271</v>
      </c>
      <c r="B42" s="6">
        <f>References!Z42*4</f>
        <v>57.5244</v>
      </c>
      <c r="C42" s="6">
        <f>(References!Y42*B42)/3.6</f>
        <v>4.2184559999999998</v>
      </c>
      <c r="D42" s="6">
        <v>34.5</v>
      </c>
      <c r="E42" s="6">
        <v>22.5</v>
      </c>
      <c r="F42" s="6">
        <v>1.8136751999999999E-2</v>
      </c>
      <c r="G42" s="6">
        <v>8.4806099999999995E-3</v>
      </c>
      <c r="H42" s="6">
        <f t="shared" si="2"/>
        <v>62.365653503999994</v>
      </c>
      <c r="I42" s="15">
        <f t="shared" si="3"/>
        <v>122.20203047025598</v>
      </c>
    </row>
    <row r="43" spans="1:9" ht="15.75" thickBot="1" x14ac:dyDescent="0.3">
      <c r="A43" s="10" t="s">
        <v>272</v>
      </c>
      <c r="B43" s="6">
        <f>References!Z43*4</f>
        <v>41.671999999999997</v>
      </c>
      <c r="C43" s="6">
        <f>(References!Y43*B43)/3.6</f>
        <v>3.0559466666666664</v>
      </c>
      <c r="D43" s="6">
        <v>34.5</v>
      </c>
      <c r="E43" s="6">
        <v>22.5</v>
      </c>
      <c r="F43" s="6">
        <v>1.8136751999999999E-2</v>
      </c>
      <c r="G43" s="6">
        <v>8.4806099999999995E-3</v>
      </c>
      <c r="H43" s="6">
        <f t="shared" si="2"/>
        <v>45.179115519999989</v>
      </c>
      <c r="I43" s="15">
        <f t="shared" si="3"/>
        <v>88.525964873279975</v>
      </c>
    </row>
    <row r="44" spans="1:9" ht="15.75" thickBot="1" x14ac:dyDescent="0.3">
      <c r="A44" s="10" t="s">
        <v>273</v>
      </c>
      <c r="B44" s="6">
        <f>References!Z44*4</f>
        <v>39.921999999999997</v>
      </c>
      <c r="C44" s="6">
        <f>(References!Y44*B44)/3.6</f>
        <v>2.9276133333333334</v>
      </c>
      <c r="D44" s="6">
        <v>34.5</v>
      </c>
      <c r="E44" s="6">
        <v>22.5</v>
      </c>
      <c r="F44" s="6">
        <v>1.8136751999999999E-2</v>
      </c>
      <c r="G44" s="6">
        <v>8.4806099999999995E-3</v>
      </c>
      <c r="H44" s="6">
        <f t="shared" si="2"/>
        <v>43.281835520000001</v>
      </c>
      <c r="I44" s="15">
        <f t="shared" si="3"/>
        <v>84.80835020328</v>
      </c>
    </row>
    <row r="45" spans="1:9" ht="15.75" thickBot="1" x14ac:dyDescent="0.3">
      <c r="A45" s="10" t="s">
        <v>274</v>
      </c>
      <c r="B45" s="6">
        <f>References!Z45*4</f>
        <v>57.742400000000004</v>
      </c>
      <c r="C45" s="6">
        <f>(References!Y45*B45)/3.6</f>
        <v>4.2344426666666672</v>
      </c>
      <c r="D45" s="6">
        <v>34.5</v>
      </c>
      <c r="E45" s="6">
        <v>22.5</v>
      </c>
      <c r="F45" s="6">
        <v>1.8136751999999999E-2</v>
      </c>
      <c r="G45" s="6">
        <v>8.4806099999999995E-3</v>
      </c>
      <c r="H45" s="6">
        <f t="shared" si="2"/>
        <v>62.602000384000007</v>
      </c>
      <c r="I45" s="15">
        <f t="shared" si="3"/>
        <v>122.66513904057601</v>
      </c>
    </row>
    <row r="46" spans="1:9" ht="15.75" thickBot="1" x14ac:dyDescent="0.3">
      <c r="A46" s="10" t="s">
        <v>275</v>
      </c>
      <c r="B46" s="6">
        <f>References!Z46*4</f>
        <v>57.742400000000004</v>
      </c>
      <c r="C46" s="6">
        <f>(References!Y46*B46)/3.6</f>
        <v>4.2344426666666672</v>
      </c>
      <c r="D46" s="6">
        <v>34.5</v>
      </c>
      <c r="E46" s="6">
        <v>22.5</v>
      </c>
      <c r="F46" s="6">
        <v>1.8136751999999999E-2</v>
      </c>
      <c r="G46" s="6">
        <v>8.4806099999999995E-3</v>
      </c>
      <c r="H46" s="6">
        <f t="shared" si="2"/>
        <v>62.602000384000007</v>
      </c>
      <c r="I46" s="15">
        <f t="shared" si="3"/>
        <v>122.66513904057601</v>
      </c>
    </row>
    <row r="47" spans="1:9" ht="15.75" thickBot="1" x14ac:dyDescent="0.3">
      <c r="A47" s="10" t="s">
        <v>276</v>
      </c>
      <c r="B47" s="6">
        <f>References!Z47*4</f>
        <v>57.455599999999997</v>
      </c>
      <c r="C47" s="6">
        <f>(References!Y47*B47)/3.6</f>
        <v>4.2134106666666664</v>
      </c>
      <c r="D47" s="6">
        <v>34.5</v>
      </c>
      <c r="E47" s="6">
        <v>22.5</v>
      </c>
      <c r="F47" s="6">
        <v>1.8136751999999999E-2</v>
      </c>
      <c r="G47" s="6">
        <v>8.4806099999999995E-3</v>
      </c>
      <c r="H47" s="6">
        <f t="shared" si="2"/>
        <v>62.29106329599999</v>
      </c>
      <c r="I47" s="15">
        <f t="shared" si="3"/>
        <v>122.05587510494399</v>
      </c>
    </row>
    <row r="48" spans="1:9" ht="15.75" thickBot="1" x14ac:dyDescent="0.3">
      <c r="A48" s="10" t="s">
        <v>277</v>
      </c>
      <c r="B48" s="6">
        <f>References!Z48*4</f>
        <v>33.723999999999997</v>
      </c>
      <c r="C48" s="6">
        <f>(References!Y48*B48)/3.6</f>
        <v>2.4730933333333334</v>
      </c>
      <c r="D48" s="6">
        <v>34.5</v>
      </c>
      <c r="E48" s="6">
        <v>22.5</v>
      </c>
      <c r="F48" s="6">
        <v>1.8136751999999999E-2</v>
      </c>
      <c r="G48" s="6">
        <v>8.4806099999999995E-3</v>
      </c>
      <c r="H48" s="6">
        <f t="shared" si="2"/>
        <v>36.562211839999996</v>
      </c>
      <c r="I48" s="15">
        <f t="shared" si="3"/>
        <v>71.64162121775999</v>
      </c>
    </row>
    <row r="49" spans="1:9" ht="15.75" thickBot="1" x14ac:dyDescent="0.3">
      <c r="A49" s="10" t="s">
        <v>278</v>
      </c>
      <c r="B49" s="6">
        <f>References!Z49*4</f>
        <v>33.254800000000003</v>
      </c>
      <c r="C49" s="6">
        <f>(References!Y49*B49)/3.6</f>
        <v>2.3416921666666668</v>
      </c>
      <c r="D49" s="6">
        <v>34.5</v>
      </c>
      <c r="E49" s="6">
        <v>24</v>
      </c>
      <c r="F49" s="6">
        <v>1.8136751999999999E-2</v>
      </c>
      <c r="G49" s="6">
        <v>9.2932350000000004E-3</v>
      </c>
      <c r="H49" s="6">
        <f t="shared" si="2"/>
        <v>30.292129868</v>
      </c>
      <c r="I49" s="15">
        <f t="shared" si="3"/>
        <v>62.12638345405049</v>
      </c>
    </row>
    <row r="50" spans="1:9" ht="15.75" thickBot="1" x14ac:dyDescent="0.3">
      <c r="A50" s="10" t="s">
        <v>279</v>
      </c>
      <c r="B50" s="6">
        <f>References!Z50*4</f>
        <v>33.75</v>
      </c>
      <c r="C50" s="6">
        <f>(References!Y50*B50)/3.6</f>
        <v>2.4750000000000001</v>
      </c>
      <c r="D50" s="6">
        <v>34.5</v>
      </c>
      <c r="E50" s="6">
        <v>22.5</v>
      </c>
      <c r="F50" s="6">
        <v>1.8136751999999999E-2</v>
      </c>
      <c r="G50" s="6">
        <v>8.4806099999999995E-3</v>
      </c>
      <c r="H50" s="6">
        <f t="shared" si="2"/>
        <v>36.590399999999995</v>
      </c>
      <c r="I50" s="15">
        <f t="shared" si="3"/>
        <v>71.696854349999995</v>
      </c>
    </row>
    <row r="51" spans="1:9" ht="15.75" thickBot="1" x14ac:dyDescent="0.3">
      <c r="A51" s="10" t="s">
        <v>280</v>
      </c>
      <c r="B51" s="6">
        <f>References!Z51*4</f>
        <v>54.427999999999997</v>
      </c>
      <c r="C51" s="6">
        <f>(References!Y51*B51)/3.6</f>
        <v>3.9913866666666666</v>
      </c>
      <c r="D51" s="6">
        <v>34.5</v>
      </c>
      <c r="E51" s="6">
        <v>22.5</v>
      </c>
      <c r="F51" s="6">
        <v>1.8136751999999999E-2</v>
      </c>
      <c r="G51" s="6">
        <v>8.4806099999999995E-3</v>
      </c>
      <c r="H51" s="6">
        <f t="shared" si="2"/>
        <v>59.008660479999996</v>
      </c>
      <c r="I51" s="15">
        <f t="shared" si="3"/>
        <v>115.62418929072</v>
      </c>
    </row>
    <row r="52" spans="1:9" ht="15.75" thickBot="1" x14ac:dyDescent="0.3">
      <c r="A52" s="10" t="s">
        <v>281</v>
      </c>
      <c r="B52" s="6">
        <f>References!Z52*4</f>
        <v>69.039599999999993</v>
      </c>
      <c r="C52" s="6">
        <f>(References!Y52*B52)/3.6</f>
        <v>4.8615385</v>
      </c>
      <c r="D52" s="6">
        <v>34.5</v>
      </c>
      <c r="E52" s="6">
        <v>24</v>
      </c>
      <c r="F52" s="6">
        <v>1.8136751999999999E-2</v>
      </c>
      <c r="G52" s="6">
        <v>9.2932350000000004E-3</v>
      </c>
      <c r="H52" s="6">
        <f t="shared" si="2"/>
        <v>62.888862035999999</v>
      </c>
      <c r="I52" s="15">
        <f t="shared" si="3"/>
        <v>128.97929511271349</v>
      </c>
    </row>
    <row r="53" spans="1:9" ht="15.75" thickBot="1" x14ac:dyDescent="0.3">
      <c r="A53" s="10" t="s">
        <v>282</v>
      </c>
      <c r="B53" s="6">
        <f>References!Z53*4</f>
        <v>68.506799999999998</v>
      </c>
      <c r="C53" s="6">
        <f>(References!Y53*B53)/3.6</f>
        <v>5.0238319999999996</v>
      </c>
      <c r="D53" s="6">
        <v>34.5</v>
      </c>
      <c r="E53" s="6">
        <v>22.5</v>
      </c>
      <c r="F53" s="6">
        <v>1.8136751999999999E-2</v>
      </c>
      <c r="G53" s="6">
        <v>8.4806099999999995E-3</v>
      </c>
      <c r="H53" s="6">
        <f t="shared" si="2"/>
        <v>74.272332287999987</v>
      </c>
      <c r="I53" s="15">
        <f t="shared" si="3"/>
        <v>145.53250552843198</v>
      </c>
    </row>
    <row r="54" spans="1:9" ht="15.75" thickBot="1" x14ac:dyDescent="0.3">
      <c r="A54" s="10" t="s">
        <v>283</v>
      </c>
      <c r="B54" s="6">
        <f>References!Z54*4</f>
        <v>34.284399999999998</v>
      </c>
      <c r="C54" s="6">
        <f>(References!Y54*B54)/3.6</f>
        <v>2.5141893333333334</v>
      </c>
      <c r="D54" s="6">
        <v>34.5</v>
      </c>
      <c r="E54" s="6">
        <v>22.5</v>
      </c>
      <c r="F54" s="6">
        <v>1.8136751999999999E-2</v>
      </c>
      <c r="G54" s="6">
        <v>8.4806099999999995E-3</v>
      </c>
      <c r="H54" s="6">
        <f t="shared" si="2"/>
        <v>37.169775103999996</v>
      </c>
      <c r="I54" s="15">
        <f t="shared" si="3"/>
        <v>72.832107652655992</v>
      </c>
    </row>
    <row r="55" spans="1:9" ht="15.75" thickBot="1" x14ac:dyDescent="0.3">
      <c r="A55" s="10" t="s">
        <v>284</v>
      </c>
      <c r="B55" s="6">
        <f>References!Z55*4</f>
        <v>141.27080000000001</v>
      </c>
      <c r="C55" s="6">
        <f>(References!Y55*B55)/3.6</f>
        <v>10.359858666666666</v>
      </c>
      <c r="D55" s="6">
        <v>34.5</v>
      </c>
      <c r="E55" s="6">
        <v>22.5</v>
      </c>
      <c r="F55" s="6">
        <v>1.8136751999999999E-2</v>
      </c>
      <c r="G55" s="6">
        <v>8.4806099999999995E-3</v>
      </c>
      <c r="H55" s="6">
        <f t="shared" si="2"/>
        <v>153.16015052799997</v>
      </c>
      <c r="I55" s="15">
        <f t="shared" si="3"/>
        <v>300.10879915579198</v>
      </c>
    </row>
    <row r="56" spans="1:9" ht="15.75" thickBot="1" x14ac:dyDescent="0.3">
      <c r="A56" s="10" t="s">
        <v>285</v>
      </c>
      <c r="B56" s="6">
        <f>References!Z56*4</f>
        <v>54.393599999999999</v>
      </c>
      <c r="C56" s="6">
        <f>(References!Y56*B56)/3.6</f>
        <v>3.988864</v>
      </c>
      <c r="D56" s="6">
        <v>34.5</v>
      </c>
      <c r="E56" s="6">
        <v>22.5</v>
      </c>
      <c r="F56" s="6">
        <v>1.8136751999999999E-2</v>
      </c>
      <c r="G56" s="6">
        <v>8.4806099999999995E-3</v>
      </c>
      <c r="H56" s="6">
        <f t="shared" si="2"/>
        <v>58.971365375999994</v>
      </c>
      <c r="I56" s="15">
        <f t="shared" si="3"/>
        <v>115.55111160806401</v>
      </c>
    </row>
    <row r="57" spans="1:9" ht="15.75" thickBot="1" x14ac:dyDescent="0.3">
      <c r="A57" s="10" t="s">
        <v>286</v>
      </c>
      <c r="B57" s="6">
        <f>References!Z57*4</f>
        <v>68.171199999999999</v>
      </c>
      <c r="C57" s="6">
        <f>(References!Y57*B57)/3.6</f>
        <v>4.8003886666666666</v>
      </c>
      <c r="D57" s="6">
        <v>34.5</v>
      </c>
      <c r="E57" s="6">
        <v>24</v>
      </c>
      <c r="F57" s="6">
        <v>1.8136751999999999E-2</v>
      </c>
      <c r="G57" s="6">
        <v>9.2932350000000004E-3</v>
      </c>
      <c r="H57" s="6">
        <f t="shared" si="2"/>
        <v>62.097827791999997</v>
      </c>
      <c r="I57" s="15">
        <f t="shared" si="3"/>
        <v>127.35695634082198</v>
      </c>
    </row>
    <row r="58" spans="1:9" ht="15.75" thickBot="1" x14ac:dyDescent="0.3">
      <c r="A58" s="10" t="s">
        <v>287</v>
      </c>
      <c r="B58" s="6">
        <f>References!Z58*4</f>
        <v>41.766800000000003</v>
      </c>
      <c r="C58" s="6">
        <f>(References!Y58*B58)/3.6</f>
        <v>3.0628986666666669</v>
      </c>
      <c r="D58" s="6">
        <v>34.5</v>
      </c>
      <c r="E58" s="6">
        <v>22.5</v>
      </c>
      <c r="F58" s="6">
        <v>1.8136751999999999E-2</v>
      </c>
      <c r="G58" s="6">
        <v>8.4806099999999995E-3</v>
      </c>
      <c r="H58" s="6">
        <f t="shared" si="2"/>
        <v>45.281893887999999</v>
      </c>
      <c r="I58" s="15">
        <f t="shared" si="3"/>
        <v>88.727353370831992</v>
      </c>
    </row>
    <row r="59" spans="1:9" ht="15.75" thickBot="1" x14ac:dyDescent="0.3">
      <c r="A59" s="10" t="s">
        <v>288</v>
      </c>
      <c r="B59" s="6">
        <f>References!Z59*4</f>
        <v>46.367600000000003</v>
      </c>
      <c r="C59" s="6">
        <f>(References!Y59*B59)/3.6</f>
        <v>3.4002906666666672</v>
      </c>
      <c r="D59" s="6">
        <v>34.5</v>
      </c>
      <c r="E59" s="6">
        <v>22.5</v>
      </c>
      <c r="F59" s="6">
        <v>1.8136751999999999E-2</v>
      </c>
      <c r="G59" s="6">
        <v>8.4806099999999995E-3</v>
      </c>
      <c r="H59" s="6">
        <f t="shared" si="2"/>
        <v>50.269897216000004</v>
      </c>
      <c r="I59" s="15">
        <f t="shared" si="3"/>
        <v>98.501068555824006</v>
      </c>
    </row>
    <row r="60" spans="1:9" ht="15.75" thickBot="1" x14ac:dyDescent="0.3">
      <c r="A60" s="10" t="s">
        <v>289</v>
      </c>
      <c r="B60" s="6">
        <f>References!Z60*4</f>
        <v>76.307599999999994</v>
      </c>
      <c r="C60" s="6">
        <f>(References!Y60*B60)/3.6</f>
        <v>5.5958906666666666</v>
      </c>
      <c r="D60" s="6">
        <v>34.5</v>
      </c>
      <c r="E60" s="6">
        <v>22.5</v>
      </c>
      <c r="F60" s="6">
        <v>1.8136751999999999E-2</v>
      </c>
      <c r="G60" s="6">
        <v>8.4806099999999995E-3</v>
      </c>
      <c r="H60" s="6">
        <f t="shared" si="2"/>
        <v>82.729647615999994</v>
      </c>
      <c r="I60" s="15">
        <f t="shared" si="3"/>
        <v>162.10414468142397</v>
      </c>
    </row>
    <row r="61" spans="1:9" ht="15.75" thickBot="1" x14ac:dyDescent="0.3">
      <c r="A61" s="10" t="s">
        <v>326</v>
      </c>
      <c r="B61" s="6">
        <f>References!Z61*4</f>
        <v>10.137600000000001</v>
      </c>
      <c r="C61" s="6">
        <f>(References!Y61*B61)/3.6</f>
        <v>0.71385600000000016</v>
      </c>
      <c r="D61" s="6">
        <v>34.5</v>
      </c>
      <c r="E61" s="6">
        <v>24</v>
      </c>
      <c r="F61" s="6">
        <v>1.8136751999999999E-2</v>
      </c>
      <c r="G61" s="6">
        <v>9.2932350000000004E-3</v>
      </c>
      <c r="H61" s="6">
        <f t="shared" si="2"/>
        <v>9.2344412160000022</v>
      </c>
      <c r="I61" s="15">
        <f t="shared" si="3"/>
        <v>18.938993014656003</v>
      </c>
    </row>
    <row r="62" spans="1:9" ht="15.75" thickBot="1" x14ac:dyDescent="0.3">
      <c r="A62" s="10" t="s">
        <v>290</v>
      </c>
      <c r="B62" s="6">
        <f>References!Z62*4</f>
        <v>136.86080000000001</v>
      </c>
      <c r="C62" s="6">
        <f>(References!Y62*B62)/3.6</f>
        <v>9.637281333333334</v>
      </c>
      <c r="D62" s="6">
        <v>34.5</v>
      </c>
      <c r="E62" s="6">
        <v>24</v>
      </c>
      <c r="F62" s="6">
        <v>1.8136751999999999E-2</v>
      </c>
      <c r="G62" s="6">
        <v>9.2932350000000004E-3</v>
      </c>
      <c r="H62" s="6">
        <f t="shared" si="2"/>
        <v>124.667871328</v>
      </c>
      <c r="I62" s="15">
        <f t="shared" si="3"/>
        <v>255.68238391534797</v>
      </c>
    </row>
    <row r="63" spans="1:9" ht="15.75" thickBot="1" x14ac:dyDescent="0.3">
      <c r="A63" s="10" t="s">
        <v>291</v>
      </c>
      <c r="B63" s="6">
        <f>References!Z63*4</f>
        <v>10.3764</v>
      </c>
      <c r="C63" s="6">
        <f>(References!Y63*B63)/3.6</f>
        <v>0.73067150000000003</v>
      </c>
      <c r="D63" s="6">
        <v>34.5</v>
      </c>
      <c r="E63" s="6">
        <v>24</v>
      </c>
      <c r="F63" s="6">
        <v>1.8136751999999999E-2</v>
      </c>
      <c r="G63" s="6">
        <v>9.2932350000000004E-3</v>
      </c>
      <c r="H63" s="6">
        <f t="shared" si="2"/>
        <v>9.4519665239999995</v>
      </c>
      <c r="I63" s="15">
        <f t="shared" si="3"/>
        <v>19.3851174949965</v>
      </c>
    </row>
    <row r="64" spans="1:9" ht="15.75" thickBot="1" x14ac:dyDescent="0.3">
      <c r="A64" s="10" t="s">
        <v>292</v>
      </c>
      <c r="B64" s="6">
        <f>References!Z64*4</f>
        <v>7.85</v>
      </c>
      <c r="C64" s="6">
        <f>(References!Y64*B64)/3.6</f>
        <v>0.55277083333333332</v>
      </c>
      <c r="D64" s="6">
        <v>34.5</v>
      </c>
      <c r="E64" s="6">
        <v>24</v>
      </c>
      <c r="F64" s="6">
        <v>1.8136751999999999E-2</v>
      </c>
      <c r="G64" s="6">
        <v>9.2932350000000004E-3</v>
      </c>
      <c r="H64" s="6">
        <f t="shared" si="2"/>
        <v>7.1506435000000002</v>
      </c>
      <c r="I64" s="15">
        <f t="shared" si="3"/>
        <v>14.665314785062497</v>
      </c>
    </row>
    <row r="65" spans="1:9" ht="15.75" thickBot="1" x14ac:dyDescent="0.3">
      <c r="A65" s="10" t="s">
        <v>293</v>
      </c>
      <c r="B65" s="6">
        <f>References!Z65*4</f>
        <v>22.8736</v>
      </c>
      <c r="C65" s="6">
        <f>(References!Y65*B65)/3.6</f>
        <v>1.6773973333333334</v>
      </c>
      <c r="D65" s="6">
        <v>34.5</v>
      </c>
      <c r="E65" s="6">
        <v>22.5</v>
      </c>
      <c r="F65" s="6">
        <v>1.8136751999999999E-2</v>
      </c>
      <c r="G65" s="6">
        <v>8.4806099999999995E-3</v>
      </c>
      <c r="H65" s="6">
        <f t="shared" si="2"/>
        <v>24.798642175999998</v>
      </c>
      <c r="I65" s="15">
        <f t="shared" si="3"/>
        <v>48.591560523264</v>
      </c>
    </row>
    <row r="66" spans="1:9" ht="15.75" thickBot="1" x14ac:dyDescent="0.3">
      <c r="A66" s="10" t="s">
        <v>294</v>
      </c>
      <c r="B66" s="6">
        <f>References!Z66*4</f>
        <v>36.9</v>
      </c>
      <c r="C66" s="6">
        <f>(References!Y66*B66)/3.6</f>
        <v>2.706</v>
      </c>
      <c r="D66" s="6">
        <v>34.5</v>
      </c>
      <c r="E66" s="6">
        <v>22.5</v>
      </c>
      <c r="F66" s="6">
        <v>1.8136751999999999E-2</v>
      </c>
      <c r="G66" s="6">
        <v>8.4806099999999995E-3</v>
      </c>
      <c r="H66" s="6">
        <f t="shared" si="2"/>
        <v>40.005503999999995</v>
      </c>
      <c r="I66" s="15">
        <f t="shared" si="3"/>
        <v>78.38856075599999</v>
      </c>
    </row>
    <row r="67" spans="1:9" ht="15.75" thickBot="1" x14ac:dyDescent="0.3">
      <c r="A67" s="10" t="s">
        <v>327</v>
      </c>
      <c r="B67" s="6">
        <f>References!Z67*4</f>
        <v>7.78</v>
      </c>
      <c r="C67" s="6">
        <f>(References!Y67*B67)/3.6</f>
        <v>0.54784166666666667</v>
      </c>
      <c r="D67" s="6">
        <v>34.5</v>
      </c>
      <c r="E67" s="6">
        <v>24</v>
      </c>
      <c r="F67" s="6">
        <v>1.8136751999999999E-2</v>
      </c>
      <c r="G67" s="6">
        <v>9.2932350000000004E-3</v>
      </c>
      <c r="H67" s="6">
        <f t="shared" si="2"/>
        <v>7.0868798000000002</v>
      </c>
      <c r="I67" s="15">
        <f t="shared" si="3"/>
        <v>14.534541277424999</v>
      </c>
    </row>
    <row r="68" spans="1:9" ht="15.75" thickBot="1" x14ac:dyDescent="0.3">
      <c r="A68" s="10" t="s">
        <v>295</v>
      </c>
      <c r="B68" s="6">
        <f>References!Z68*4</f>
        <v>152.13</v>
      </c>
      <c r="C68" s="6">
        <f>(References!Y68*B68)/3.6</f>
        <v>11.1562</v>
      </c>
      <c r="D68" s="6">
        <v>34.5</v>
      </c>
      <c r="E68" s="6">
        <v>22.5</v>
      </c>
      <c r="F68" s="6">
        <v>1.8136751999999999E-2</v>
      </c>
      <c r="G68" s="6">
        <v>8.4806099999999995E-3</v>
      </c>
      <c r="H68" s="6">
        <f t="shared" ref="H68:H73" si="4">(1.232*(D68-E68)*C68)</f>
        <v>164.9332608</v>
      </c>
      <c r="I68" s="15">
        <f t="shared" ref="I68:I73" si="5">3000*C68*(F68-G68)</f>
        <v>323.17755414119995</v>
      </c>
    </row>
    <row r="69" spans="1:9" ht="15.75" thickBot="1" x14ac:dyDescent="0.3">
      <c r="A69" s="10" t="s">
        <v>296</v>
      </c>
      <c r="B69" s="6">
        <f>References!Z69*4</f>
        <v>203.55240000000001</v>
      </c>
      <c r="C69" s="6">
        <f>(References!Y69*B69)/3.6</f>
        <v>14.927175999999999</v>
      </c>
      <c r="D69" s="6">
        <v>34.5</v>
      </c>
      <c r="E69" s="6">
        <v>22.5</v>
      </c>
      <c r="F69" s="6">
        <v>1.8136751999999999E-2</v>
      </c>
      <c r="G69" s="6">
        <v>8.4806099999999995E-3</v>
      </c>
      <c r="H69" s="6">
        <f t="shared" si="4"/>
        <v>220.68336998399997</v>
      </c>
      <c r="I69" s="15">
        <f t="shared" si="5"/>
        <v>432.41679334497599</v>
      </c>
    </row>
    <row r="70" spans="1:9" ht="15.75" thickBot="1" x14ac:dyDescent="0.3">
      <c r="A70" s="10" t="s">
        <v>297</v>
      </c>
      <c r="B70" s="6">
        <f>References!Z70*4</f>
        <v>108.0224</v>
      </c>
      <c r="C70" s="6">
        <f>(References!Y70*B70)/3.6</f>
        <v>7.9216426666666671</v>
      </c>
      <c r="D70" s="6">
        <v>34.5</v>
      </c>
      <c r="E70" s="6">
        <v>22.5</v>
      </c>
      <c r="F70" s="6">
        <v>1.8136751999999999E-2</v>
      </c>
      <c r="G70" s="6">
        <v>8.4806099999999995E-3</v>
      </c>
      <c r="H70" s="6">
        <f t="shared" si="4"/>
        <v>117.113565184</v>
      </c>
      <c r="I70" s="15">
        <f t="shared" si="5"/>
        <v>229.477519387776</v>
      </c>
    </row>
    <row r="71" spans="1:9" ht="15.75" thickBot="1" x14ac:dyDescent="0.3">
      <c r="A71" s="10" t="s">
        <v>328</v>
      </c>
      <c r="B71" s="6">
        <f>References!Z71*4</f>
        <v>10.137600000000001</v>
      </c>
      <c r="C71" s="6">
        <f>(References!Y71*B71)/3.6</f>
        <v>0.71385600000000016</v>
      </c>
      <c r="D71" s="6">
        <v>34.5</v>
      </c>
      <c r="E71" s="6">
        <v>24</v>
      </c>
      <c r="F71" s="6">
        <v>1.8136751999999999E-2</v>
      </c>
      <c r="G71" s="6">
        <v>9.2932350000000004E-3</v>
      </c>
      <c r="H71" s="6">
        <f t="shared" si="4"/>
        <v>9.2344412160000022</v>
      </c>
      <c r="I71" s="15">
        <f t="shared" si="5"/>
        <v>18.938993014656003</v>
      </c>
    </row>
    <row r="72" spans="1:9" ht="15.75" thickBot="1" x14ac:dyDescent="0.3">
      <c r="A72" s="10" t="s">
        <v>298</v>
      </c>
      <c r="B72" s="6">
        <f>References!Z72*4</f>
        <v>9.1199999999999992</v>
      </c>
      <c r="C72" s="6">
        <f>(References!Y72*B72)/3.6</f>
        <v>0.66879999999999995</v>
      </c>
      <c r="D72" s="6">
        <v>34.5</v>
      </c>
      <c r="E72" s="6">
        <v>22.5</v>
      </c>
      <c r="F72" s="6">
        <v>1.8136751999999999E-2</v>
      </c>
      <c r="G72" s="6">
        <v>8.4806099999999995E-3</v>
      </c>
      <c r="H72" s="6">
        <f t="shared" si="4"/>
        <v>9.8875391999999991</v>
      </c>
      <c r="I72" s="15">
        <f t="shared" si="5"/>
        <v>19.374083308799996</v>
      </c>
    </row>
    <row r="73" spans="1:9" ht="15.75" thickBot="1" x14ac:dyDescent="0.3">
      <c r="A73" s="19" t="s">
        <v>299</v>
      </c>
      <c r="B73" s="21">
        <f>References!Z73*4</f>
        <v>726.79679999999996</v>
      </c>
      <c r="C73" s="21">
        <f>(References!Y73*B73)/3.6</f>
        <v>51.178607999999997</v>
      </c>
      <c r="D73" s="21">
        <v>34.5</v>
      </c>
      <c r="E73" s="21">
        <v>24</v>
      </c>
      <c r="F73" s="21">
        <v>1.8136751999999999E-2</v>
      </c>
      <c r="G73" s="21">
        <v>9.2932350000000004E-3</v>
      </c>
      <c r="H73" s="21">
        <f t="shared" si="4"/>
        <v>662.04647308799997</v>
      </c>
      <c r="I73" s="22">
        <f t="shared" si="5"/>
        <v>1357.7966696530077</v>
      </c>
    </row>
    <row r="74" spans="1:9" ht="15.75" thickBot="1" x14ac:dyDescent="0.3">
      <c r="F74" s="96" t="s">
        <v>336</v>
      </c>
      <c r="G74" s="96"/>
      <c r="H74" s="44">
        <f>SUM(H4:H73)</f>
        <v>8169.4957428528915</v>
      </c>
      <c r="I74" s="44">
        <f>SUM(I4:I73)</f>
        <v>16087.922931357525</v>
      </c>
    </row>
    <row r="75" spans="1:9" ht="15.75" thickBot="1" x14ac:dyDescent="0.3">
      <c r="F75" s="96" t="s">
        <v>162</v>
      </c>
      <c r="G75" s="96"/>
      <c r="H75" s="53">
        <f>H74+I74</f>
        <v>24257.418674210418</v>
      </c>
      <c r="I75" s="53"/>
    </row>
    <row r="77" spans="1:9" ht="23.25" x14ac:dyDescent="0.35">
      <c r="A77" s="100" t="s">
        <v>42</v>
      </c>
      <c r="B77" s="100"/>
      <c r="C77" s="100"/>
      <c r="D77" s="100"/>
      <c r="E77" s="100"/>
      <c r="F77" s="100"/>
      <c r="G77" s="100"/>
      <c r="H77" s="100"/>
      <c r="I77" s="100"/>
    </row>
    <row r="78" spans="1:9" ht="15.75" thickBot="1" x14ac:dyDescent="0.3">
      <c r="A78" s="41" t="s">
        <v>20</v>
      </c>
      <c r="B78" s="42" t="s">
        <v>169</v>
      </c>
      <c r="C78" s="42" t="s">
        <v>21</v>
      </c>
      <c r="D78" s="42" t="s">
        <v>13</v>
      </c>
      <c r="E78" s="42" t="s">
        <v>7</v>
      </c>
      <c r="F78" s="42" t="s">
        <v>22</v>
      </c>
      <c r="G78" s="42" t="s">
        <v>23</v>
      </c>
      <c r="H78" s="42" t="s">
        <v>24</v>
      </c>
      <c r="I78" s="43" t="s">
        <v>25</v>
      </c>
    </row>
    <row r="79" spans="1:9" ht="15.75" thickBot="1" x14ac:dyDescent="0.3">
      <c r="A79" s="8" t="s">
        <v>124</v>
      </c>
      <c r="B79" s="6">
        <f>References!AB4*4</f>
        <v>137.10759999999999</v>
      </c>
      <c r="C79" s="6">
        <f>((0.15+0.01*3+0.007*(D79-E79))*B79)/3.6</f>
        <v>10.054557333333333</v>
      </c>
      <c r="D79" s="6">
        <v>34.5</v>
      </c>
      <c r="E79" s="6">
        <v>22.5</v>
      </c>
      <c r="F79" s="6">
        <v>1.813675E-2</v>
      </c>
      <c r="G79" s="6">
        <f>_xlfn.IFS(E79=22.5,0.00848061,E79=22,0.00821976,E79=24,0.00929323)</f>
        <v>8.4806099999999995E-3</v>
      </c>
      <c r="H79" s="6">
        <f>1.23*C79*(D79-E79)</f>
        <v>148.40526624</v>
      </c>
      <c r="I79" s="15">
        <f>3000*C79*(F79-G79)</f>
        <v>291.26463974607998</v>
      </c>
    </row>
    <row r="80" spans="1:9" ht="15.75" thickBot="1" x14ac:dyDescent="0.3">
      <c r="A80" s="8" t="s">
        <v>207</v>
      </c>
      <c r="B80" s="6">
        <f>References!AB5*4</f>
        <v>10.47</v>
      </c>
      <c r="C80" s="6">
        <f t="shared" ref="C80:C113" si="6">((0.15+0.01*3+0.007*(D80-E80))*B80)/3.6</f>
        <v>0.73726250000000004</v>
      </c>
      <c r="D80" s="6">
        <v>34.5</v>
      </c>
      <c r="E80" s="6">
        <v>24</v>
      </c>
      <c r="F80" s="6">
        <v>1.813675E-2</v>
      </c>
      <c r="G80" s="6">
        <f t="shared" ref="G80:G143" si="7">_xlfn.IFS(E80=22.5,0.00848061,E80=22,0.00821976,E80=24,0.00929323)</f>
        <v>9.2932299999999995E-3</v>
      </c>
      <c r="H80" s="6">
        <f t="shared" ref="H80:H143" si="8">1.23*C80*(D80-E80)</f>
        <v>9.5217451875000005</v>
      </c>
      <c r="I80" s="15">
        <f t="shared" ref="I80:I143" si="9">3000*C80*(F80-G80)</f>
        <v>19.559986991999999</v>
      </c>
    </row>
    <row r="81" spans="1:9" ht="15.75" thickBot="1" x14ac:dyDescent="0.3">
      <c r="A81" s="8" t="s">
        <v>170</v>
      </c>
      <c r="B81" s="6">
        <f>References!AB6*4</f>
        <v>137.04</v>
      </c>
      <c r="C81" s="6">
        <f t="shared" si="6"/>
        <v>10.0496</v>
      </c>
      <c r="D81" s="6">
        <v>34.5</v>
      </c>
      <c r="E81" s="6">
        <v>22.5</v>
      </c>
      <c r="F81" s="6">
        <v>1.813675E-2</v>
      </c>
      <c r="G81" s="6">
        <f t="shared" si="7"/>
        <v>8.4806099999999995E-3</v>
      </c>
      <c r="H81" s="6">
        <f t="shared" si="8"/>
        <v>148.33209600000001</v>
      </c>
      <c r="I81" s="15">
        <f t="shared" si="9"/>
        <v>291.12103363200004</v>
      </c>
    </row>
    <row r="82" spans="1:9" ht="15.75" thickBot="1" x14ac:dyDescent="0.3">
      <c r="A82" s="8" t="s">
        <v>206</v>
      </c>
      <c r="B82" s="6">
        <f>References!AB7*4</f>
        <v>10.47</v>
      </c>
      <c r="C82" s="6">
        <f t="shared" si="6"/>
        <v>0.73726250000000004</v>
      </c>
      <c r="D82" s="6">
        <v>34.5</v>
      </c>
      <c r="E82" s="6">
        <v>24</v>
      </c>
      <c r="F82" s="6">
        <v>1.813675E-2</v>
      </c>
      <c r="G82" s="6">
        <f t="shared" si="7"/>
        <v>9.2932299999999995E-3</v>
      </c>
      <c r="H82" s="6">
        <f t="shared" si="8"/>
        <v>9.5217451875000005</v>
      </c>
      <c r="I82" s="15">
        <f t="shared" si="9"/>
        <v>19.559986991999999</v>
      </c>
    </row>
    <row r="83" spans="1:9" ht="15.75" thickBot="1" x14ac:dyDescent="0.3">
      <c r="A83" s="8" t="s">
        <v>231</v>
      </c>
      <c r="B83" s="6">
        <f>References!AB8*4</f>
        <v>881.32960000000003</v>
      </c>
      <c r="C83" s="6">
        <f t="shared" si="6"/>
        <v>64.630837333333332</v>
      </c>
      <c r="D83" s="6">
        <v>34.5</v>
      </c>
      <c r="E83" s="6">
        <v>22.5</v>
      </c>
      <c r="F83" s="6">
        <v>1.813675E-2</v>
      </c>
      <c r="G83" s="6">
        <f t="shared" si="7"/>
        <v>8.4806099999999995E-3</v>
      </c>
      <c r="H83" s="6">
        <f t="shared" si="8"/>
        <v>953.95115903999999</v>
      </c>
      <c r="I83" s="15">
        <f t="shared" si="9"/>
        <v>1872.25324082368</v>
      </c>
    </row>
    <row r="84" spans="1:9" ht="15.75" thickBot="1" x14ac:dyDescent="0.3">
      <c r="A84" s="8" t="s">
        <v>232</v>
      </c>
      <c r="B84" s="6">
        <f>References!AB9*4</f>
        <v>573.16452000000004</v>
      </c>
      <c r="C84" s="6">
        <f t="shared" si="6"/>
        <v>42.032064800000001</v>
      </c>
      <c r="D84" s="6">
        <v>34.5</v>
      </c>
      <c r="E84" s="6">
        <v>22.5</v>
      </c>
      <c r="F84" s="6">
        <v>1.813675E-2</v>
      </c>
      <c r="G84" s="6">
        <f t="shared" si="7"/>
        <v>8.4806099999999995E-3</v>
      </c>
      <c r="H84" s="6">
        <f t="shared" si="8"/>
        <v>620.39327644800005</v>
      </c>
      <c r="I84" s="15">
        <f t="shared" si="9"/>
        <v>1217.6025065936162</v>
      </c>
    </row>
    <row r="85" spans="1:9" ht="15.75" thickBot="1" x14ac:dyDescent="0.3">
      <c r="A85" s="8" t="s">
        <v>233</v>
      </c>
      <c r="B85" s="6">
        <f>References!AB10*4</f>
        <v>315.02960000000002</v>
      </c>
      <c r="C85" s="6">
        <f t="shared" si="6"/>
        <v>23.10217066666667</v>
      </c>
      <c r="D85" s="6">
        <v>34.5</v>
      </c>
      <c r="E85" s="6">
        <v>22.5</v>
      </c>
      <c r="F85" s="6">
        <v>1.813675E-2</v>
      </c>
      <c r="G85" s="6">
        <f t="shared" si="7"/>
        <v>8.4806099999999995E-3</v>
      </c>
      <c r="H85" s="6">
        <f t="shared" si="8"/>
        <v>340.98803904000005</v>
      </c>
      <c r="I85" s="15">
        <f t="shared" si="9"/>
        <v>669.2333827836801</v>
      </c>
    </row>
    <row r="86" spans="1:9" ht="15.75" thickBot="1" x14ac:dyDescent="0.3">
      <c r="A86" s="48" t="s">
        <v>234</v>
      </c>
      <c r="B86" s="6">
        <f>References!AB11*4</f>
        <v>398.61880000000002</v>
      </c>
      <c r="C86" s="6">
        <f t="shared" si="6"/>
        <v>29.232045333333335</v>
      </c>
      <c r="D86" s="6">
        <v>34.5</v>
      </c>
      <c r="E86" s="6">
        <v>22.5</v>
      </c>
      <c r="F86" s="6">
        <v>1.813675E-2</v>
      </c>
      <c r="G86" s="6">
        <f t="shared" si="7"/>
        <v>8.4806099999999995E-3</v>
      </c>
      <c r="H86" s="6">
        <f t="shared" si="8"/>
        <v>431.46498912000004</v>
      </c>
      <c r="I86" s="15">
        <f t="shared" si="9"/>
        <v>846.80616667504023</v>
      </c>
    </row>
    <row r="87" spans="1:9" ht="15.75" thickBot="1" x14ac:dyDescent="0.3">
      <c r="A87" s="48" t="s">
        <v>235</v>
      </c>
      <c r="B87" s="6">
        <f>References!AB12*4</f>
        <v>571.5204</v>
      </c>
      <c r="C87" s="6">
        <f t="shared" si="6"/>
        <v>41.911496000000007</v>
      </c>
      <c r="D87" s="6">
        <v>34.5</v>
      </c>
      <c r="E87" s="6">
        <v>22.5</v>
      </c>
      <c r="F87" s="6">
        <v>1.813675E-2</v>
      </c>
      <c r="G87" s="6">
        <f t="shared" si="7"/>
        <v>8.4806099999999995E-3</v>
      </c>
      <c r="H87" s="6">
        <f t="shared" si="8"/>
        <v>618.61368096000012</v>
      </c>
      <c r="I87" s="15">
        <f t="shared" si="9"/>
        <v>1214.1098189563204</v>
      </c>
    </row>
    <row r="88" spans="1:9" ht="15.75" thickBot="1" x14ac:dyDescent="0.3">
      <c r="A88" s="8" t="s">
        <v>125</v>
      </c>
      <c r="B88" s="6">
        <f>References!AB13*4</f>
        <v>137.16</v>
      </c>
      <c r="C88" s="6">
        <f t="shared" si="6"/>
        <v>10.058399999999999</v>
      </c>
      <c r="D88" s="6">
        <v>34.5</v>
      </c>
      <c r="E88" s="6">
        <v>22.5</v>
      </c>
      <c r="F88" s="6">
        <v>1.813675E-2</v>
      </c>
      <c r="G88" s="6">
        <f t="shared" si="7"/>
        <v>8.4806099999999995E-3</v>
      </c>
      <c r="H88" s="6">
        <f t="shared" si="8"/>
        <v>148.46198399999997</v>
      </c>
      <c r="I88" s="15">
        <f t="shared" si="9"/>
        <v>291.37595572800001</v>
      </c>
    </row>
    <row r="89" spans="1:9" ht="15.75" thickBot="1" x14ac:dyDescent="0.3">
      <c r="A89" s="8" t="s">
        <v>208</v>
      </c>
      <c r="B89" s="6">
        <f>References!AB14*4</f>
        <v>10.47</v>
      </c>
      <c r="C89" s="6">
        <f t="shared" si="6"/>
        <v>0.73726250000000004</v>
      </c>
      <c r="D89" s="6">
        <v>34.5</v>
      </c>
      <c r="E89" s="6">
        <v>24</v>
      </c>
      <c r="F89" s="6">
        <v>1.813675E-2</v>
      </c>
      <c r="G89" s="6">
        <f t="shared" si="7"/>
        <v>9.2932299999999995E-3</v>
      </c>
      <c r="H89" s="6">
        <f t="shared" si="8"/>
        <v>9.5217451875000005</v>
      </c>
      <c r="I89" s="15">
        <f t="shared" si="9"/>
        <v>19.559986991999999</v>
      </c>
    </row>
    <row r="90" spans="1:9" ht="15.75" thickBot="1" x14ac:dyDescent="0.3">
      <c r="A90" s="8" t="s">
        <v>126</v>
      </c>
      <c r="B90" s="6">
        <f>References!AB15*4</f>
        <v>136.47</v>
      </c>
      <c r="C90" s="6">
        <f t="shared" si="6"/>
        <v>10.007800000000001</v>
      </c>
      <c r="D90" s="6">
        <v>34.5</v>
      </c>
      <c r="E90" s="6">
        <v>22.5</v>
      </c>
      <c r="F90" s="6">
        <v>1.813675E-2</v>
      </c>
      <c r="G90" s="6">
        <f t="shared" si="7"/>
        <v>8.4806099999999995E-3</v>
      </c>
      <c r="H90" s="6">
        <f t="shared" si="8"/>
        <v>147.71512800000002</v>
      </c>
      <c r="I90" s="15">
        <f t="shared" si="9"/>
        <v>289.91015367600005</v>
      </c>
    </row>
    <row r="91" spans="1:9" ht="15.75" thickBot="1" x14ac:dyDescent="0.3">
      <c r="A91" s="8" t="s">
        <v>209</v>
      </c>
      <c r="B91" s="6">
        <f>References!AB16*4</f>
        <v>10.47</v>
      </c>
      <c r="C91" s="6">
        <f t="shared" si="6"/>
        <v>0.73726250000000004</v>
      </c>
      <c r="D91" s="6">
        <v>34.5</v>
      </c>
      <c r="E91" s="6">
        <v>24</v>
      </c>
      <c r="F91" s="6">
        <v>1.813675E-2</v>
      </c>
      <c r="G91" s="6">
        <f t="shared" si="7"/>
        <v>9.2932299999999995E-3</v>
      </c>
      <c r="H91" s="6">
        <f t="shared" si="8"/>
        <v>9.5217451875000005</v>
      </c>
      <c r="I91" s="15">
        <f t="shared" si="9"/>
        <v>19.559986991999999</v>
      </c>
    </row>
    <row r="92" spans="1:9" ht="15.75" thickBot="1" x14ac:dyDescent="0.3">
      <c r="A92" s="8" t="s">
        <v>171</v>
      </c>
      <c r="B92" s="6">
        <f>References!AB17*4</f>
        <v>54.6952</v>
      </c>
      <c r="C92" s="6">
        <f t="shared" si="6"/>
        <v>4.0109813333333335</v>
      </c>
      <c r="D92" s="6">
        <v>34.5</v>
      </c>
      <c r="E92" s="6">
        <v>22.5</v>
      </c>
      <c r="F92" s="6">
        <v>1.813675E-2</v>
      </c>
      <c r="G92" s="6">
        <f t="shared" si="7"/>
        <v>8.4806099999999995E-3</v>
      </c>
      <c r="H92" s="6">
        <f t="shared" si="8"/>
        <v>59.202084480000003</v>
      </c>
      <c r="I92" s="15">
        <f t="shared" si="9"/>
        <v>116.19179187616002</v>
      </c>
    </row>
    <row r="93" spans="1:9" ht="15.75" thickBot="1" x14ac:dyDescent="0.3">
      <c r="A93" s="8" t="s">
        <v>210</v>
      </c>
      <c r="B93" s="6">
        <f>References!AB18*4</f>
        <v>10.4924</v>
      </c>
      <c r="C93" s="6">
        <f t="shared" si="6"/>
        <v>0.73883983333333336</v>
      </c>
      <c r="D93" s="6">
        <v>34.5</v>
      </c>
      <c r="E93" s="6">
        <v>24</v>
      </c>
      <c r="F93" s="6">
        <v>1.813675E-2</v>
      </c>
      <c r="G93" s="6">
        <f t="shared" si="7"/>
        <v>9.2932299999999995E-3</v>
      </c>
      <c r="H93" s="6">
        <f t="shared" si="8"/>
        <v>9.5421164474999998</v>
      </c>
      <c r="I93" s="15">
        <f t="shared" si="9"/>
        <v>19.601834528640001</v>
      </c>
    </row>
    <row r="94" spans="1:9" ht="15.75" thickBot="1" x14ac:dyDescent="0.3">
      <c r="A94" s="8" t="s">
        <v>172</v>
      </c>
      <c r="B94" s="6">
        <f>References!AB19*4</f>
        <v>55.682400000000001</v>
      </c>
      <c r="C94" s="6">
        <f t="shared" si="6"/>
        <v>4.0833760000000003</v>
      </c>
      <c r="D94" s="6">
        <v>34.5</v>
      </c>
      <c r="E94" s="6">
        <v>22.5</v>
      </c>
      <c r="F94" s="6">
        <v>1.813675E-2</v>
      </c>
      <c r="G94" s="6">
        <f t="shared" si="7"/>
        <v>8.4806099999999995E-3</v>
      </c>
      <c r="H94" s="6">
        <f t="shared" si="8"/>
        <v>60.270629760000006</v>
      </c>
      <c r="I94" s="15">
        <f t="shared" si="9"/>
        <v>118.28895098592001</v>
      </c>
    </row>
    <row r="95" spans="1:9" ht="15.75" thickBot="1" x14ac:dyDescent="0.3">
      <c r="A95" s="8" t="s">
        <v>211</v>
      </c>
      <c r="B95" s="6">
        <f>References!AB20*4</f>
        <v>10.462</v>
      </c>
      <c r="C95" s="6">
        <f t="shared" si="6"/>
        <v>0.73669916666666668</v>
      </c>
      <c r="D95" s="6">
        <v>34.5</v>
      </c>
      <c r="E95" s="6">
        <v>24</v>
      </c>
      <c r="F95" s="6">
        <v>1.813675E-2</v>
      </c>
      <c r="G95" s="6">
        <f t="shared" si="7"/>
        <v>9.2932299999999995E-3</v>
      </c>
      <c r="H95" s="6">
        <f t="shared" si="8"/>
        <v>9.5144697375000007</v>
      </c>
      <c r="I95" s="15">
        <f t="shared" si="9"/>
        <v>19.545041443199999</v>
      </c>
    </row>
    <row r="96" spans="1:9" ht="15.75" thickBot="1" x14ac:dyDescent="0.3">
      <c r="A96" s="8" t="s">
        <v>173</v>
      </c>
      <c r="B96" s="6">
        <f>References!AB21*4</f>
        <v>55.501600000000003</v>
      </c>
      <c r="C96" s="6">
        <f t="shared" si="6"/>
        <v>4.0701173333333331</v>
      </c>
      <c r="D96" s="6">
        <v>34.5</v>
      </c>
      <c r="E96" s="6">
        <v>22.5</v>
      </c>
      <c r="F96" s="6">
        <v>1.813675E-2</v>
      </c>
      <c r="G96" s="6">
        <f t="shared" si="7"/>
        <v>8.4806099999999995E-3</v>
      </c>
      <c r="H96" s="6">
        <f t="shared" si="8"/>
        <v>60.074931839999991</v>
      </c>
      <c r="I96" s="15">
        <f t="shared" si="9"/>
        <v>117.90486836127999</v>
      </c>
    </row>
    <row r="97" spans="1:9" ht="15.75" thickBot="1" x14ac:dyDescent="0.3">
      <c r="A97" s="8" t="s">
        <v>212</v>
      </c>
      <c r="B97" s="6">
        <f>References!AB22*4</f>
        <v>10.4788</v>
      </c>
      <c r="C97" s="6">
        <f t="shared" si="6"/>
        <v>0.73788216666666662</v>
      </c>
      <c r="D97" s="6">
        <v>34.5</v>
      </c>
      <c r="E97" s="6">
        <v>24</v>
      </c>
      <c r="F97" s="6">
        <v>1.813675E-2</v>
      </c>
      <c r="G97" s="6">
        <f t="shared" si="7"/>
        <v>9.2932299999999995E-3</v>
      </c>
      <c r="H97" s="6">
        <f t="shared" si="8"/>
        <v>9.5297481825000006</v>
      </c>
      <c r="I97" s="15">
        <f t="shared" si="9"/>
        <v>19.57642709568</v>
      </c>
    </row>
    <row r="98" spans="1:9" ht="15.75" thickBot="1" x14ac:dyDescent="0.3">
      <c r="A98" s="8" t="s">
        <v>174</v>
      </c>
      <c r="B98" s="6">
        <f>References!AB23*4</f>
        <v>122.848</v>
      </c>
      <c r="C98" s="6">
        <f>((0.15+0.01*3+0.007*(D98-E98))*B98)/3.6</f>
        <v>9.0088533333333327</v>
      </c>
      <c r="D98" s="6">
        <v>34.5</v>
      </c>
      <c r="E98" s="6">
        <v>22.5</v>
      </c>
      <c r="F98" s="6">
        <v>1.813675E-2</v>
      </c>
      <c r="G98" s="6">
        <f t="shared" si="7"/>
        <v>8.4806099999999995E-3</v>
      </c>
      <c r="H98" s="6">
        <f t="shared" si="8"/>
        <v>132.97067519999999</v>
      </c>
      <c r="I98" s="15">
        <f t="shared" si="9"/>
        <v>260.97224707840002</v>
      </c>
    </row>
    <row r="99" spans="1:9" ht="15.75" thickBot="1" x14ac:dyDescent="0.3">
      <c r="A99" s="8" t="s">
        <v>213</v>
      </c>
      <c r="B99" s="6">
        <f>References!AB24*4</f>
        <v>10.5496</v>
      </c>
      <c r="C99" s="6">
        <f t="shared" si="6"/>
        <v>0.7428676666666667</v>
      </c>
      <c r="D99" s="6">
        <v>34.5</v>
      </c>
      <c r="E99" s="6">
        <v>24</v>
      </c>
      <c r="F99" s="6">
        <v>1.813675E-2</v>
      </c>
      <c r="G99" s="6">
        <f t="shared" si="7"/>
        <v>9.2932299999999995E-3</v>
      </c>
      <c r="H99" s="6">
        <f t="shared" si="8"/>
        <v>9.5941359150000007</v>
      </c>
      <c r="I99" s="15">
        <f t="shared" si="9"/>
        <v>19.708695202560001</v>
      </c>
    </row>
    <row r="100" spans="1:9" ht="15.75" thickBot="1" x14ac:dyDescent="0.3">
      <c r="A100" s="8" t="s">
        <v>175</v>
      </c>
      <c r="B100" s="6">
        <f>References!AB25*4</f>
        <v>71.765199999999993</v>
      </c>
      <c r="C100" s="6">
        <f t="shared" si="6"/>
        <v>5.2627813333333329</v>
      </c>
      <c r="D100" s="6">
        <v>34.5</v>
      </c>
      <c r="E100" s="6">
        <v>22.5</v>
      </c>
      <c r="F100" s="6">
        <v>1.813675E-2</v>
      </c>
      <c r="G100" s="6">
        <f t="shared" si="7"/>
        <v>8.4806099999999995E-3</v>
      </c>
      <c r="H100" s="6">
        <f t="shared" si="8"/>
        <v>77.678652479999997</v>
      </c>
      <c r="I100" s="15">
        <f t="shared" si="9"/>
        <v>152.45446003216</v>
      </c>
    </row>
    <row r="101" spans="1:9" ht="15.75" thickBot="1" x14ac:dyDescent="0.3">
      <c r="A101" s="8" t="s">
        <v>176</v>
      </c>
      <c r="B101" s="6">
        <f>References!AB26*4</f>
        <v>91.316000000000003</v>
      </c>
      <c r="C101" s="6">
        <f t="shared" si="6"/>
        <v>6.6965066666666671</v>
      </c>
      <c r="D101" s="6">
        <v>34.5</v>
      </c>
      <c r="E101" s="6">
        <v>22.5</v>
      </c>
      <c r="F101" s="6">
        <v>1.813675E-2</v>
      </c>
      <c r="G101" s="6">
        <f t="shared" si="7"/>
        <v>8.4806099999999995E-3</v>
      </c>
      <c r="H101" s="6">
        <f>1.23*C101*(D101-E101)</f>
        <v>98.840438400000011</v>
      </c>
      <c r="I101" s="15">
        <f t="shared" si="9"/>
        <v>193.98721765280001</v>
      </c>
    </row>
    <row r="102" spans="1:9" ht="15.75" thickBot="1" x14ac:dyDescent="0.3">
      <c r="A102" s="8" t="s">
        <v>205</v>
      </c>
      <c r="B102" s="6">
        <f>References!AB27*4</f>
        <v>9.6484000000000005</v>
      </c>
      <c r="C102" s="6">
        <f t="shared" si="6"/>
        <v>0.6794081666666667</v>
      </c>
      <c r="D102" s="6">
        <v>34.5</v>
      </c>
      <c r="E102" s="6">
        <v>24</v>
      </c>
      <c r="F102" s="6">
        <v>1.813675E-2</v>
      </c>
      <c r="G102" s="6">
        <f t="shared" si="7"/>
        <v>9.2932299999999995E-3</v>
      </c>
      <c r="H102" s="6">
        <f t="shared" si="8"/>
        <v>8.7745564725000005</v>
      </c>
      <c r="I102" s="15">
        <f t="shared" si="9"/>
        <v>18.025079130240002</v>
      </c>
    </row>
    <row r="103" spans="1:9" ht="15.75" thickBot="1" x14ac:dyDescent="0.3">
      <c r="A103" s="8" t="s">
        <v>177</v>
      </c>
      <c r="B103" s="6">
        <f>References!AB28*4</f>
        <v>19.147600000000001</v>
      </c>
      <c r="C103" s="6">
        <f t="shared" si="6"/>
        <v>1.3483101666666666</v>
      </c>
      <c r="D103" s="6">
        <v>34.5</v>
      </c>
      <c r="E103" s="6">
        <v>24</v>
      </c>
      <c r="F103" s="6">
        <v>1.813675E-2</v>
      </c>
      <c r="G103" s="6">
        <f t="shared" si="7"/>
        <v>9.2932299999999995E-3</v>
      </c>
      <c r="H103" s="6">
        <f t="shared" si="8"/>
        <v>17.413425802500001</v>
      </c>
      <c r="I103" s="15">
        <f t="shared" si="9"/>
        <v>35.771423775359999</v>
      </c>
    </row>
    <row r="104" spans="1:9" ht="15.75" thickBot="1" x14ac:dyDescent="0.3">
      <c r="A104" s="8" t="s">
        <v>178</v>
      </c>
      <c r="B104" s="6">
        <f>References!AB29*4</f>
        <v>9.8323999999999998</v>
      </c>
      <c r="C104" s="6">
        <f t="shared" si="6"/>
        <v>0.69236483333333332</v>
      </c>
      <c r="D104" s="6">
        <v>34.5</v>
      </c>
      <c r="E104" s="6">
        <v>24</v>
      </c>
      <c r="F104" s="6">
        <v>1.813675E-2</v>
      </c>
      <c r="G104" s="6">
        <f t="shared" si="7"/>
        <v>9.2932299999999995E-3</v>
      </c>
      <c r="H104" s="6">
        <f t="shared" si="8"/>
        <v>8.9418918224999988</v>
      </c>
      <c r="I104" s="15">
        <f t="shared" si="9"/>
        <v>18.368826752640004</v>
      </c>
    </row>
    <row r="105" spans="1:9" ht="15.75" thickBot="1" x14ac:dyDescent="0.3">
      <c r="A105" s="8" t="s">
        <v>179</v>
      </c>
      <c r="B105" s="6">
        <f>References!AB30*4</f>
        <v>55.494</v>
      </c>
      <c r="C105" s="6">
        <f t="shared" si="6"/>
        <v>4.0695600000000001</v>
      </c>
      <c r="D105" s="6">
        <v>34.5</v>
      </c>
      <c r="E105" s="6">
        <v>22.5</v>
      </c>
      <c r="F105" s="6">
        <v>1.813675E-2</v>
      </c>
      <c r="G105" s="6">
        <f t="shared" si="7"/>
        <v>8.4806099999999995E-3</v>
      </c>
      <c r="H105" s="6">
        <f t="shared" si="8"/>
        <v>60.066705600000006</v>
      </c>
      <c r="I105" s="15">
        <f t="shared" si="9"/>
        <v>117.88872329520001</v>
      </c>
    </row>
    <row r="106" spans="1:9" ht="15.75" thickBot="1" x14ac:dyDescent="0.3">
      <c r="A106" s="8" t="s">
        <v>214</v>
      </c>
      <c r="B106" s="6">
        <f>References!AB31*4</f>
        <v>10.47</v>
      </c>
      <c r="C106" s="6">
        <f t="shared" si="6"/>
        <v>0.73726250000000004</v>
      </c>
      <c r="D106" s="6">
        <v>34.5</v>
      </c>
      <c r="E106" s="6">
        <v>24</v>
      </c>
      <c r="F106" s="6">
        <v>1.813675E-2</v>
      </c>
      <c r="G106" s="6">
        <f t="shared" si="7"/>
        <v>9.2932299999999995E-3</v>
      </c>
      <c r="H106" s="6">
        <f t="shared" si="8"/>
        <v>9.5217451875000005</v>
      </c>
      <c r="I106" s="15">
        <f t="shared" si="9"/>
        <v>19.559986991999999</v>
      </c>
    </row>
    <row r="107" spans="1:9" ht="15.75" thickBot="1" x14ac:dyDescent="0.3">
      <c r="A107" s="8" t="s">
        <v>180</v>
      </c>
      <c r="B107" s="6">
        <f>References!AB32*4</f>
        <v>55.571199999999997</v>
      </c>
      <c r="C107" s="6">
        <f t="shared" si="6"/>
        <v>4.0752213333333334</v>
      </c>
      <c r="D107" s="6">
        <v>34.5</v>
      </c>
      <c r="E107" s="6">
        <v>22.5</v>
      </c>
      <c r="F107" s="6">
        <v>1.813675E-2</v>
      </c>
      <c r="G107" s="6">
        <f t="shared" si="7"/>
        <v>8.4806099999999995E-3</v>
      </c>
      <c r="H107" s="6">
        <f t="shared" si="8"/>
        <v>60.150266880000004</v>
      </c>
      <c r="I107" s="15">
        <f t="shared" si="9"/>
        <v>118.05272317696001</v>
      </c>
    </row>
    <row r="108" spans="1:9" ht="15.75" thickBot="1" x14ac:dyDescent="0.3">
      <c r="A108" s="8" t="s">
        <v>215</v>
      </c>
      <c r="B108" s="6">
        <f>References!AB33*4</f>
        <v>10.47</v>
      </c>
      <c r="C108" s="6">
        <f t="shared" si="6"/>
        <v>0.73726250000000004</v>
      </c>
      <c r="D108" s="6">
        <v>34.5</v>
      </c>
      <c r="E108" s="6">
        <v>24</v>
      </c>
      <c r="F108" s="6">
        <v>1.813675E-2</v>
      </c>
      <c r="G108" s="6">
        <f t="shared" si="7"/>
        <v>9.2932299999999995E-3</v>
      </c>
      <c r="H108" s="6">
        <f t="shared" si="8"/>
        <v>9.5217451875000005</v>
      </c>
      <c r="I108" s="15">
        <f t="shared" si="9"/>
        <v>19.559986991999999</v>
      </c>
    </row>
    <row r="109" spans="1:9" ht="15.75" thickBot="1" x14ac:dyDescent="0.3">
      <c r="A109" s="8" t="s">
        <v>181</v>
      </c>
      <c r="B109" s="6">
        <f>References!AB34*4</f>
        <v>54.8264</v>
      </c>
      <c r="C109" s="6">
        <f t="shared" si="6"/>
        <v>4.0206026666666661</v>
      </c>
      <c r="D109" s="6">
        <v>34.5</v>
      </c>
      <c r="E109" s="6">
        <v>22.5</v>
      </c>
      <c r="F109" s="6">
        <v>1.813675E-2</v>
      </c>
      <c r="G109" s="6">
        <f t="shared" si="7"/>
        <v>8.4806099999999995E-3</v>
      </c>
      <c r="H109" s="6">
        <f t="shared" si="8"/>
        <v>59.34409535999999</v>
      </c>
      <c r="I109" s="15">
        <f t="shared" si="9"/>
        <v>116.47050670112</v>
      </c>
    </row>
    <row r="110" spans="1:9" ht="15.75" thickBot="1" x14ac:dyDescent="0.3">
      <c r="A110" s="8" t="s">
        <v>216</v>
      </c>
      <c r="B110" s="6">
        <f>References!AB35*4</f>
        <v>10.485200000000001</v>
      </c>
      <c r="C110" s="6">
        <f t="shared" si="6"/>
        <v>0.73833283333333333</v>
      </c>
      <c r="D110" s="6">
        <v>34.5</v>
      </c>
      <c r="E110" s="6">
        <v>24</v>
      </c>
      <c r="F110" s="6">
        <v>1.813675E-2</v>
      </c>
      <c r="G110" s="6">
        <f t="shared" si="7"/>
        <v>9.2932299999999995E-3</v>
      </c>
      <c r="H110" s="6">
        <f t="shared" si="8"/>
        <v>9.5355685425000001</v>
      </c>
      <c r="I110" s="15">
        <f t="shared" si="9"/>
        <v>19.588383534720002</v>
      </c>
    </row>
    <row r="111" spans="1:9" ht="15.75" thickBot="1" x14ac:dyDescent="0.3">
      <c r="A111" s="8" t="s">
        <v>182</v>
      </c>
      <c r="B111" s="6">
        <f>References!AB36*4</f>
        <v>44.208799999999997</v>
      </c>
      <c r="C111" s="6">
        <f t="shared" si="6"/>
        <v>3.2419786666666668</v>
      </c>
      <c r="D111" s="6">
        <v>34.5</v>
      </c>
      <c r="E111" s="6">
        <v>22.5</v>
      </c>
      <c r="F111" s="6">
        <v>1.813675E-2</v>
      </c>
      <c r="G111" s="6">
        <f t="shared" si="7"/>
        <v>8.4806099999999995E-3</v>
      </c>
      <c r="H111" s="6">
        <f t="shared" si="8"/>
        <v>47.851605120000002</v>
      </c>
      <c r="I111" s="15">
        <f t="shared" si="9"/>
        <v>93.914999647040005</v>
      </c>
    </row>
    <row r="112" spans="1:9" ht="15.75" thickBot="1" x14ac:dyDescent="0.3">
      <c r="A112" s="8" t="s">
        <v>183</v>
      </c>
      <c r="B112" s="6">
        <f>References!AB37*4</f>
        <v>54.725200000000001</v>
      </c>
      <c r="C112" s="6">
        <f t="shared" si="6"/>
        <v>4.0131813333333337</v>
      </c>
      <c r="D112" s="6">
        <v>34.5</v>
      </c>
      <c r="E112" s="6">
        <v>22.5</v>
      </c>
      <c r="F112" s="6">
        <v>1.813675E-2</v>
      </c>
      <c r="G112" s="6">
        <f t="shared" si="7"/>
        <v>8.4806099999999995E-3</v>
      </c>
      <c r="H112" s="6">
        <f t="shared" si="8"/>
        <v>59.234556480000002</v>
      </c>
      <c r="I112" s="15">
        <f t="shared" si="9"/>
        <v>116.25552240016002</v>
      </c>
    </row>
    <row r="113" spans="1:9" ht="15.75" thickBot="1" x14ac:dyDescent="0.3">
      <c r="A113" s="8" t="s">
        <v>217</v>
      </c>
      <c r="B113" s="6">
        <f>References!AB38*4</f>
        <v>10.56</v>
      </c>
      <c r="C113" s="6">
        <f t="shared" si="6"/>
        <v>0.74360000000000004</v>
      </c>
      <c r="D113" s="6">
        <v>34.5</v>
      </c>
      <c r="E113" s="6">
        <v>24</v>
      </c>
      <c r="F113" s="6">
        <v>1.813675E-2</v>
      </c>
      <c r="G113" s="6">
        <f t="shared" si="7"/>
        <v>9.2932299999999995E-3</v>
      </c>
      <c r="H113" s="6">
        <f t="shared" si="8"/>
        <v>9.6035939999999993</v>
      </c>
      <c r="I113" s="15">
        <f t="shared" si="9"/>
        <v>19.728124416000004</v>
      </c>
    </row>
    <row r="114" spans="1:9" ht="15.75" thickBot="1" x14ac:dyDescent="0.3">
      <c r="A114" s="8" t="s">
        <v>143</v>
      </c>
      <c r="B114" s="6">
        <f>References!AB39*4</f>
        <v>74.927599999999998</v>
      </c>
      <c r="C114" s="6">
        <f t="shared" ref="C114:C142" si="10">((0.15+0.01*3+0.007*(D114-E114))*B114)/3.6</f>
        <v>5.4946906666666662</v>
      </c>
      <c r="D114" s="6">
        <v>34.5</v>
      </c>
      <c r="E114" s="6">
        <v>22.5</v>
      </c>
      <c r="F114" s="6">
        <v>1.813675E-2</v>
      </c>
      <c r="G114" s="6">
        <f t="shared" si="7"/>
        <v>8.4806099999999995E-3</v>
      </c>
      <c r="H114" s="6">
        <f t="shared" si="8"/>
        <v>81.101634239999996</v>
      </c>
      <c r="I114" s="15">
        <f t="shared" si="9"/>
        <v>159.17250700208001</v>
      </c>
    </row>
    <row r="115" spans="1:9" ht="15.75" thickBot="1" x14ac:dyDescent="0.3">
      <c r="A115" s="8" t="s">
        <v>218</v>
      </c>
      <c r="B115" s="6">
        <f>References!AB40*4</f>
        <v>27.718399999999999</v>
      </c>
      <c r="C115" s="6">
        <f t="shared" si="10"/>
        <v>1.9518373333333332</v>
      </c>
      <c r="D115" s="6">
        <v>34.5</v>
      </c>
      <c r="E115" s="6">
        <v>24</v>
      </c>
      <c r="F115" s="6">
        <v>1.813675E-2</v>
      </c>
      <c r="G115" s="6">
        <f t="shared" si="7"/>
        <v>9.2932299999999995E-3</v>
      </c>
      <c r="H115" s="6">
        <f t="shared" si="8"/>
        <v>25.207979159999997</v>
      </c>
      <c r="I115" s="15">
        <f t="shared" si="9"/>
        <v>51.78333748224</v>
      </c>
    </row>
    <row r="116" spans="1:9" ht="15.75" thickBot="1" x14ac:dyDescent="0.3">
      <c r="A116" s="8" t="s">
        <v>184</v>
      </c>
      <c r="B116" s="6">
        <f>References!AB41*4</f>
        <v>101.488</v>
      </c>
      <c r="C116" s="6">
        <f t="shared" si="10"/>
        <v>7.4424533333333329</v>
      </c>
      <c r="D116" s="6">
        <v>34.5</v>
      </c>
      <c r="E116" s="6">
        <v>22.5</v>
      </c>
      <c r="F116" s="6">
        <v>1.813675E-2</v>
      </c>
      <c r="G116" s="6">
        <f t="shared" si="7"/>
        <v>8.4806099999999995E-3</v>
      </c>
      <c r="H116" s="6">
        <f t="shared" si="8"/>
        <v>109.85061119999999</v>
      </c>
      <c r="I116" s="15">
        <f t="shared" si="9"/>
        <v>215.59611399040003</v>
      </c>
    </row>
    <row r="117" spans="1:9" ht="15.75" thickBot="1" x14ac:dyDescent="0.3">
      <c r="A117" s="8" t="s">
        <v>219</v>
      </c>
      <c r="B117" s="6">
        <f>References!AB42*4</f>
        <v>10.434799999999999</v>
      </c>
      <c r="C117" s="6">
        <f t="shared" si="10"/>
        <v>0.7347838333333333</v>
      </c>
      <c r="D117" s="6">
        <v>34.5</v>
      </c>
      <c r="E117" s="6">
        <v>24</v>
      </c>
      <c r="F117" s="6">
        <v>1.813675E-2</v>
      </c>
      <c r="G117" s="6">
        <f t="shared" si="7"/>
        <v>9.2932299999999995E-3</v>
      </c>
      <c r="H117" s="6">
        <f t="shared" si="8"/>
        <v>9.4897332075000005</v>
      </c>
      <c r="I117" s="15">
        <f t="shared" si="9"/>
        <v>19.494226577279999</v>
      </c>
    </row>
    <row r="118" spans="1:9" ht="15.75" thickBot="1" x14ac:dyDescent="0.3">
      <c r="A118" s="8" t="s">
        <v>185</v>
      </c>
      <c r="B118" s="6">
        <f>References!AB43*4</f>
        <v>26.4604</v>
      </c>
      <c r="C118" s="6">
        <f t="shared" si="10"/>
        <v>1.9404293333333333</v>
      </c>
      <c r="D118" s="6">
        <v>34.5</v>
      </c>
      <c r="E118" s="6">
        <v>22.5</v>
      </c>
      <c r="F118" s="6">
        <v>1.813675E-2</v>
      </c>
      <c r="G118" s="6">
        <f t="shared" si="7"/>
        <v>8.4806099999999995E-3</v>
      </c>
      <c r="H118" s="6">
        <f t="shared" si="8"/>
        <v>28.640736960000002</v>
      </c>
      <c r="I118" s="15">
        <f t="shared" si="9"/>
        <v>56.211171908320004</v>
      </c>
    </row>
    <row r="119" spans="1:9" ht="15.75" thickBot="1" x14ac:dyDescent="0.3">
      <c r="A119" s="8" t="s">
        <v>186</v>
      </c>
      <c r="B119" s="6">
        <f>References!AB44*4</f>
        <v>101.92</v>
      </c>
      <c r="C119" s="6">
        <f t="shared" si="10"/>
        <v>7.4741333333333335</v>
      </c>
      <c r="D119" s="6">
        <v>34.5</v>
      </c>
      <c r="E119" s="6">
        <v>22.5</v>
      </c>
      <c r="F119" s="6">
        <v>1.813675E-2</v>
      </c>
      <c r="G119" s="6">
        <f t="shared" si="7"/>
        <v>8.4806099999999995E-3</v>
      </c>
      <c r="H119" s="6">
        <f t="shared" si="8"/>
        <v>110.318208</v>
      </c>
      <c r="I119" s="15">
        <f t="shared" si="9"/>
        <v>216.51383353600002</v>
      </c>
    </row>
    <row r="120" spans="1:9" ht="15.75" thickBot="1" x14ac:dyDescent="0.3">
      <c r="A120" s="8" t="s">
        <v>220</v>
      </c>
      <c r="B120" s="6">
        <f>References!AB45*4</f>
        <v>10.434799999999999</v>
      </c>
      <c r="C120" s="6">
        <f t="shared" si="10"/>
        <v>0.7347838333333333</v>
      </c>
      <c r="D120" s="6">
        <v>34.5</v>
      </c>
      <c r="E120" s="6">
        <v>24</v>
      </c>
      <c r="F120" s="6">
        <v>1.813675E-2</v>
      </c>
      <c r="G120" s="6">
        <f t="shared" si="7"/>
        <v>9.2932299999999995E-3</v>
      </c>
      <c r="H120" s="6">
        <f>1.23*C120*(D120-E120)</f>
        <v>9.4897332075000005</v>
      </c>
      <c r="I120" s="15">
        <f t="shared" si="9"/>
        <v>19.494226577279999</v>
      </c>
    </row>
    <row r="121" spans="1:9" ht="15.75" thickBot="1" x14ac:dyDescent="0.3">
      <c r="A121" s="8" t="s">
        <v>187</v>
      </c>
      <c r="B121" s="6">
        <f>References!AB46*4</f>
        <v>55.004800000000003</v>
      </c>
      <c r="C121" s="6">
        <f t="shared" si="10"/>
        <v>4.0336853333333336</v>
      </c>
      <c r="D121" s="6">
        <v>34.5</v>
      </c>
      <c r="E121" s="6">
        <v>22.5</v>
      </c>
      <c r="F121" s="6">
        <v>1.813675E-2</v>
      </c>
      <c r="G121" s="6">
        <f t="shared" si="7"/>
        <v>8.4806099999999995E-3</v>
      </c>
      <c r="H121" s="6">
        <f t="shared" si="8"/>
        <v>59.537195519999997</v>
      </c>
      <c r="I121" s="15">
        <f t="shared" si="9"/>
        <v>116.84949088384001</v>
      </c>
    </row>
    <row r="122" spans="1:9" ht="15.75" thickBot="1" x14ac:dyDescent="0.3">
      <c r="A122" s="8" t="s">
        <v>221</v>
      </c>
      <c r="B122" s="6">
        <f>References!AB47*4</f>
        <v>10.56</v>
      </c>
      <c r="C122" s="6">
        <f t="shared" si="10"/>
        <v>0.74360000000000004</v>
      </c>
      <c r="D122" s="6">
        <v>34.5</v>
      </c>
      <c r="E122" s="6">
        <v>24</v>
      </c>
      <c r="F122" s="6">
        <v>1.813675E-2</v>
      </c>
      <c r="G122" s="6">
        <f t="shared" si="7"/>
        <v>9.2932299999999995E-3</v>
      </c>
      <c r="H122" s="6">
        <f t="shared" si="8"/>
        <v>9.6035939999999993</v>
      </c>
      <c r="I122" s="15">
        <f t="shared" si="9"/>
        <v>19.728124416000004</v>
      </c>
    </row>
    <row r="123" spans="1:9" ht="15.75" thickBot="1" x14ac:dyDescent="0.3">
      <c r="A123" s="8" t="s">
        <v>142</v>
      </c>
      <c r="B123" s="6">
        <f>References!AB48*4</f>
        <v>153.81479999999999</v>
      </c>
      <c r="C123" s="6">
        <f t="shared" si="10"/>
        <v>11.279752</v>
      </c>
      <c r="D123" s="6">
        <v>34.5</v>
      </c>
      <c r="E123" s="6">
        <v>22.5</v>
      </c>
      <c r="F123" s="6">
        <v>1.813675E-2</v>
      </c>
      <c r="G123" s="6">
        <f t="shared" si="7"/>
        <v>8.4806099999999995E-3</v>
      </c>
      <c r="H123" s="6">
        <f t="shared" si="8"/>
        <v>166.48913952000001</v>
      </c>
      <c r="I123" s="15">
        <f t="shared" si="9"/>
        <v>326.75659343184003</v>
      </c>
    </row>
    <row r="124" spans="1:9" ht="15.75" thickBot="1" x14ac:dyDescent="0.3">
      <c r="A124" s="8" t="s">
        <v>188</v>
      </c>
      <c r="B124" s="6">
        <f>References!AB49*4</f>
        <v>101.488</v>
      </c>
      <c r="C124" s="6">
        <f t="shared" si="10"/>
        <v>7.4424533333333329</v>
      </c>
      <c r="D124" s="6">
        <v>34.5</v>
      </c>
      <c r="E124" s="6">
        <v>22.5</v>
      </c>
      <c r="F124" s="6">
        <v>1.813675E-2</v>
      </c>
      <c r="G124" s="6">
        <f t="shared" si="7"/>
        <v>8.4806099999999995E-3</v>
      </c>
      <c r="H124" s="6">
        <f t="shared" si="8"/>
        <v>109.85061119999999</v>
      </c>
      <c r="I124" s="15">
        <f t="shared" si="9"/>
        <v>215.59611399040003</v>
      </c>
    </row>
    <row r="125" spans="1:9" ht="15.75" thickBot="1" x14ac:dyDescent="0.3">
      <c r="A125" s="8" t="s">
        <v>222</v>
      </c>
      <c r="B125" s="6">
        <f>References!AB50*4</f>
        <v>10.434799999999999</v>
      </c>
      <c r="C125" s="6">
        <f t="shared" si="10"/>
        <v>0.7347838333333333</v>
      </c>
      <c r="D125" s="6">
        <v>34.5</v>
      </c>
      <c r="E125" s="6">
        <v>24</v>
      </c>
      <c r="F125" s="6">
        <v>1.813675E-2</v>
      </c>
      <c r="G125" s="6">
        <f t="shared" si="7"/>
        <v>9.2932299999999995E-3</v>
      </c>
      <c r="H125" s="6">
        <f t="shared" si="8"/>
        <v>9.4897332075000005</v>
      </c>
      <c r="I125" s="15">
        <f t="shared" si="9"/>
        <v>19.494226577279999</v>
      </c>
    </row>
    <row r="126" spans="1:9" ht="15.75" thickBot="1" x14ac:dyDescent="0.3">
      <c r="A126" s="8" t="s">
        <v>189</v>
      </c>
      <c r="B126" s="6">
        <f>References!AB51*4</f>
        <v>101.92</v>
      </c>
      <c r="C126" s="6">
        <f t="shared" si="10"/>
        <v>7.4741333333333335</v>
      </c>
      <c r="D126" s="6">
        <v>34.5</v>
      </c>
      <c r="E126" s="6">
        <v>22.5</v>
      </c>
      <c r="F126" s="6">
        <v>1.813675E-2</v>
      </c>
      <c r="G126" s="6">
        <f t="shared" si="7"/>
        <v>8.4806099999999995E-3</v>
      </c>
      <c r="H126" s="6">
        <f t="shared" si="8"/>
        <v>110.318208</v>
      </c>
      <c r="I126" s="15">
        <f t="shared" si="9"/>
        <v>216.51383353600002</v>
      </c>
    </row>
    <row r="127" spans="1:9" ht="15.75" thickBot="1" x14ac:dyDescent="0.3">
      <c r="A127" s="8" t="s">
        <v>223</v>
      </c>
      <c r="B127" s="6">
        <f>References!AB52*4</f>
        <v>10.434799999999999</v>
      </c>
      <c r="C127" s="6">
        <f t="shared" si="10"/>
        <v>0.7347838333333333</v>
      </c>
      <c r="D127" s="6">
        <v>34.5</v>
      </c>
      <c r="E127" s="6">
        <v>24</v>
      </c>
      <c r="F127" s="6">
        <v>1.813675E-2</v>
      </c>
      <c r="G127" s="6">
        <f t="shared" si="7"/>
        <v>9.2932299999999995E-3</v>
      </c>
      <c r="H127" s="6">
        <f t="shared" si="8"/>
        <v>9.4897332075000005</v>
      </c>
      <c r="I127" s="15">
        <f t="shared" si="9"/>
        <v>19.494226577279999</v>
      </c>
    </row>
    <row r="128" spans="1:9" ht="15.75" thickBot="1" x14ac:dyDescent="0.3">
      <c r="A128" s="8" t="s">
        <v>190</v>
      </c>
      <c r="B128" s="6">
        <f>References!AB53*4</f>
        <v>55.004800000000003</v>
      </c>
      <c r="C128" s="6">
        <f t="shared" si="10"/>
        <v>4.0336853333333336</v>
      </c>
      <c r="D128" s="6">
        <v>34.5</v>
      </c>
      <c r="E128" s="6">
        <v>22.5</v>
      </c>
      <c r="F128" s="6">
        <v>1.813675E-2</v>
      </c>
      <c r="G128" s="6">
        <f t="shared" si="7"/>
        <v>8.4806099999999995E-3</v>
      </c>
      <c r="H128" s="6">
        <f t="shared" si="8"/>
        <v>59.537195519999997</v>
      </c>
      <c r="I128" s="15">
        <f t="shared" si="9"/>
        <v>116.84949088384001</v>
      </c>
    </row>
    <row r="129" spans="1:9" ht="15.75" thickBot="1" x14ac:dyDescent="0.3">
      <c r="A129" s="8" t="s">
        <v>224</v>
      </c>
      <c r="B129" s="6">
        <f>References!AB54*4</f>
        <v>10.56</v>
      </c>
      <c r="C129" s="6">
        <f t="shared" si="10"/>
        <v>0.74360000000000004</v>
      </c>
      <c r="D129" s="6">
        <v>34.5</v>
      </c>
      <c r="E129" s="6">
        <v>24</v>
      </c>
      <c r="F129" s="6">
        <v>1.813675E-2</v>
      </c>
      <c r="G129" s="6">
        <f t="shared" si="7"/>
        <v>9.2932299999999995E-3</v>
      </c>
      <c r="H129" s="6">
        <f t="shared" si="8"/>
        <v>9.6035939999999993</v>
      </c>
      <c r="I129" s="15">
        <f t="shared" si="9"/>
        <v>19.728124416000004</v>
      </c>
    </row>
    <row r="130" spans="1:9" ht="15.75" thickBot="1" x14ac:dyDescent="0.3">
      <c r="A130" s="8" t="s">
        <v>191</v>
      </c>
      <c r="B130" s="6">
        <f>References!AB55*4</f>
        <v>55.004800000000003</v>
      </c>
      <c r="C130" s="6">
        <f t="shared" si="10"/>
        <v>4.0336853333333336</v>
      </c>
      <c r="D130" s="6">
        <v>34.5</v>
      </c>
      <c r="E130" s="6">
        <v>22.5</v>
      </c>
      <c r="F130" s="6">
        <v>1.813675E-2</v>
      </c>
      <c r="G130" s="6">
        <f t="shared" si="7"/>
        <v>8.4806099999999995E-3</v>
      </c>
      <c r="H130" s="6">
        <f t="shared" si="8"/>
        <v>59.537195519999997</v>
      </c>
      <c r="I130" s="15">
        <f t="shared" si="9"/>
        <v>116.84949088384001</v>
      </c>
    </row>
    <row r="131" spans="1:9" ht="15.75" thickBot="1" x14ac:dyDescent="0.3">
      <c r="A131" s="8" t="s">
        <v>225</v>
      </c>
      <c r="B131" s="6">
        <f>References!AB56*4</f>
        <v>10.56</v>
      </c>
      <c r="C131" s="6">
        <f t="shared" si="10"/>
        <v>0.74360000000000004</v>
      </c>
      <c r="D131" s="6">
        <v>34.5</v>
      </c>
      <c r="E131" s="6">
        <v>24</v>
      </c>
      <c r="F131" s="6">
        <v>1.813675E-2</v>
      </c>
      <c r="G131" s="6">
        <f t="shared" si="7"/>
        <v>9.2932299999999995E-3</v>
      </c>
      <c r="H131" s="6">
        <f t="shared" si="8"/>
        <v>9.6035939999999993</v>
      </c>
      <c r="I131" s="15">
        <f t="shared" si="9"/>
        <v>19.728124416000004</v>
      </c>
    </row>
    <row r="132" spans="1:9" ht="15.75" thickBot="1" x14ac:dyDescent="0.3">
      <c r="A132" s="8" t="s">
        <v>141</v>
      </c>
      <c r="B132" s="6">
        <f>References!AB57*4</f>
        <v>85.446399999999997</v>
      </c>
      <c r="C132" s="6">
        <f t="shared" si="10"/>
        <v>6.2660693333333333</v>
      </c>
      <c r="D132" s="6">
        <v>34.5</v>
      </c>
      <c r="E132" s="6">
        <v>22.5</v>
      </c>
      <c r="F132" s="6">
        <v>1.813675E-2</v>
      </c>
      <c r="G132" s="6">
        <f t="shared" si="7"/>
        <v>8.4806099999999995E-3</v>
      </c>
      <c r="H132" s="6">
        <f t="shared" si="8"/>
        <v>92.487183359999989</v>
      </c>
      <c r="I132" s="15">
        <f t="shared" si="9"/>
        <v>181.51812819712001</v>
      </c>
    </row>
    <row r="133" spans="1:9" ht="15.75" thickBot="1" x14ac:dyDescent="0.3">
      <c r="A133" s="8" t="s">
        <v>226</v>
      </c>
      <c r="B133" s="6">
        <f>References!AB58*4</f>
        <v>6.6584000000000003</v>
      </c>
      <c r="C133" s="6">
        <f t="shared" si="10"/>
        <v>0.46886233333333333</v>
      </c>
      <c r="D133" s="6">
        <v>34.5</v>
      </c>
      <c r="E133" s="6">
        <v>24</v>
      </c>
      <c r="F133" s="6">
        <v>1.813675E-2</v>
      </c>
      <c r="G133" s="6">
        <f t="shared" si="7"/>
        <v>9.2932299999999995E-3</v>
      </c>
      <c r="H133" s="6">
        <f t="shared" si="8"/>
        <v>6.0553570350000001</v>
      </c>
      <c r="I133" s="15">
        <f t="shared" si="9"/>
        <v>12.439180266240001</v>
      </c>
    </row>
    <row r="134" spans="1:9" ht="15.75" thickBot="1" x14ac:dyDescent="0.3">
      <c r="A134" s="8" t="s">
        <v>128</v>
      </c>
      <c r="B134" s="6">
        <f>References!AB59*4</f>
        <v>125.7552</v>
      </c>
      <c r="C134" s="6">
        <f t="shared" si="10"/>
        <v>9.2220479999999991</v>
      </c>
      <c r="D134" s="6">
        <v>34.5</v>
      </c>
      <c r="E134" s="6">
        <v>22.5</v>
      </c>
      <c r="F134" s="6">
        <v>1.813675E-2</v>
      </c>
      <c r="G134" s="6">
        <f t="shared" si="7"/>
        <v>8.4806099999999995E-3</v>
      </c>
      <c r="H134" s="6">
        <f t="shared" si="8"/>
        <v>136.11742848</v>
      </c>
      <c r="I134" s="15">
        <f t="shared" si="9"/>
        <v>267.14815972416</v>
      </c>
    </row>
    <row r="135" spans="1:9" ht="15.75" thickBot="1" x14ac:dyDescent="0.3">
      <c r="A135" s="8" t="s">
        <v>140</v>
      </c>
      <c r="B135" s="6">
        <f>References!AB60*4</f>
        <v>139.94479999999999</v>
      </c>
      <c r="C135" s="6">
        <f t="shared" si="10"/>
        <v>10.398676111111111</v>
      </c>
      <c r="D135" s="6">
        <v>34.5</v>
      </c>
      <c r="E135" s="6">
        <v>22</v>
      </c>
      <c r="F135" s="6">
        <v>1.813675E-2</v>
      </c>
      <c r="G135" s="6">
        <f t="shared" si="7"/>
        <v>8.2197599999999996E-3</v>
      </c>
      <c r="H135" s="6">
        <f t="shared" si="8"/>
        <v>159.87964520833333</v>
      </c>
      <c r="I135" s="15">
        <f t="shared" si="9"/>
        <v>309.37070102138335</v>
      </c>
    </row>
    <row r="136" spans="1:9" ht="15.75" thickBot="1" x14ac:dyDescent="0.3">
      <c r="A136" s="8" t="s">
        <v>192</v>
      </c>
      <c r="B136" s="6">
        <f>References!AB61*4</f>
        <v>21.644400000000001</v>
      </c>
      <c r="C136" s="6">
        <f t="shared" si="10"/>
        <v>1.5241265000000002</v>
      </c>
      <c r="D136" s="6">
        <v>34.5</v>
      </c>
      <c r="E136" s="6">
        <v>24</v>
      </c>
      <c r="F136" s="6">
        <v>1.813675E-2</v>
      </c>
      <c r="G136" s="6">
        <f t="shared" si="7"/>
        <v>9.2932299999999995E-3</v>
      </c>
      <c r="H136" s="6">
        <f t="shared" si="8"/>
        <v>19.684093747500004</v>
      </c>
      <c r="I136" s="15">
        <f t="shared" si="9"/>
        <v>40.435929555840012</v>
      </c>
    </row>
    <row r="137" spans="1:9" ht="15.75" thickBot="1" x14ac:dyDescent="0.3">
      <c r="A137" s="8" t="s">
        <v>193</v>
      </c>
      <c r="B137" s="6">
        <f>References!AB62*4</f>
        <v>102.9944</v>
      </c>
      <c r="C137" s="6">
        <f t="shared" si="10"/>
        <v>7.5529226666666665</v>
      </c>
      <c r="D137" s="6">
        <v>34.5</v>
      </c>
      <c r="E137" s="6">
        <v>22.5</v>
      </c>
      <c r="F137" s="6">
        <v>1.813675E-2</v>
      </c>
      <c r="G137" s="6">
        <f t="shared" si="7"/>
        <v>8.4806099999999995E-3</v>
      </c>
      <c r="H137" s="6">
        <f t="shared" si="8"/>
        <v>111.48113856000001</v>
      </c>
      <c r="I137" s="15">
        <f t="shared" si="9"/>
        <v>218.79623603552002</v>
      </c>
    </row>
    <row r="138" spans="1:9" ht="15.75" thickBot="1" x14ac:dyDescent="0.3">
      <c r="A138" s="8" t="s">
        <v>227</v>
      </c>
      <c r="B138" s="6">
        <f>References!AB63*4</f>
        <v>15.452</v>
      </c>
      <c r="C138" s="6">
        <f t="shared" si="10"/>
        <v>1.0880783333333333</v>
      </c>
      <c r="D138" s="6">
        <v>34.5</v>
      </c>
      <c r="E138" s="6">
        <v>24</v>
      </c>
      <c r="F138" s="6">
        <v>1.813675E-2</v>
      </c>
      <c r="G138" s="6">
        <f t="shared" si="7"/>
        <v>9.2932299999999995E-3</v>
      </c>
      <c r="H138" s="6">
        <f t="shared" si="8"/>
        <v>14.052531674999999</v>
      </c>
      <c r="I138" s="15">
        <f t="shared" si="9"/>
        <v>28.867327507199999</v>
      </c>
    </row>
    <row r="139" spans="1:9" ht="15.75" thickBot="1" x14ac:dyDescent="0.3">
      <c r="A139" s="8" t="s">
        <v>194</v>
      </c>
      <c r="B139" s="6">
        <f>References!AB64*4</f>
        <v>67.197599999999994</v>
      </c>
      <c r="C139" s="6">
        <f t="shared" si="10"/>
        <v>4.9278240000000002</v>
      </c>
      <c r="D139" s="6">
        <v>34.5</v>
      </c>
      <c r="E139" s="6">
        <v>22.5</v>
      </c>
      <c r="F139" s="6">
        <v>1.813675E-2</v>
      </c>
      <c r="G139" s="6">
        <f t="shared" si="7"/>
        <v>8.4806099999999995E-3</v>
      </c>
      <c r="H139" s="6">
        <f t="shared" si="8"/>
        <v>72.734682240000012</v>
      </c>
      <c r="I139" s="15">
        <f t="shared" si="9"/>
        <v>142.75127531808002</v>
      </c>
    </row>
    <row r="140" spans="1:9" ht="15.75" thickBot="1" x14ac:dyDescent="0.3">
      <c r="A140" s="8" t="s">
        <v>195</v>
      </c>
      <c r="B140" s="6">
        <f>References!AB65*4</f>
        <v>67.199600000000004</v>
      </c>
      <c r="C140" s="6">
        <f t="shared" si="10"/>
        <v>4.9279706666666669</v>
      </c>
      <c r="D140" s="6">
        <v>34.5</v>
      </c>
      <c r="E140" s="6">
        <v>22.5</v>
      </c>
      <c r="F140" s="6">
        <v>1.813675E-2</v>
      </c>
      <c r="G140" s="6">
        <f t="shared" si="7"/>
        <v>8.4806099999999995E-3</v>
      </c>
      <c r="H140" s="6">
        <f>1.23*C140*(D140-E140)</f>
        <v>72.736847040000001</v>
      </c>
      <c r="I140" s="15">
        <f>3000*C140*(F140-G140)</f>
        <v>142.75552401968002</v>
      </c>
    </row>
    <row r="141" spans="1:9" ht="15.75" thickBot="1" x14ac:dyDescent="0.3">
      <c r="A141" s="8" t="s">
        <v>196</v>
      </c>
      <c r="B141" s="6">
        <f>References!AB66*4</f>
        <v>40.903199999999998</v>
      </c>
      <c r="C141" s="6">
        <f t="shared" si="10"/>
        <v>2.999568</v>
      </c>
      <c r="D141" s="6">
        <v>34.5</v>
      </c>
      <c r="E141" s="6">
        <v>22.5</v>
      </c>
      <c r="F141" s="6">
        <v>1.813675E-2</v>
      </c>
      <c r="G141" s="6">
        <f t="shared" si="7"/>
        <v>8.4806099999999995E-3</v>
      </c>
      <c r="H141" s="6">
        <f t="shared" si="8"/>
        <v>44.27362368</v>
      </c>
      <c r="I141" s="15">
        <f t="shared" si="9"/>
        <v>86.892745642560001</v>
      </c>
    </row>
    <row r="142" spans="1:9" ht="15.75" thickBot="1" x14ac:dyDescent="0.3">
      <c r="A142" s="8" t="s">
        <v>197</v>
      </c>
      <c r="B142" s="6">
        <f>References!AB67*4</f>
        <v>76.002799999999993</v>
      </c>
      <c r="C142" s="6">
        <f t="shared" si="10"/>
        <v>5.6474302777777776</v>
      </c>
      <c r="D142" s="6">
        <v>34.5</v>
      </c>
      <c r="E142" s="6">
        <v>22</v>
      </c>
      <c r="F142" s="6">
        <v>1.813675E-2</v>
      </c>
      <c r="G142" s="6">
        <f>_xlfn.IFS(E142=22.5,0.00848061,E142=22,0.00821976,E142=24,0.00929323)</f>
        <v>8.2197599999999996E-3</v>
      </c>
      <c r="H142" s="6">
        <f t="shared" si="8"/>
        <v>86.829240520833324</v>
      </c>
      <c r="I142" s="15">
        <f t="shared" si="9"/>
        <v>168.01652877125832</v>
      </c>
    </row>
    <row r="143" spans="1:9" ht="15.75" thickBot="1" x14ac:dyDescent="0.3">
      <c r="A143" s="8" t="s">
        <v>198</v>
      </c>
      <c r="B143" s="6">
        <f>References!AB68*4</f>
        <v>59.95</v>
      </c>
      <c r="C143" s="6">
        <f t="shared" ref="C143:C158" si="11">((0.15+0.01*3+0.007*(D143-E143))*B143)/3.6</f>
        <v>4.3963333333333336</v>
      </c>
      <c r="D143" s="6">
        <v>34.5</v>
      </c>
      <c r="E143" s="6">
        <v>22.5</v>
      </c>
      <c r="F143" s="6">
        <v>1.813675E-2</v>
      </c>
      <c r="G143" s="6">
        <f t="shared" si="7"/>
        <v>8.4806099999999995E-3</v>
      </c>
      <c r="H143" s="6">
        <f t="shared" si="8"/>
        <v>64.889880000000005</v>
      </c>
      <c r="I143" s="15">
        <f t="shared" si="9"/>
        <v>127.35483046000003</v>
      </c>
    </row>
    <row r="144" spans="1:9" ht="15.75" thickBot="1" x14ac:dyDescent="0.3">
      <c r="A144" s="8" t="s">
        <v>228</v>
      </c>
      <c r="B144" s="6">
        <f>References!AB69*4</f>
        <v>6.72</v>
      </c>
      <c r="C144" s="6">
        <f t="shared" si="11"/>
        <v>0.47319999999999995</v>
      </c>
      <c r="D144" s="6">
        <v>34.5</v>
      </c>
      <c r="E144" s="6">
        <v>24</v>
      </c>
      <c r="F144" s="6">
        <v>1.813675E-2</v>
      </c>
      <c r="G144" s="6">
        <f t="shared" ref="G144:G158" si="12">_xlfn.IFS(E144=22.5,0.00848061,E144=22,0.00821976,E144=24,0.00929323)</f>
        <v>9.2932299999999995E-3</v>
      </c>
      <c r="H144" s="6">
        <f t="shared" ref="H144:H158" si="13">1.23*C144*(D144-E144)</f>
        <v>6.1113779999999984</v>
      </c>
      <c r="I144" s="15">
        <f t="shared" ref="I144:I154" si="14">3000*C144*(F144-G144)</f>
        <v>12.554260992</v>
      </c>
    </row>
    <row r="145" spans="1:9" ht="15.75" thickBot="1" x14ac:dyDescent="0.3">
      <c r="A145" s="8" t="s">
        <v>199</v>
      </c>
      <c r="B145" s="6">
        <f>References!AB70*4</f>
        <v>86.4024</v>
      </c>
      <c r="C145" s="6">
        <f t="shared" si="11"/>
        <v>6.0841690000000002</v>
      </c>
      <c r="D145" s="6">
        <v>34.5</v>
      </c>
      <c r="E145" s="6">
        <v>24</v>
      </c>
      <c r="F145" s="6">
        <v>1.813675E-2</v>
      </c>
      <c r="G145" s="6">
        <f t="shared" si="12"/>
        <v>9.2932299999999995E-3</v>
      </c>
      <c r="H145" s="6">
        <f t="shared" si="13"/>
        <v>78.577042635000012</v>
      </c>
      <c r="I145" s="15">
        <f t="shared" si="14"/>
        <v>161.41641070464001</v>
      </c>
    </row>
    <row r="146" spans="1:9" ht="15.75" thickBot="1" x14ac:dyDescent="0.3">
      <c r="A146" s="8" t="s">
        <v>200</v>
      </c>
      <c r="B146" s="6">
        <f>References!AB71*4</f>
        <v>94.401200000000003</v>
      </c>
      <c r="C146" s="6">
        <f t="shared" si="11"/>
        <v>6.9227546666666671</v>
      </c>
      <c r="D146" s="6">
        <v>34.5</v>
      </c>
      <c r="E146" s="6">
        <v>22.5</v>
      </c>
      <c r="F146" s="6">
        <v>1.813675E-2</v>
      </c>
      <c r="G146" s="6">
        <f t="shared" si="12"/>
        <v>8.4806099999999995E-3</v>
      </c>
      <c r="H146" s="6">
        <f t="shared" si="13"/>
        <v>102.17985888000001</v>
      </c>
      <c r="I146" s="15">
        <f t="shared" si="14"/>
        <v>200.54126474096003</v>
      </c>
    </row>
    <row r="147" spans="1:9" ht="15.75" thickBot="1" x14ac:dyDescent="0.3">
      <c r="A147" s="8" t="s">
        <v>201</v>
      </c>
      <c r="B147" s="6">
        <f>References!AB72*4</f>
        <v>140.16999999999999</v>
      </c>
      <c r="C147" s="6">
        <f t="shared" si="11"/>
        <v>10.415409722222222</v>
      </c>
      <c r="D147" s="6">
        <v>34.5</v>
      </c>
      <c r="E147" s="6">
        <v>22</v>
      </c>
      <c r="F147" s="6">
        <v>1.813675E-2</v>
      </c>
      <c r="G147" s="6">
        <f t="shared" si="12"/>
        <v>8.2197599999999996E-3</v>
      </c>
      <c r="H147" s="6">
        <f t="shared" si="13"/>
        <v>160.13692447916665</v>
      </c>
      <c r="I147" s="15">
        <f t="shared" si="14"/>
        <v>309.86854218354165</v>
      </c>
    </row>
    <row r="148" spans="1:9" ht="15.75" thickBot="1" x14ac:dyDescent="0.3">
      <c r="A148" s="8" t="s">
        <v>202</v>
      </c>
      <c r="B148" s="6">
        <f>References!AB73*4</f>
        <v>22.764800000000001</v>
      </c>
      <c r="C148" s="6">
        <f t="shared" si="11"/>
        <v>1.6030213333333332</v>
      </c>
      <c r="D148" s="6">
        <v>34.5</v>
      </c>
      <c r="E148" s="6">
        <v>24</v>
      </c>
      <c r="F148" s="6">
        <v>1.813675E-2</v>
      </c>
      <c r="G148" s="6">
        <f t="shared" si="12"/>
        <v>9.2932299999999995E-3</v>
      </c>
      <c r="H148" s="6">
        <f t="shared" si="13"/>
        <v>20.703020519999999</v>
      </c>
      <c r="I148" s="15">
        <f t="shared" si="14"/>
        <v>42.529053665279996</v>
      </c>
    </row>
    <row r="149" spans="1:9" ht="15.75" thickBot="1" x14ac:dyDescent="0.3">
      <c r="A149" s="8" t="s">
        <v>203</v>
      </c>
      <c r="B149" s="6">
        <f>References!AB74*4</f>
        <v>16.5352</v>
      </c>
      <c r="C149" s="6">
        <f t="shared" si="11"/>
        <v>1.1643536666666667</v>
      </c>
      <c r="D149" s="6">
        <v>34.5</v>
      </c>
      <c r="E149" s="6">
        <v>24</v>
      </c>
      <c r="F149" s="6">
        <v>1.813675E-2</v>
      </c>
      <c r="G149" s="6">
        <f t="shared" si="12"/>
        <v>9.2932299999999995E-3</v>
      </c>
      <c r="H149" s="6">
        <f t="shared" si="13"/>
        <v>15.037627605000001</v>
      </c>
      <c r="I149" s="15">
        <f t="shared" si="14"/>
        <v>30.890954814720004</v>
      </c>
    </row>
    <row r="150" spans="1:9" ht="15.75" thickBot="1" x14ac:dyDescent="0.3">
      <c r="A150" s="8" t="s">
        <v>204</v>
      </c>
      <c r="B150" s="6">
        <f>References!AB75*4</f>
        <v>51.64</v>
      </c>
      <c r="C150" s="6">
        <f t="shared" si="11"/>
        <v>3.6363166666666666</v>
      </c>
      <c r="D150" s="6">
        <v>34.5</v>
      </c>
      <c r="E150" s="6">
        <v>24</v>
      </c>
      <c r="F150" s="6">
        <v>1.813675E-2</v>
      </c>
      <c r="G150" s="6">
        <f t="shared" si="12"/>
        <v>9.2932299999999995E-3</v>
      </c>
      <c r="H150" s="6">
        <f t="shared" si="13"/>
        <v>46.963029750000004</v>
      </c>
      <c r="I150" s="15">
        <f t="shared" si="14"/>
        <v>96.473517504000014</v>
      </c>
    </row>
    <row r="151" spans="1:9" ht="15.75" thickBot="1" x14ac:dyDescent="0.3">
      <c r="A151" s="8" t="s">
        <v>229</v>
      </c>
      <c r="B151" s="6">
        <f>References!AB76*4</f>
        <v>29.913599999999999</v>
      </c>
      <c r="C151" s="6">
        <f t="shared" si="11"/>
        <v>2.1064159999999998</v>
      </c>
      <c r="D151" s="6">
        <v>34.5</v>
      </c>
      <c r="E151" s="6">
        <v>24</v>
      </c>
      <c r="F151" s="6">
        <v>1.813675E-2</v>
      </c>
      <c r="G151" s="6">
        <f t="shared" si="12"/>
        <v>9.2932299999999995E-3</v>
      </c>
      <c r="H151" s="6">
        <f t="shared" si="13"/>
        <v>27.204362639999999</v>
      </c>
      <c r="I151" s="15">
        <f t="shared" si="14"/>
        <v>55.884396072960001</v>
      </c>
    </row>
    <row r="152" spans="1:9" ht="15.75" thickBot="1" x14ac:dyDescent="0.3">
      <c r="A152" s="8" t="s">
        <v>230</v>
      </c>
      <c r="B152" s="6">
        <f>References!AB77*4</f>
        <v>70.082800000000006</v>
      </c>
      <c r="C152" s="6">
        <f t="shared" si="11"/>
        <v>4.9349971666666672</v>
      </c>
      <c r="D152" s="6">
        <v>34.5</v>
      </c>
      <c r="E152" s="6">
        <v>24</v>
      </c>
      <c r="F152" s="6">
        <v>1.813675E-2</v>
      </c>
      <c r="G152" s="6">
        <f t="shared" si="12"/>
        <v>9.2932299999999995E-3</v>
      </c>
      <c r="H152" s="6">
        <f t="shared" si="13"/>
        <v>63.735488407500007</v>
      </c>
      <c r="I152" s="15">
        <f t="shared" si="14"/>
        <v>130.92823843008003</v>
      </c>
    </row>
    <row r="153" spans="1:9" ht="15.75" thickBot="1" x14ac:dyDescent="0.3">
      <c r="A153" s="8" t="s">
        <v>133</v>
      </c>
      <c r="B153" s="6">
        <f>References!AB78*4</f>
        <v>11.2</v>
      </c>
      <c r="C153" s="6">
        <f t="shared" si="11"/>
        <v>0.78866666666666663</v>
      </c>
      <c r="D153" s="6">
        <v>34.5</v>
      </c>
      <c r="E153" s="6">
        <v>24</v>
      </c>
      <c r="F153" s="6">
        <v>1.813675E-2</v>
      </c>
      <c r="G153" s="6">
        <f t="shared" si="12"/>
        <v>9.2932299999999995E-3</v>
      </c>
      <c r="H153" s="6">
        <f t="shared" si="13"/>
        <v>10.18563</v>
      </c>
      <c r="I153" s="15">
        <f t="shared" si="14"/>
        <v>20.923768320000001</v>
      </c>
    </row>
    <row r="154" spans="1:9" ht="15.75" thickBot="1" x14ac:dyDescent="0.3">
      <c r="A154" s="8" t="s">
        <v>134</v>
      </c>
      <c r="B154" s="6">
        <f>References!AB79*4</f>
        <v>11.2</v>
      </c>
      <c r="C154" s="6">
        <f t="shared" si="11"/>
        <v>0.78866666666666663</v>
      </c>
      <c r="D154" s="6">
        <v>34.5</v>
      </c>
      <c r="E154" s="6">
        <v>24</v>
      </c>
      <c r="F154" s="6">
        <v>1.813675E-2</v>
      </c>
      <c r="G154" s="6">
        <f t="shared" si="12"/>
        <v>9.2932299999999995E-3</v>
      </c>
      <c r="H154" s="6">
        <f t="shared" si="13"/>
        <v>10.18563</v>
      </c>
      <c r="I154" s="15">
        <f t="shared" si="14"/>
        <v>20.923768320000001</v>
      </c>
    </row>
    <row r="155" spans="1:9" ht="15.75" thickBot="1" x14ac:dyDescent="0.3">
      <c r="A155" s="8" t="s">
        <v>135</v>
      </c>
      <c r="B155" s="6">
        <f>References!AB80*4</f>
        <v>11.2</v>
      </c>
      <c r="C155" s="6">
        <f t="shared" si="11"/>
        <v>0.78866666666666663</v>
      </c>
      <c r="D155" s="6">
        <v>34.5</v>
      </c>
      <c r="E155" s="6">
        <v>24</v>
      </c>
      <c r="F155" s="6">
        <v>1.813675E-2</v>
      </c>
      <c r="G155" s="6">
        <f t="shared" si="12"/>
        <v>9.2932299999999995E-3</v>
      </c>
      <c r="H155" s="6">
        <f t="shared" si="13"/>
        <v>10.18563</v>
      </c>
      <c r="I155" s="15">
        <f>3000*C155*(F155-G155)</f>
        <v>20.923768320000001</v>
      </c>
    </row>
    <row r="156" spans="1:9" ht="15.75" thickBot="1" x14ac:dyDescent="0.3">
      <c r="A156" s="8" t="s">
        <v>132</v>
      </c>
      <c r="B156" s="6">
        <f>References!AB81*4</f>
        <v>165.20840000000001</v>
      </c>
      <c r="C156" s="6">
        <f t="shared" si="11"/>
        <v>12.115282666666667</v>
      </c>
      <c r="D156" s="6">
        <v>34.5</v>
      </c>
      <c r="E156" s="6">
        <v>22.5</v>
      </c>
      <c r="F156" s="6">
        <v>1.813675E-2</v>
      </c>
      <c r="G156" s="6">
        <f t="shared" si="12"/>
        <v>8.4806099999999995E-3</v>
      </c>
      <c r="H156" s="6">
        <f t="shared" si="13"/>
        <v>178.82157216000002</v>
      </c>
      <c r="I156" s="15">
        <f t="shared" ref="I156:I158" si="15">3000*C156*(F156-G156)</f>
        <v>350.96059670672008</v>
      </c>
    </row>
    <row r="157" spans="1:9" ht="15.75" thickBot="1" x14ac:dyDescent="0.3">
      <c r="A157" s="8" t="s">
        <v>130</v>
      </c>
      <c r="B157" s="6">
        <f>References!AB82*4</f>
        <v>187.89680000000001</v>
      </c>
      <c r="C157" s="6">
        <f t="shared" si="11"/>
        <v>13.779098666666668</v>
      </c>
      <c r="D157" s="6">
        <v>34.5</v>
      </c>
      <c r="E157" s="6">
        <v>22.5</v>
      </c>
      <c r="F157" s="6">
        <v>1.813675E-2</v>
      </c>
      <c r="G157" s="6">
        <f t="shared" si="12"/>
        <v>8.4806099999999995E-3</v>
      </c>
      <c r="H157" s="6">
        <f t="shared" si="13"/>
        <v>203.37949632000004</v>
      </c>
      <c r="I157" s="15">
        <f t="shared" si="15"/>
        <v>399.15871739744006</v>
      </c>
    </row>
    <row r="158" spans="1:9" ht="15.75" thickBot="1" x14ac:dyDescent="0.3">
      <c r="A158" s="23" t="s">
        <v>156</v>
      </c>
      <c r="B158" s="21">
        <f>References!AB83*4</f>
        <v>8.3604000000000003</v>
      </c>
      <c r="C158" s="21">
        <f t="shared" si="11"/>
        <v>0.58871150000000005</v>
      </c>
      <c r="D158" s="21">
        <v>34.5</v>
      </c>
      <c r="E158" s="21">
        <v>24</v>
      </c>
      <c r="F158" s="6">
        <v>1.813675E-2</v>
      </c>
      <c r="G158" s="21">
        <f t="shared" si="12"/>
        <v>9.2932299999999995E-3</v>
      </c>
      <c r="H158" s="21">
        <f t="shared" si="13"/>
        <v>7.6032090225000006</v>
      </c>
      <c r="I158" s="22">
        <f t="shared" si="15"/>
        <v>15.618845773440002</v>
      </c>
    </row>
    <row r="159" spans="1:9" ht="15.75" thickBot="1" x14ac:dyDescent="0.3">
      <c r="F159" s="96" t="s">
        <v>123</v>
      </c>
      <c r="G159" s="96"/>
      <c r="H159" s="44">
        <f>SUM(H79:H158)</f>
        <v>7292.9802201313305</v>
      </c>
      <c r="I159" s="44">
        <f>SUM(I79:I158)</f>
        <v>14355.12859520341</v>
      </c>
    </row>
    <row r="160" spans="1:9" ht="15.75" thickBot="1" x14ac:dyDescent="0.3">
      <c r="F160" s="96" t="s">
        <v>168</v>
      </c>
      <c r="G160" s="96"/>
      <c r="H160" s="53">
        <f>I159+H159</f>
        <v>21648.108815334741</v>
      </c>
      <c r="I160" s="53"/>
    </row>
    <row r="163" spans="1:10" ht="15.75" thickBot="1" x14ac:dyDescent="0.3">
      <c r="A163" s="16" t="s">
        <v>0</v>
      </c>
      <c r="B163" s="17" t="s">
        <v>169</v>
      </c>
      <c r="C163" s="17" t="s">
        <v>21</v>
      </c>
      <c r="D163" s="17" t="s">
        <v>13</v>
      </c>
      <c r="E163" s="17" t="s">
        <v>7</v>
      </c>
      <c r="F163" s="17" t="s">
        <v>22</v>
      </c>
      <c r="G163" s="17" t="s">
        <v>23</v>
      </c>
      <c r="H163" s="17" t="s">
        <v>302</v>
      </c>
      <c r="I163" s="18" t="s">
        <v>303</v>
      </c>
      <c r="J163" s="5"/>
    </row>
    <row r="164" spans="1:10" ht="15.75" thickBot="1" x14ac:dyDescent="0.3">
      <c r="A164" s="8" t="s">
        <v>124</v>
      </c>
      <c r="B164" s="6">
        <f>References!AE4*4</f>
        <v>137.10759999999999</v>
      </c>
      <c r="C164" s="6">
        <f>(References!AD4*B164)/3.6</f>
        <v>10.054557333333333</v>
      </c>
      <c r="D164" s="6">
        <v>34.5</v>
      </c>
      <c r="E164" s="6">
        <v>22.5</v>
      </c>
      <c r="F164" s="6">
        <v>1.8136751999999999E-2</v>
      </c>
      <c r="G164" s="6">
        <f>_xlfn.IFS(E164=22.5,0.00848031,E164=24,0.009293235,E164=22,0.00821976)</f>
        <v>8.4803099999999996E-3</v>
      </c>
      <c r="H164" s="6">
        <f>1.232*(D164-E164)*C164</f>
        <v>148.64657561599998</v>
      </c>
      <c r="I164" s="15">
        <f>3000*C164*(F164-G164)</f>
        <v>291.27374917502397</v>
      </c>
    </row>
    <row r="165" spans="1:10" ht="15.75" thickBot="1" x14ac:dyDescent="0.3">
      <c r="A165" s="8" t="s">
        <v>207</v>
      </c>
      <c r="B165" s="6">
        <f>References!AE5*4</f>
        <v>10.47</v>
      </c>
      <c r="C165" s="6">
        <f>(References!AD5*B165)/3.6</f>
        <v>0.73726250000000004</v>
      </c>
      <c r="D165" s="6">
        <v>34.5</v>
      </c>
      <c r="E165" s="6">
        <v>24</v>
      </c>
      <c r="F165" s="6">
        <v>1.8136751999999999E-2</v>
      </c>
      <c r="G165" s="6">
        <f t="shared" ref="G165:G173" si="16">_xlfn.IFS(E165=22.5,0.00848031,E165=24,0.009293235,E165=22,0.00821976)</f>
        <v>9.2932350000000004E-3</v>
      </c>
      <c r="H165" s="6">
        <f t="shared" ref="H165:H228" si="17">1.232*(D165-E165)*C165</f>
        <v>9.5372277000000008</v>
      </c>
      <c r="I165" s="15">
        <f t="shared" ref="I165:I228" si="18">3000*C165*(F165-G165)</f>
        <v>19.559980356637496</v>
      </c>
    </row>
    <row r="166" spans="1:10" ht="15.75" thickBot="1" x14ac:dyDescent="0.3">
      <c r="A166" s="8" t="s">
        <v>170</v>
      </c>
      <c r="B166" s="6">
        <f>References!AE6*4</f>
        <v>137.04</v>
      </c>
      <c r="C166" s="6">
        <f>(References!AD6*B166)/3.6</f>
        <v>10.0496</v>
      </c>
      <c r="D166" s="6">
        <v>34.5</v>
      </c>
      <c r="E166" s="6">
        <v>22.5</v>
      </c>
      <c r="F166" s="6">
        <v>1.8136751999999999E-2</v>
      </c>
      <c r="G166" s="6">
        <f t="shared" si="16"/>
        <v>8.4803099999999996E-3</v>
      </c>
      <c r="H166" s="6">
        <f t="shared" si="17"/>
        <v>148.5732864</v>
      </c>
      <c r="I166" s="15">
        <f t="shared" si="18"/>
        <v>291.13013856959998</v>
      </c>
    </row>
    <row r="167" spans="1:10" ht="15.75" thickBot="1" x14ac:dyDescent="0.3">
      <c r="A167" s="8" t="s">
        <v>206</v>
      </c>
      <c r="B167" s="6">
        <f>References!AE7*4</f>
        <v>10.47</v>
      </c>
      <c r="C167" s="6">
        <f>(References!AD7*B167)/3.6</f>
        <v>0.76780000000000004</v>
      </c>
      <c r="D167" s="6">
        <v>34.5</v>
      </c>
      <c r="E167" s="6">
        <v>22.5</v>
      </c>
      <c r="F167" s="6">
        <v>1.8136751999999999E-2</v>
      </c>
      <c r="G167" s="6">
        <f t="shared" si="16"/>
        <v>8.4803099999999996E-3</v>
      </c>
      <c r="H167" s="6">
        <f t="shared" si="17"/>
        <v>11.351155199999999</v>
      </c>
      <c r="I167" s="15">
        <f t="shared" si="18"/>
        <v>22.242648502799998</v>
      </c>
    </row>
    <row r="168" spans="1:10" ht="15.75" thickBot="1" x14ac:dyDescent="0.3">
      <c r="A168" s="8" t="s">
        <v>305</v>
      </c>
      <c r="B168" s="6">
        <f>References!AE8*4</f>
        <v>149.63480000000001</v>
      </c>
      <c r="C168" s="6">
        <f>(References!AD8*B168)/3.6</f>
        <v>10.973218666666668</v>
      </c>
      <c r="D168" s="6">
        <v>34.5</v>
      </c>
      <c r="E168" s="6">
        <v>22.5</v>
      </c>
      <c r="F168" s="6">
        <v>1.8136751999999999E-2</v>
      </c>
      <c r="G168" s="6">
        <f t="shared" si="16"/>
        <v>8.4803099999999996E-3</v>
      </c>
      <c r="H168" s="6">
        <f t="shared" si="17"/>
        <v>162.228064768</v>
      </c>
      <c r="I168" s="15">
        <f t="shared" si="18"/>
        <v>317.88674882395202</v>
      </c>
    </row>
    <row r="169" spans="1:10" ht="15.75" thickBot="1" x14ac:dyDescent="0.3">
      <c r="A169" s="8" t="s">
        <v>306</v>
      </c>
      <c r="B169" s="6">
        <f>References!AE9*4</f>
        <v>149.63480000000001</v>
      </c>
      <c r="C169" s="6">
        <f>(References!AD9*B169)/3.6</f>
        <v>10.973218666666668</v>
      </c>
      <c r="D169" s="6">
        <v>34.5</v>
      </c>
      <c r="E169" s="6">
        <v>22.5</v>
      </c>
      <c r="F169" s="6">
        <v>1.8136751999999999E-2</v>
      </c>
      <c r="G169" s="6">
        <f t="shared" si="16"/>
        <v>8.4803099999999996E-3</v>
      </c>
      <c r="H169" s="6">
        <f t="shared" si="17"/>
        <v>162.228064768</v>
      </c>
      <c r="I169" s="15">
        <f t="shared" si="18"/>
        <v>317.88674882395202</v>
      </c>
    </row>
    <row r="170" spans="1:10" ht="15.75" thickBot="1" x14ac:dyDescent="0.3">
      <c r="A170" s="8" t="s">
        <v>125</v>
      </c>
      <c r="B170" s="6">
        <f>References!AE10*4</f>
        <v>137.04</v>
      </c>
      <c r="C170" s="6">
        <f>(References!AD10*B170)/3.6</f>
        <v>10.0496</v>
      </c>
      <c r="D170" s="6">
        <v>34.5</v>
      </c>
      <c r="E170" s="6">
        <v>22.5</v>
      </c>
      <c r="F170" s="6">
        <v>1.8136751999999999E-2</v>
      </c>
      <c r="G170" s="6">
        <f t="shared" si="16"/>
        <v>8.4803099999999996E-3</v>
      </c>
      <c r="H170" s="6">
        <f t="shared" si="17"/>
        <v>148.5732864</v>
      </c>
      <c r="I170" s="15">
        <f t="shared" si="18"/>
        <v>291.13013856959998</v>
      </c>
    </row>
    <row r="171" spans="1:10" ht="15.75" thickBot="1" x14ac:dyDescent="0.3">
      <c r="A171" s="8" t="s">
        <v>208</v>
      </c>
      <c r="B171" s="6">
        <f>References!AE11*4</f>
        <v>10.47</v>
      </c>
      <c r="C171" s="6">
        <f>(References!AD11*B171)/3.6</f>
        <v>0.73726250000000004</v>
      </c>
      <c r="D171" s="6">
        <v>34.5</v>
      </c>
      <c r="E171" s="6">
        <v>24</v>
      </c>
      <c r="F171" s="6">
        <v>1.8136751999999999E-2</v>
      </c>
      <c r="G171" s="6">
        <f t="shared" si="16"/>
        <v>9.2932350000000004E-3</v>
      </c>
      <c r="H171" s="6">
        <f t="shared" si="17"/>
        <v>9.5372277000000008</v>
      </c>
      <c r="I171" s="15">
        <f t="shared" si="18"/>
        <v>19.559980356637496</v>
      </c>
    </row>
    <row r="172" spans="1:10" ht="15.75" thickBot="1" x14ac:dyDescent="0.3">
      <c r="A172" s="8" t="s">
        <v>126</v>
      </c>
      <c r="B172" s="6">
        <f>References!AE12*4</f>
        <v>137.04</v>
      </c>
      <c r="C172" s="6">
        <f>(References!AD12*B172)/3.6</f>
        <v>10.0496</v>
      </c>
      <c r="D172" s="6">
        <v>34.5</v>
      </c>
      <c r="E172" s="6">
        <v>22.5</v>
      </c>
      <c r="F172" s="6">
        <v>1.8136751999999999E-2</v>
      </c>
      <c r="G172" s="6">
        <f t="shared" si="16"/>
        <v>8.4803099999999996E-3</v>
      </c>
      <c r="H172" s="6">
        <f t="shared" si="17"/>
        <v>148.5732864</v>
      </c>
      <c r="I172" s="15">
        <f t="shared" si="18"/>
        <v>291.13013856959998</v>
      </c>
    </row>
    <row r="173" spans="1:10" ht="15.75" thickBot="1" x14ac:dyDescent="0.3">
      <c r="A173" s="8" t="s">
        <v>209</v>
      </c>
      <c r="B173" s="6">
        <f>References!AE13*4</f>
        <v>10.47</v>
      </c>
      <c r="C173" s="6">
        <f>(References!AD13*B173)/3.6</f>
        <v>0.73726250000000004</v>
      </c>
      <c r="D173" s="6">
        <v>34.5</v>
      </c>
      <c r="E173" s="6">
        <v>24</v>
      </c>
      <c r="F173" s="6">
        <v>1.8136751999999999E-2</v>
      </c>
      <c r="G173" s="6">
        <f t="shared" si="16"/>
        <v>9.2932350000000004E-3</v>
      </c>
      <c r="H173" s="6">
        <f t="shared" si="17"/>
        <v>9.5372277000000008</v>
      </c>
      <c r="I173" s="15">
        <f t="shared" si="18"/>
        <v>19.559980356637496</v>
      </c>
    </row>
    <row r="174" spans="1:10" ht="15.75" thickBot="1" x14ac:dyDescent="0.3">
      <c r="A174" s="8" t="s">
        <v>171</v>
      </c>
      <c r="B174" s="6">
        <f>References!AE14*4</f>
        <v>40.557200000000002</v>
      </c>
      <c r="C174" s="6">
        <f>(References!AD14*B174)/3.6</f>
        <v>2.974194666666667</v>
      </c>
      <c r="D174" s="6">
        <v>34.5</v>
      </c>
      <c r="E174" s="6">
        <v>22.5</v>
      </c>
      <c r="F174" s="6">
        <v>1.8136751999999999E-2</v>
      </c>
      <c r="G174" s="6">
        <f>_xlfn.IFS(E174=22.5,0.00848031,E174=24,0.009293235,E174=22,0.00821976)</f>
        <v>8.4803099999999996E-3</v>
      </c>
      <c r="H174" s="6">
        <f t="shared" si="17"/>
        <v>43.970493951999998</v>
      </c>
      <c r="I174" s="15">
        <f t="shared" si="18"/>
        <v>86.160414886127995</v>
      </c>
    </row>
    <row r="175" spans="1:10" ht="15.75" thickBot="1" x14ac:dyDescent="0.3">
      <c r="A175" s="8" t="s">
        <v>210</v>
      </c>
      <c r="B175" s="6">
        <f>References!AE15*4</f>
        <v>10.488799999999999</v>
      </c>
      <c r="C175" s="6">
        <f>(References!AD15*B175)/3.6</f>
        <v>0.73858633333333323</v>
      </c>
      <c r="D175" s="6">
        <v>34.5</v>
      </c>
      <c r="E175" s="6">
        <v>24</v>
      </c>
      <c r="F175" s="6">
        <v>1.8136751999999999E-2</v>
      </c>
      <c r="G175" s="6">
        <f t="shared" ref="G175:G233" si="19">_xlfn.IFS(E175=22.5,0.00848031,E175=24,0.009293235,E175=22,0.00821976)</f>
        <v>9.2932350000000004E-3</v>
      </c>
      <c r="H175" s="6">
        <f t="shared" si="17"/>
        <v>9.5543528079999991</v>
      </c>
      <c r="I175" s="15">
        <f t="shared" si="18"/>
        <v>19.595102384402992</v>
      </c>
    </row>
    <row r="176" spans="1:10" ht="15.75" thickBot="1" x14ac:dyDescent="0.3">
      <c r="A176" s="8" t="s">
        <v>172</v>
      </c>
      <c r="B176" s="6">
        <f>References!AE16*4</f>
        <v>55.688800000000001</v>
      </c>
      <c r="C176" s="6">
        <f>(References!AD16*B176)/3.6</f>
        <v>4.0838453333333335</v>
      </c>
      <c r="D176" s="6">
        <v>34.5</v>
      </c>
      <c r="E176" s="6">
        <v>22.5</v>
      </c>
      <c r="F176" s="6">
        <v>1.8136751999999999E-2</v>
      </c>
      <c r="G176" s="6">
        <f t="shared" si="19"/>
        <v>8.4803099999999996E-3</v>
      </c>
      <c r="H176" s="6">
        <f t="shared" si="17"/>
        <v>60.375569407999997</v>
      </c>
      <c r="I176" s="15">
        <f t="shared" si="18"/>
        <v>118.306246794912</v>
      </c>
    </row>
    <row r="177" spans="1:9" ht="15.75" thickBot="1" x14ac:dyDescent="0.3">
      <c r="A177" s="8" t="s">
        <v>211</v>
      </c>
      <c r="B177" s="6">
        <f>References!AE17*4</f>
        <v>10.462</v>
      </c>
      <c r="C177" s="6">
        <f>(References!AD17*B177)/3.6</f>
        <v>0.73669916666666668</v>
      </c>
      <c r="D177" s="6">
        <v>34.5</v>
      </c>
      <c r="E177" s="6">
        <v>24</v>
      </c>
      <c r="F177" s="6">
        <v>1.8136751999999999E-2</v>
      </c>
      <c r="G177" s="6">
        <f t="shared" si="19"/>
        <v>9.2932350000000004E-3</v>
      </c>
      <c r="H177" s="6">
        <f t="shared" si="17"/>
        <v>9.5299404200000009</v>
      </c>
      <c r="I177" s="15">
        <f t="shared" si="18"/>
        <v>19.545034812907495</v>
      </c>
    </row>
    <row r="178" spans="1:9" ht="15.75" thickBot="1" x14ac:dyDescent="0.3">
      <c r="A178" s="8" t="s">
        <v>173</v>
      </c>
      <c r="B178" s="6">
        <f>References!AE18*4</f>
        <v>55.495199999999997</v>
      </c>
      <c r="C178" s="6">
        <f>(References!AD18*B178)/3.6</f>
        <v>4.0696479999999999</v>
      </c>
      <c r="D178" s="6">
        <v>34.5</v>
      </c>
      <c r="E178" s="6">
        <v>22.5</v>
      </c>
      <c r="F178" s="6">
        <v>1.8136751999999999E-2</v>
      </c>
      <c r="G178" s="6">
        <f t="shared" si="19"/>
        <v>8.4803099999999996E-3</v>
      </c>
      <c r="H178" s="6">
        <f t="shared" si="17"/>
        <v>60.165676031999993</v>
      </c>
      <c r="I178" s="15">
        <f t="shared" si="18"/>
        <v>117.89495961724799</v>
      </c>
    </row>
    <row r="179" spans="1:9" ht="15.75" thickBot="1" x14ac:dyDescent="0.3">
      <c r="A179" s="8" t="s">
        <v>212</v>
      </c>
      <c r="B179" s="6">
        <f>References!AE19*4</f>
        <v>10.474399999999999</v>
      </c>
      <c r="C179" s="6">
        <f>(References!AD19*B179)/3.6</f>
        <v>0.73757233333333327</v>
      </c>
      <c r="D179" s="6">
        <v>34.5</v>
      </c>
      <c r="E179" s="6">
        <v>24</v>
      </c>
      <c r="F179" s="6">
        <v>1.8136751999999999E-2</v>
      </c>
      <c r="G179" s="6">
        <f t="shared" si="19"/>
        <v>9.2932350000000004E-3</v>
      </c>
      <c r="H179" s="6">
        <f t="shared" si="17"/>
        <v>9.541235704</v>
      </c>
      <c r="I179" s="15">
        <f t="shared" si="18"/>
        <v>19.568200405688994</v>
      </c>
    </row>
    <row r="180" spans="1:9" ht="15.75" thickBot="1" x14ac:dyDescent="0.3">
      <c r="A180" s="8" t="s">
        <v>174</v>
      </c>
      <c r="B180" s="6">
        <f>References!AE20*4</f>
        <v>122.848</v>
      </c>
      <c r="C180" s="6">
        <f>(References!AD20*B180)/3.6</f>
        <v>9.0088533333333327</v>
      </c>
      <c r="D180" s="6">
        <v>34.5</v>
      </c>
      <c r="E180" s="6">
        <v>22.5</v>
      </c>
      <c r="F180" s="6">
        <v>1.8136751999999999E-2</v>
      </c>
      <c r="G180" s="6">
        <f t="shared" si="19"/>
        <v>8.4803099999999996E-3</v>
      </c>
      <c r="H180" s="6">
        <f t="shared" si="17"/>
        <v>133.18688767999998</v>
      </c>
      <c r="I180" s="15">
        <f t="shared" si="18"/>
        <v>260.98040909951999</v>
      </c>
    </row>
    <row r="181" spans="1:9" ht="15.75" thickBot="1" x14ac:dyDescent="0.3">
      <c r="A181" s="8" t="s">
        <v>213</v>
      </c>
      <c r="B181" s="6">
        <f>References!AE21*4</f>
        <v>10.5496</v>
      </c>
      <c r="C181" s="6">
        <f>(References!AD21*B181)/3.6</f>
        <v>0.7428676666666667</v>
      </c>
      <c r="D181" s="6">
        <v>34.5</v>
      </c>
      <c r="E181" s="6">
        <v>24</v>
      </c>
      <c r="F181" s="6">
        <v>1.8136751999999999E-2</v>
      </c>
      <c r="G181" s="6">
        <f t="shared" si="19"/>
        <v>9.2932350000000004E-3</v>
      </c>
      <c r="H181" s="6">
        <f t="shared" si="17"/>
        <v>9.6097361360000004</v>
      </c>
      <c r="I181" s="15">
        <f t="shared" si="18"/>
        <v>19.708688516750996</v>
      </c>
    </row>
    <row r="182" spans="1:9" ht="15.75" thickBot="1" x14ac:dyDescent="0.3">
      <c r="A182" s="8" t="s">
        <v>175</v>
      </c>
      <c r="B182" s="6">
        <f>References!AE22*4</f>
        <v>71.765199999999993</v>
      </c>
      <c r="C182" s="6">
        <f>(References!AD22*B182)/3.6</f>
        <v>5.2627813333333329</v>
      </c>
      <c r="D182" s="6">
        <v>34.5</v>
      </c>
      <c r="E182" s="6">
        <v>22.5</v>
      </c>
      <c r="F182" s="6">
        <v>1.8136751999999999E-2</v>
      </c>
      <c r="G182" s="6">
        <f t="shared" si="19"/>
        <v>8.4803099999999996E-3</v>
      </c>
      <c r="H182" s="6">
        <f t="shared" si="17"/>
        <v>77.804959231999987</v>
      </c>
      <c r="I182" s="15">
        <f t="shared" si="18"/>
        <v>152.45922811204798</v>
      </c>
    </row>
    <row r="183" spans="1:9" ht="15.75" thickBot="1" x14ac:dyDescent="0.3">
      <c r="A183" s="8" t="s">
        <v>176</v>
      </c>
      <c r="B183" s="6">
        <f>References!AE23*4</f>
        <v>91.316000000000003</v>
      </c>
      <c r="C183" s="6">
        <f>(References!AD23*B183)/3.6</f>
        <v>6.6965066666666671</v>
      </c>
      <c r="D183" s="6">
        <v>34.5</v>
      </c>
      <c r="E183" s="6">
        <v>22.5</v>
      </c>
      <c r="F183" s="6">
        <v>1.8136751999999999E-2</v>
      </c>
      <c r="G183" s="6">
        <f t="shared" si="19"/>
        <v>8.4803099999999996E-3</v>
      </c>
      <c r="H183" s="6">
        <f t="shared" si="17"/>
        <v>99.001154560000003</v>
      </c>
      <c r="I183" s="15">
        <f t="shared" si="18"/>
        <v>193.99328468784</v>
      </c>
    </row>
    <row r="184" spans="1:9" ht="15.75" thickBot="1" x14ac:dyDescent="0.3">
      <c r="A184" s="8" t="s">
        <v>205</v>
      </c>
      <c r="B184" s="6">
        <f>References!AE24*4</f>
        <v>9.66</v>
      </c>
      <c r="C184" s="6">
        <f>(References!AD24*B184)/3.6</f>
        <v>0.68022499999999997</v>
      </c>
      <c r="D184" s="6">
        <v>34.5</v>
      </c>
      <c r="E184" s="6">
        <v>24</v>
      </c>
      <c r="F184" s="6">
        <v>1.8136751999999999E-2</v>
      </c>
      <c r="G184" s="6">
        <f t="shared" si="19"/>
        <v>9.2932350000000004E-3</v>
      </c>
      <c r="H184" s="6">
        <f t="shared" si="17"/>
        <v>8.7993905999999988</v>
      </c>
      <c r="I184" s="15">
        <f t="shared" si="18"/>
        <v>18.046744053974997</v>
      </c>
    </row>
    <row r="185" spans="1:9" ht="15.75" thickBot="1" x14ac:dyDescent="0.3">
      <c r="A185" s="8" t="s">
        <v>177</v>
      </c>
      <c r="B185" s="6">
        <f>References!AE25*4</f>
        <v>19.147600000000001</v>
      </c>
      <c r="C185" s="6">
        <f>(References!AD25*B185)/3.6</f>
        <v>1.3483101666666666</v>
      </c>
      <c r="D185" s="6">
        <v>34.5</v>
      </c>
      <c r="E185" s="6">
        <v>24</v>
      </c>
      <c r="F185" s="6">
        <v>1.8136751999999999E-2</v>
      </c>
      <c r="G185" s="6">
        <f t="shared" si="19"/>
        <v>9.2932350000000004E-3</v>
      </c>
      <c r="H185" s="6">
        <f t="shared" si="17"/>
        <v>17.441740316000001</v>
      </c>
      <c r="I185" s="15">
        <f t="shared" si="18"/>
        <v>35.771411640568495</v>
      </c>
    </row>
    <row r="186" spans="1:9" ht="15.75" thickBot="1" x14ac:dyDescent="0.3">
      <c r="A186" s="8" t="s">
        <v>178</v>
      </c>
      <c r="B186" s="6">
        <f>References!AE26*4</f>
        <v>9.8323999999999998</v>
      </c>
      <c r="C186" s="6">
        <f>(References!AD26*B186)/3.6</f>
        <v>0.69236483333333332</v>
      </c>
      <c r="D186" s="6">
        <v>34.5</v>
      </c>
      <c r="E186" s="6">
        <v>24</v>
      </c>
      <c r="F186" s="6">
        <v>1.8136751999999999E-2</v>
      </c>
      <c r="G186" s="6">
        <f t="shared" si="19"/>
        <v>9.2932350000000004E-3</v>
      </c>
      <c r="H186" s="6">
        <f t="shared" si="17"/>
        <v>8.9564314839999994</v>
      </c>
      <c r="I186" s="15">
        <f t="shared" si="18"/>
        <v>18.368820521356497</v>
      </c>
    </row>
    <row r="187" spans="1:9" ht="15.75" thickBot="1" x14ac:dyDescent="0.3">
      <c r="A187" s="8" t="s">
        <v>179</v>
      </c>
      <c r="B187" s="6">
        <f>References!AE27*4</f>
        <v>55.494</v>
      </c>
      <c r="C187" s="6">
        <f>(References!AD27*B187)/3.6</f>
        <v>4.0695600000000001</v>
      </c>
      <c r="D187" s="6">
        <v>34.5</v>
      </c>
      <c r="E187" s="6">
        <v>22.5</v>
      </c>
      <c r="F187" s="6">
        <v>1.8136751999999999E-2</v>
      </c>
      <c r="G187" s="6">
        <f t="shared" si="19"/>
        <v>8.4803099999999996E-3</v>
      </c>
      <c r="H187" s="6">
        <f t="shared" si="17"/>
        <v>60.164375039999996</v>
      </c>
      <c r="I187" s="15">
        <f t="shared" si="18"/>
        <v>117.89241031656</v>
      </c>
    </row>
    <row r="188" spans="1:9" ht="15.75" thickBot="1" x14ac:dyDescent="0.3">
      <c r="A188" s="8" t="s">
        <v>214</v>
      </c>
      <c r="B188" s="6">
        <f>References!AE28*4</f>
        <v>10.47</v>
      </c>
      <c r="C188" s="6">
        <f>(References!AD28*B188)/3.6</f>
        <v>0.73726250000000004</v>
      </c>
      <c r="D188" s="6">
        <v>34.5</v>
      </c>
      <c r="E188" s="6">
        <v>24</v>
      </c>
      <c r="F188" s="6">
        <v>1.8136751999999999E-2</v>
      </c>
      <c r="G188" s="6">
        <f t="shared" si="19"/>
        <v>9.2932350000000004E-3</v>
      </c>
      <c r="H188" s="6">
        <f t="shared" si="17"/>
        <v>9.5372277000000008</v>
      </c>
      <c r="I188" s="15">
        <f t="shared" si="18"/>
        <v>19.559980356637496</v>
      </c>
    </row>
    <row r="189" spans="1:9" ht="15.75" thickBot="1" x14ac:dyDescent="0.3">
      <c r="A189" s="8" t="s">
        <v>180</v>
      </c>
      <c r="B189" s="6">
        <f>References!AE29*4</f>
        <v>55.571199999999997</v>
      </c>
      <c r="C189" s="6">
        <f>(References!AD29*B189)/3.6</f>
        <v>4.0752213333333334</v>
      </c>
      <c r="D189" s="6">
        <v>34.5</v>
      </c>
      <c r="E189" s="6">
        <v>22.5</v>
      </c>
      <c r="F189" s="6">
        <v>1.8136751999999999E-2</v>
      </c>
      <c r="G189" s="6">
        <f t="shared" si="19"/>
        <v>8.4803099999999996E-3</v>
      </c>
      <c r="H189" s="6">
        <f t="shared" si="17"/>
        <v>60.248072191999995</v>
      </c>
      <c r="I189" s="15">
        <f t="shared" si="18"/>
        <v>118.056415327488</v>
      </c>
    </row>
    <row r="190" spans="1:9" ht="15.75" thickBot="1" x14ac:dyDescent="0.3">
      <c r="A190" s="8" t="s">
        <v>215</v>
      </c>
      <c r="B190" s="6">
        <f>References!AE30*4</f>
        <v>10.47</v>
      </c>
      <c r="C190" s="6">
        <f>(References!AD30*B190)/3.6</f>
        <v>0.73726250000000004</v>
      </c>
      <c r="D190" s="6">
        <v>34.5</v>
      </c>
      <c r="E190" s="6">
        <v>24</v>
      </c>
      <c r="F190" s="6">
        <v>1.8136751999999999E-2</v>
      </c>
      <c r="G190" s="6">
        <f t="shared" si="19"/>
        <v>9.2932350000000004E-3</v>
      </c>
      <c r="H190" s="6">
        <f t="shared" si="17"/>
        <v>9.5372277000000008</v>
      </c>
      <c r="I190" s="15">
        <f t="shared" si="18"/>
        <v>19.559980356637496</v>
      </c>
    </row>
    <row r="191" spans="1:9" ht="15.75" thickBot="1" x14ac:dyDescent="0.3">
      <c r="A191" s="8" t="s">
        <v>181</v>
      </c>
      <c r="B191" s="6">
        <f>References!AE31*4</f>
        <v>40.686399999999999</v>
      </c>
      <c r="C191" s="6">
        <f>(References!AD31*B191)/3.6</f>
        <v>2.9836693333333333</v>
      </c>
      <c r="D191" s="6">
        <v>34.5</v>
      </c>
      <c r="E191" s="6">
        <v>22.5</v>
      </c>
      <c r="F191" s="6">
        <v>1.8136751999999999E-2</v>
      </c>
      <c r="G191" s="6">
        <f t="shared" si="19"/>
        <v>8.4803099999999996E-3</v>
      </c>
      <c r="H191" s="6">
        <f t="shared" si="17"/>
        <v>44.110567423999996</v>
      </c>
      <c r="I191" s="15">
        <f t="shared" si="18"/>
        <v>86.434889593535999</v>
      </c>
    </row>
    <row r="192" spans="1:9" ht="15.75" thickBot="1" x14ac:dyDescent="0.3">
      <c r="A192" s="8" t="s">
        <v>216</v>
      </c>
      <c r="B192" s="6">
        <f>References!AE32*4</f>
        <v>10.485200000000001</v>
      </c>
      <c r="C192" s="6">
        <f>(References!AD32*B192)/3.6</f>
        <v>0.73833283333333333</v>
      </c>
      <c r="D192" s="6">
        <v>34.5</v>
      </c>
      <c r="E192" s="6">
        <v>24</v>
      </c>
      <c r="F192" s="6">
        <v>1.8136751999999999E-2</v>
      </c>
      <c r="G192" s="6">
        <f t="shared" si="19"/>
        <v>9.2932350000000004E-3</v>
      </c>
      <c r="H192" s="6">
        <f t="shared" si="17"/>
        <v>9.5510735320000002</v>
      </c>
      <c r="I192" s="15">
        <f>3000*C192*(F192-G192)</f>
        <v>19.588376889724497</v>
      </c>
    </row>
    <row r="193" spans="1:9" ht="15.75" thickBot="1" x14ac:dyDescent="0.3">
      <c r="A193" s="8" t="s">
        <v>183</v>
      </c>
      <c r="B193" s="6">
        <f>References!AE33*4</f>
        <v>63.447600000000001</v>
      </c>
      <c r="C193" s="6">
        <f>(References!AD33*B193)/3.6</f>
        <v>4.6528239999999998</v>
      </c>
      <c r="D193" s="6">
        <v>34.5</v>
      </c>
      <c r="E193" s="6">
        <v>22.5</v>
      </c>
      <c r="F193" s="6">
        <v>1.8136751999999999E-2</v>
      </c>
      <c r="G193" s="6">
        <f t="shared" si="19"/>
        <v>8.4803099999999996E-3</v>
      </c>
      <c r="H193" s="6">
        <f t="shared" si="17"/>
        <v>68.787350015999991</v>
      </c>
      <c r="I193" s="15">
        <f t="shared" si="18"/>
        <v>134.78917527662398</v>
      </c>
    </row>
    <row r="194" spans="1:9" ht="15.75" thickBot="1" x14ac:dyDescent="0.3">
      <c r="A194" s="8" t="s">
        <v>217</v>
      </c>
      <c r="B194" s="6">
        <f>References!AE34*4</f>
        <v>10.56</v>
      </c>
      <c r="C194" s="6">
        <f>(References!AD34*B194)/3.6</f>
        <v>0.74360000000000004</v>
      </c>
      <c r="D194" s="6">
        <v>34.5</v>
      </c>
      <c r="E194" s="6">
        <v>24</v>
      </c>
      <c r="F194" s="6">
        <v>1.8136751999999999E-2</v>
      </c>
      <c r="G194" s="6">
        <f t="shared" si="19"/>
        <v>9.2932350000000004E-3</v>
      </c>
      <c r="H194" s="6">
        <f t="shared" si="17"/>
        <v>9.6192095999999996</v>
      </c>
      <c r="I194" s="15">
        <f t="shared" si="18"/>
        <v>19.728117723599997</v>
      </c>
    </row>
    <row r="195" spans="1:9" ht="15.75" thickBot="1" x14ac:dyDescent="0.3">
      <c r="A195" s="8" t="s">
        <v>187</v>
      </c>
      <c r="B195" s="6">
        <f>References!AE35*4</f>
        <v>63.447600000000001</v>
      </c>
      <c r="C195" s="6">
        <f>(References!AD35*B195)/3.6</f>
        <v>4.6528239999999998</v>
      </c>
      <c r="D195" s="6">
        <v>34.5</v>
      </c>
      <c r="E195" s="6">
        <v>22.5</v>
      </c>
      <c r="F195" s="6">
        <v>1.8136751999999999E-2</v>
      </c>
      <c r="G195" s="6">
        <f t="shared" si="19"/>
        <v>8.4803099999999996E-3</v>
      </c>
      <c r="H195" s="6">
        <f t="shared" si="17"/>
        <v>68.787350015999991</v>
      </c>
      <c r="I195" s="15">
        <f t="shared" si="18"/>
        <v>134.78917527662398</v>
      </c>
    </row>
    <row r="196" spans="1:9" ht="15.75" thickBot="1" x14ac:dyDescent="0.3">
      <c r="A196" s="8" t="s">
        <v>221</v>
      </c>
      <c r="B196" s="6">
        <f>References!AE36*4</f>
        <v>10.56</v>
      </c>
      <c r="C196" s="6">
        <f>(References!AD36*B196)/3.6</f>
        <v>0.74360000000000004</v>
      </c>
      <c r="D196" s="6">
        <v>34.5</v>
      </c>
      <c r="E196" s="6">
        <v>24</v>
      </c>
      <c r="F196" s="6">
        <v>1.8136751999999999E-2</v>
      </c>
      <c r="G196" s="6">
        <f t="shared" si="19"/>
        <v>9.2932350000000004E-3</v>
      </c>
      <c r="H196" s="6">
        <f t="shared" si="17"/>
        <v>9.6192095999999996</v>
      </c>
      <c r="I196" s="15">
        <f t="shared" si="18"/>
        <v>19.728117723599997</v>
      </c>
    </row>
    <row r="197" spans="1:9" ht="15.75" thickBot="1" x14ac:dyDescent="0.3">
      <c r="A197" s="8" t="s">
        <v>184</v>
      </c>
      <c r="B197" s="6">
        <f>References!AE37*4</f>
        <v>99.132000000000005</v>
      </c>
      <c r="C197" s="6">
        <f>(References!AD37*B197)/3.6</f>
        <v>7.269680000000001</v>
      </c>
      <c r="D197" s="6">
        <v>34.5</v>
      </c>
      <c r="E197" s="6">
        <v>22.5</v>
      </c>
      <c r="F197" s="6">
        <v>1.8136751999999999E-2</v>
      </c>
      <c r="G197" s="6">
        <f t="shared" si="19"/>
        <v>8.4803099999999996E-3</v>
      </c>
      <c r="H197" s="6">
        <f t="shared" si="17"/>
        <v>107.47494912000001</v>
      </c>
      <c r="I197" s="15">
        <f t="shared" si="18"/>
        <v>210.59772983568004</v>
      </c>
    </row>
    <row r="198" spans="1:9" ht="15.75" thickBot="1" x14ac:dyDescent="0.3">
      <c r="A198" s="8" t="s">
        <v>219</v>
      </c>
      <c r="B198" s="6">
        <f>References!AE38*4</f>
        <v>10.56</v>
      </c>
      <c r="C198" s="6">
        <f>(References!AD38*B198)/3.6</f>
        <v>0.74360000000000004</v>
      </c>
      <c r="D198" s="6">
        <v>34.5</v>
      </c>
      <c r="E198" s="6">
        <v>24</v>
      </c>
      <c r="F198" s="6">
        <v>1.8136751999999999E-2</v>
      </c>
      <c r="G198" s="6">
        <f t="shared" si="19"/>
        <v>9.2932350000000004E-3</v>
      </c>
      <c r="H198" s="6">
        <f t="shared" si="17"/>
        <v>9.6192095999999996</v>
      </c>
      <c r="I198" s="15">
        <f t="shared" si="18"/>
        <v>19.728117723599997</v>
      </c>
    </row>
    <row r="199" spans="1:9" ht="15.75" thickBot="1" x14ac:dyDescent="0.3">
      <c r="A199" s="8" t="s">
        <v>186</v>
      </c>
      <c r="B199" s="6">
        <f>References!AE39*4</f>
        <v>99.563599999999994</v>
      </c>
      <c r="C199" s="6">
        <f>(References!AD39*B199)/3.6</f>
        <v>7.301330666666666</v>
      </c>
      <c r="D199" s="6">
        <v>34.5</v>
      </c>
      <c r="E199" s="6">
        <v>22.5</v>
      </c>
      <c r="F199" s="6">
        <v>1.8136751999999999E-2</v>
      </c>
      <c r="G199" s="6">
        <f t="shared" si="19"/>
        <v>8.4803099999999996E-3</v>
      </c>
      <c r="H199" s="6">
        <f t="shared" si="17"/>
        <v>107.94287257599998</v>
      </c>
      <c r="I199" s="15">
        <f t="shared" si="18"/>
        <v>211.51462831646398</v>
      </c>
    </row>
    <row r="200" spans="1:9" ht="15.75" thickBot="1" x14ac:dyDescent="0.3">
      <c r="A200" s="8" t="s">
        <v>220</v>
      </c>
      <c r="B200" s="6">
        <f>References!AE40*4</f>
        <v>10.56</v>
      </c>
      <c r="C200" s="6">
        <f>(References!AD40*B200)/3.6</f>
        <v>0.74360000000000004</v>
      </c>
      <c r="D200" s="6">
        <v>34.5</v>
      </c>
      <c r="E200" s="6">
        <v>24</v>
      </c>
      <c r="F200" s="6">
        <v>1.8136751999999999E-2</v>
      </c>
      <c r="G200" s="6">
        <f t="shared" si="19"/>
        <v>9.2932350000000004E-3</v>
      </c>
      <c r="H200" s="6">
        <f t="shared" si="17"/>
        <v>9.6192095999999996</v>
      </c>
      <c r="I200" s="15">
        <f t="shared" si="18"/>
        <v>19.728117723599997</v>
      </c>
    </row>
    <row r="201" spans="1:9" ht="15.75" thickBot="1" x14ac:dyDescent="0.3">
      <c r="A201" s="8" t="s">
        <v>190</v>
      </c>
      <c r="B201" s="6">
        <f>References!AE41*4</f>
        <v>54.725200000000001</v>
      </c>
      <c r="C201" s="6">
        <f>(References!AD41*B201)/3.6</f>
        <v>4.0131813333333337</v>
      </c>
      <c r="D201" s="6">
        <v>34.5</v>
      </c>
      <c r="E201" s="6">
        <v>22.5</v>
      </c>
      <c r="F201" s="6">
        <v>1.8136751999999999E-2</v>
      </c>
      <c r="G201" s="6">
        <f t="shared" si="19"/>
        <v>8.4803099999999996E-3</v>
      </c>
      <c r="H201" s="6">
        <f t="shared" si="17"/>
        <v>59.330872832000004</v>
      </c>
      <c r="I201" s="15">
        <f t="shared" si="18"/>
        <v>116.259158342448</v>
      </c>
    </row>
    <row r="202" spans="1:9" ht="15.75" thickBot="1" x14ac:dyDescent="0.3">
      <c r="A202" s="8" t="s">
        <v>224</v>
      </c>
      <c r="B202" s="6">
        <f>References!AE42*4</f>
        <v>10.56</v>
      </c>
      <c r="C202" s="6">
        <f>(References!AD42*B202)/3.6</f>
        <v>0.74360000000000004</v>
      </c>
      <c r="D202" s="6">
        <v>34.5</v>
      </c>
      <c r="E202" s="6">
        <v>24</v>
      </c>
      <c r="F202" s="6">
        <v>1.8136751999999999E-2</v>
      </c>
      <c r="G202" s="6">
        <f>_xlfn.IFS(E202=22.5,0.00848031,E202=24,0.009293235,E202=22,0.00821976)</f>
        <v>9.2932350000000004E-3</v>
      </c>
      <c r="H202" s="6">
        <f t="shared" si="17"/>
        <v>9.6192095999999996</v>
      </c>
      <c r="I202" s="15">
        <f t="shared" si="18"/>
        <v>19.728117723599997</v>
      </c>
    </row>
    <row r="203" spans="1:9" ht="15.75" thickBot="1" x14ac:dyDescent="0.3">
      <c r="A203" s="8" t="s">
        <v>191</v>
      </c>
      <c r="B203" s="6">
        <f>References!AE43*4</f>
        <v>55.004800000000003</v>
      </c>
      <c r="C203" s="6">
        <f>(References!AD43*B203)/3.6</f>
        <v>4.0336853333333336</v>
      </c>
      <c r="D203" s="6">
        <v>34.5</v>
      </c>
      <c r="E203" s="6">
        <v>22.5</v>
      </c>
      <c r="F203" s="6">
        <v>1.8136751999999999E-2</v>
      </c>
      <c r="G203" s="6">
        <f t="shared" si="19"/>
        <v>8.4803099999999996E-3</v>
      </c>
      <c r="H203" s="6">
        <f t="shared" si="17"/>
        <v>59.634003968000002</v>
      </c>
      <c r="I203" s="15">
        <f t="shared" si="18"/>
        <v>116.85314540275199</v>
      </c>
    </row>
    <row r="204" spans="1:9" ht="15.75" thickBot="1" x14ac:dyDescent="0.3">
      <c r="A204" s="8" t="s">
        <v>225</v>
      </c>
      <c r="B204" s="6">
        <f>References!AE44*4</f>
        <v>10.56</v>
      </c>
      <c r="C204" s="6">
        <f>(References!AD44*B204)/3.6</f>
        <v>0.74360000000000004</v>
      </c>
      <c r="D204" s="6">
        <v>34.5</v>
      </c>
      <c r="E204" s="6">
        <v>24</v>
      </c>
      <c r="F204" s="6">
        <v>1.8136751999999999E-2</v>
      </c>
      <c r="G204" s="6">
        <f t="shared" si="19"/>
        <v>9.2932350000000004E-3</v>
      </c>
      <c r="H204" s="6">
        <f t="shared" si="17"/>
        <v>9.6192095999999996</v>
      </c>
      <c r="I204" s="15">
        <f t="shared" si="18"/>
        <v>19.728117723599997</v>
      </c>
    </row>
    <row r="205" spans="1:9" ht="15.75" thickBot="1" x14ac:dyDescent="0.3">
      <c r="A205" s="8" t="s">
        <v>307</v>
      </c>
      <c r="B205" s="6">
        <f>References!AE45*4</f>
        <v>64.044799999999995</v>
      </c>
      <c r="C205" s="6">
        <f>(References!AD45*B205)/3.6</f>
        <v>4.6966186666666667</v>
      </c>
      <c r="D205" s="6">
        <v>34.5</v>
      </c>
      <c r="E205" s="6">
        <v>22.5</v>
      </c>
      <c r="F205" s="6">
        <v>1.8136751999999999E-2</v>
      </c>
      <c r="G205" s="6">
        <f t="shared" si="19"/>
        <v>8.4803099999999996E-3</v>
      </c>
      <c r="H205" s="6">
        <f t="shared" si="17"/>
        <v>69.434810368000001</v>
      </c>
      <c r="I205" s="15">
        <f t="shared" si="18"/>
        <v>136.057877252352</v>
      </c>
    </row>
    <row r="206" spans="1:9" ht="15.75" thickBot="1" x14ac:dyDescent="0.3">
      <c r="A206" s="8" t="s">
        <v>329</v>
      </c>
      <c r="B206" s="6">
        <f>References!AE46*4</f>
        <v>10.56</v>
      </c>
      <c r="C206" s="6">
        <f>(References!AD46*B206)/3.6</f>
        <v>0.74360000000000004</v>
      </c>
      <c r="D206" s="6">
        <v>34.5</v>
      </c>
      <c r="E206" s="6">
        <v>24</v>
      </c>
      <c r="F206" s="6">
        <v>1.8136751999999999E-2</v>
      </c>
      <c r="G206" s="6">
        <f t="shared" si="19"/>
        <v>9.2932350000000004E-3</v>
      </c>
      <c r="H206" s="6">
        <f t="shared" si="17"/>
        <v>9.6192095999999996</v>
      </c>
      <c r="I206" s="15">
        <f t="shared" si="18"/>
        <v>19.728117723599997</v>
      </c>
    </row>
    <row r="207" spans="1:9" ht="15.75" thickBot="1" x14ac:dyDescent="0.3">
      <c r="A207" s="8" t="s">
        <v>308</v>
      </c>
      <c r="B207" s="6">
        <f>References!AE47*4</f>
        <v>64.044799999999995</v>
      </c>
      <c r="C207" s="6">
        <f>(References!AD47*B207)/3.6</f>
        <v>4.6966186666666667</v>
      </c>
      <c r="D207" s="6">
        <v>34.5</v>
      </c>
      <c r="E207" s="6">
        <v>22.5</v>
      </c>
      <c r="F207" s="6">
        <v>1.8136751999999999E-2</v>
      </c>
      <c r="G207" s="6">
        <f t="shared" si="19"/>
        <v>8.4803099999999996E-3</v>
      </c>
      <c r="H207" s="6">
        <f t="shared" si="17"/>
        <v>69.434810368000001</v>
      </c>
      <c r="I207" s="15">
        <f t="shared" si="18"/>
        <v>136.057877252352</v>
      </c>
    </row>
    <row r="208" spans="1:9" ht="15.75" thickBot="1" x14ac:dyDescent="0.3">
      <c r="A208" s="8" t="s">
        <v>330</v>
      </c>
      <c r="B208" s="6">
        <f>References!AE48*4</f>
        <v>10.56</v>
      </c>
      <c r="C208" s="6">
        <f>(References!AD48*B208)/3.6</f>
        <v>0.74360000000000004</v>
      </c>
      <c r="D208" s="6">
        <v>34.5</v>
      </c>
      <c r="E208" s="6">
        <v>24</v>
      </c>
      <c r="F208" s="6">
        <v>1.8136751999999999E-2</v>
      </c>
      <c r="G208" s="6">
        <f t="shared" si="19"/>
        <v>9.2932350000000004E-3</v>
      </c>
      <c r="H208" s="6">
        <f t="shared" si="17"/>
        <v>9.6192095999999996</v>
      </c>
      <c r="I208" s="15">
        <f t="shared" si="18"/>
        <v>19.728117723599997</v>
      </c>
    </row>
    <row r="209" spans="1:9" ht="15.75" thickBot="1" x14ac:dyDescent="0.3">
      <c r="A209" s="8" t="s">
        <v>185</v>
      </c>
      <c r="B209" s="6">
        <f>References!AE49*4</f>
        <v>35.860399999999998</v>
      </c>
      <c r="C209" s="6">
        <f>(References!AD49*B209)/3.6</f>
        <v>2.6297626666666667</v>
      </c>
      <c r="D209" s="6">
        <v>34.5</v>
      </c>
      <c r="E209" s="6">
        <v>22.5</v>
      </c>
      <c r="F209" s="6">
        <v>1.8136751999999999E-2</v>
      </c>
      <c r="G209" s="6">
        <f t="shared" si="19"/>
        <v>8.4803099999999996E-3</v>
      </c>
      <c r="H209" s="6">
        <f t="shared" si="17"/>
        <v>38.878411264</v>
      </c>
      <c r="I209" s="15">
        <f>3000*C209*(F209-G209)</f>
        <v>76.182451993295999</v>
      </c>
    </row>
    <row r="210" spans="1:9" ht="15.75" thickBot="1" x14ac:dyDescent="0.3">
      <c r="A210" s="8" t="s">
        <v>309</v>
      </c>
      <c r="B210" s="6">
        <f>References!AE50*4</f>
        <v>55.004800000000003</v>
      </c>
      <c r="C210" s="6">
        <f>(References!AD50*B210)/3.6</f>
        <v>4.0336853333333336</v>
      </c>
      <c r="D210" s="6">
        <v>34.5</v>
      </c>
      <c r="E210" s="6">
        <v>22.5</v>
      </c>
      <c r="F210" s="6">
        <v>1.8136751999999999E-2</v>
      </c>
      <c r="G210" s="6">
        <f t="shared" si="19"/>
        <v>8.4803099999999996E-3</v>
      </c>
      <c r="H210" s="6">
        <f t="shared" si="17"/>
        <v>59.634003968000002</v>
      </c>
      <c r="I210" s="15">
        <f t="shared" si="18"/>
        <v>116.85314540275199</v>
      </c>
    </row>
    <row r="211" spans="1:9" ht="15.75" thickBot="1" x14ac:dyDescent="0.3">
      <c r="A211" s="8" t="s">
        <v>331</v>
      </c>
      <c r="B211" s="6">
        <f>References!AE51*4</f>
        <v>10.56</v>
      </c>
      <c r="C211" s="6">
        <f>(References!AD51*B211)/3.6</f>
        <v>0.74360000000000004</v>
      </c>
      <c r="D211" s="6">
        <v>34.5</v>
      </c>
      <c r="E211" s="6">
        <v>24</v>
      </c>
      <c r="F211" s="6">
        <v>1.8136751999999999E-2</v>
      </c>
      <c r="G211" s="6">
        <f t="shared" si="19"/>
        <v>9.2932350000000004E-3</v>
      </c>
      <c r="H211" s="6">
        <f>1.232*(D211-E211)*C211</f>
        <v>9.6192095999999996</v>
      </c>
      <c r="I211" s="15">
        <f t="shared" si="18"/>
        <v>19.728117723599997</v>
      </c>
    </row>
    <row r="212" spans="1:9" ht="15.75" thickBot="1" x14ac:dyDescent="0.3">
      <c r="A212" s="8" t="s">
        <v>310</v>
      </c>
      <c r="B212" s="6">
        <f>References!AE52*4</f>
        <v>55.004800000000003</v>
      </c>
      <c r="C212" s="6">
        <f>(References!AD52*B212)/3.6</f>
        <v>4.0336853333333336</v>
      </c>
      <c r="D212" s="6">
        <v>34.5</v>
      </c>
      <c r="E212" s="6">
        <v>22.5</v>
      </c>
      <c r="F212" s="6">
        <v>1.8136751999999999E-2</v>
      </c>
      <c r="G212" s="6">
        <f t="shared" si="19"/>
        <v>8.4803099999999996E-3</v>
      </c>
      <c r="H212" s="6">
        <f t="shared" si="17"/>
        <v>59.634003968000002</v>
      </c>
      <c r="I212" s="15">
        <f t="shared" si="18"/>
        <v>116.85314540275199</v>
      </c>
    </row>
    <row r="213" spans="1:9" ht="15.75" thickBot="1" x14ac:dyDescent="0.3">
      <c r="A213" s="8" t="s">
        <v>332</v>
      </c>
      <c r="B213" s="6">
        <f>References!AE53*4</f>
        <v>10.56</v>
      </c>
      <c r="C213" s="6">
        <f>(References!AD53*B213)/3.6</f>
        <v>0.74360000000000004</v>
      </c>
      <c r="D213" s="6">
        <v>34.5</v>
      </c>
      <c r="E213" s="6">
        <v>24</v>
      </c>
      <c r="F213" s="6">
        <v>1.8136751999999999E-2</v>
      </c>
      <c r="G213" s="6">
        <f t="shared" si="19"/>
        <v>9.2932350000000004E-3</v>
      </c>
      <c r="H213" s="6">
        <f t="shared" si="17"/>
        <v>9.6192095999999996</v>
      </c>
      <c r="I213" s="15">
        <f t="shared" si="18"/>
        <v>19.728117723599997</v>
      </c>
    </row>
    <row r="214" spans="1:9" ht="15.75" thickBot="1" x14ac:dyDescent="0.3">
      <c r="A214" s="8" t="s">
        <v>311</v>
      </c>
      <c r="B214" s="6">
        <f>References!AE54*4</f>
        <v>93.931600000000003</v>
      </c>
      <c r="C214" s="6">
        <f>(References!AD54*B214)/3.6</f>
        <v>6.8883173333333341</v>
      </c>
      <c r="D214" s="6">
        <v>34.5</v>
      </c>
      <c r="E214" s="6">
        <v>22.5</v>
      </c>
      <c r="F214" s="6">
        <v>1.8136751999999999E-2</v>
      </c>
      <c r="G214" s="6">
        <f t="shared" si="19"/>
        <v>8.4803099999999996E-3</v>
      </c>
      <c r="H214" s="6">
        <f t="shared" si="17"/>
        <v>101.83688345600001</v>
      </c>
      <c r="I214" s="15">
        <f t="shared" si="18"/>
        <v>199.54991042078399</v>
      </c>
    </row>
    <row r="215" spans="1:9" ht="15.75" thickBot="1" x14ac:dyDescent="0.3">
      <c r="A215" s="8" t="s">
        <v>312</v>
      </c>
      <c r="B215" s="6">
        <f>References!AE55*4</f>
        <v>43.028799999999997</v>
      </c>
      <c r="C215" s="6">
        <f>(References!AD55*B215)/3.6</f>
        <v>3.1554453333333332</v>
      </c>
      <c r="D215" s="6">
        <v>34.5</v>
      </c>
      <c r="E215" s="6">
        <v>22.5</v>
      </c>
      <c r="F215" s="6">
        <v>1.8136751999999999E-2</v>
      </c>
      <c r="G215" s="6">
        <f t="shared" si="19"/>
        <v>8.4803099999999996E-3</v>
      </c>
      <c r="H215" s="6">
        <f t="shared" si="17"/>
        <v>46.650103807999997</v>
      </c>
      <c r="I215" s="15">
        <f t="shared" si="18"/>
        <v>91.411124536511991</v>
      </c>
    </row>
    <row r="216" spans="1:9" ht="15.75" thickBot="1" x14ac:dyDescent="0.3">
      <c r="A216" s="8" t="s">
        <v>333</v>
      </c>
      <c r="B216" s="6">
        <f>References!AE56*4</f>
        <v>10.56</v>
      </c>
      <c r="C216" s="6">
        <f>(References!AD56*B216)/3.6</f>
        <v>0.74360000000000004</v>
      </c>
      <c r="D216" s="6">
        <v>34.5</v>
      </c>
      <c r="E216" s="6">
        <v>24</v>
      </c>
      <c r="F216" s="6">
        <v>1.8136751999999999E-2</v>
      </c>
      <c r="G216" s="6">
        <f t="shared" si="19"/>
        <v>9.2932350000000004E-3</v>
      </c>
      <c r="H216" s="6">
        <f t="shared" si="17"/>
        <v>9.6192095999999996</v>
      </c>
      <c r="I216" s="15">
        <f t="shared" si="18"/>
        <v>19.728117723599997</v>
      </c>
    </row>
    <row r="217" spans="1:9" ht="15.75" thickBot="1" x14ac:dyDescent="0.3">
      <c r="A217" s="8" t="s">
        <v>313</v>
      </c>
      <c r="B217" s="6">
        <f>References!AE57*4</f>
        <v>45.26</v>
      </c>
      <c r="C217" s="6">
        <f>(References!AD57*B217)/3.6</f>
        <v>3.3190666666666662</v>
      </c>
      <c r="D217" s="6">
        <v>34.5</v>
      </c>
      <c r="E217" s="6">
        <v>22.5</v>
      </c>
      <c r="F217" s="6">
        <v>1.8136751999999999E-2</v>
      </c>
      <c r="G217" s="6">
        <f t="shared" si="19"/>
        <v>8.4803099999999996E-3</v>
      </c>
      <c r="H217" s="6">
        <f t="shared" si="17"/>
        <v>49.06908159999999</v>
      </c>
      <c r="I217" s="15">
        <f t="shared" si="18"/>
        <v>96.151124282399991</v>
      </c>
    </row>
    <row r="218" spans="1:9" ht="15.75" thickBot="1" x14ac:dyDescent="0.3">
      <c r="A218" s="8" t="s">
        <v>334</v>
      </c>
      <c r="B218" s="6">
        <f>References!AE58*4</f>
        <v>10.56</v>
      </c>
      <c r="C218" s="6">
        <f>(References!AD58*B218)/3.6</f>
        <v>0.74360000000000004</v>
      </c>
      <c r="D218" s="6">
        <v>34.5</v>
      </c>
      <c r="E218" s="6">
        <v>24</v>
      </c>
      <c r="F218" s="6">
        <v>1.8136751999999999E-2</v>
      </c>
      <c r="G218" s="6">
        <f t="shared" si="19"/>
        <v>9.2932350000000004E-3</v>
      </c>
      <c r="H218" s="6">
        <f t="shared" si="17"/>
        <v>9.6192095999999996</v>
      </c>
      <c r="I218" s="15">
        <f t="shared" si="18"/>
        <v>19.728117723599997</v>
      </c>
    </row>
    <row r="219" spans="1:9" ht="15.75" thickBot="1" x14ac:dyDescent="0.3">
      <c r="A219" s="8" t="s">
        <v>314</v>
      </c>
      <c r="B219" s="6">
        <f>References!AE59*4</f>
        <v>53.233199999999997</v>
      </c>
      <c r="C219" s="6">
        <f>(References!AD59*B219)/3.6</f>
        <v>3.9037679999999999</v>
      </c>
      <c r="D219" s="6">
        <v>34.5</v>
      </c>
      <c r="E219" s="6">
        <v>22.5</v>
      </c>
      <c r="F219" s="6">
        <v>1.8136751999999999E-2</v>
      </c>
      <c r="G219" s="6">
        <f t="shared" si="19"/>
        <v>8.4803099999999996E-3</v>
      </c>
      <c r="H219" s="6">
        <f t="shared" si="17"/>
        <v>57.713306111999991</v>
      </c>
      <c r="I219" s="15">
        <f t="shared" si="18"/>
        <v>113.08952782036799</v>
      </c>
    </row>
    <row r="220" spans="1:9" ht="15.75" thickBot="1" x14ac:dyDescent="0.3">
      <c r="A220" s="8" t="s">
        <v>315</v>
      </c>
      <c r="B220" s="6">
        <f>References!AE60*4</f>
        <v>44.348799999999997</v>
      </c>
      <c r="C220" s="6">
        <f>(References!AD60*B220)/3.6</f>
        <v>3.2522453333333328</v>
      </c>
      <c r="D220" s="6">
        <v>34.5</v>
      </c>
      <c r="E220" s="6">
        <v>22.5</v>
      </c>
      <c r="F220" s="6">
        <v>1.8136751999999999E-2</v>
      </c>
      <c r="G220" s="6">
        <f t="shared" si="19"/>
        <v>8.4803099999999996E-3</v>
      </c>
      <c r="H220" s="6">
        <f t="shared" si="17"/>
        <v>48.081195007999987</v>
      </c>
      <c r="I220" s="15">
        <f t="shared" si="18"/>
        <v>94.215355293311987</v>
      </c>
    </row>
    <row r="221" spans="1:9" ht="15.75" thickBot="1" x14ac:dyDescent="0.3">
      <c r="A221" s="8" t="s">
        <v>316</v>
      </c>
      <c r="B221" s="6">
        <f>References!AE61*4</f>
        <v>33.1</v>
      </c>
      <c r="C221" s="6">
        <f>(References!AD61*B221)/3.6</f>
        <v>2.4273333333333333</v>
      </c>
      <c r="D221" s="6">
        <v>34.5</v>
      </c>
      <c r="E221" s="6">
        <v>22.5</v>
      </c>
      <c r="F221" s="6">
        <v>1.8136751999999999E-2</v>
      </c>
      <c r="G221" s="6">
        <f t="shared" si="19"/>
        <v>8.4803099999999996E-3</v>
      </c>
      <c r="H221" s="6">
        <f t="shared" si="17"/>
        <v>35.885695999999996</v>
      </c>
      <c r="I221" s="15">
        <f t="shared" si="18"/>
        <v>70.31821064399999</v>
      </c>
    </row>
    <row r="222" spans="1:9" ht="15.75" thickBot="1" x14ac:dyDescent="0.3">
      <c r="A222" s="8" t="s">
        <v>317</v>
      </c>
      <c r="B222" s="6">
        <f>References!AE62*4</f>
        <v>53.87</v>
      </c>
      <c r="C222" s="6">
        <f>(References!AD62*B222)/3.6</f>
        <v>3.9504666666666663</v>
      </c>
      <c r="D222" s="6">
        <v>34.5</v>
      </c>
      <c r="E222" s="6">
        <v>22.5</v>
      </c>
      <c r="F222" s="6">
        <v>1.8136751999999999E-2</v>
      </c>
      <c r="G222" s="6">
        <f t="shared" si="19"/>
        <v>8.4803099999999996E-3</v>
      </c>
      <c r="H222" s="6">
        <f t="shared" si="17"/>
        <v>58.403699199999991</v>
      </c>
      <c r="I222" s="15">
        <f t="shared" si="18"/>
        <v>114.44235671879999</v>
      </c>
    </row>
    <row r="223" spans="1:9" ht="15.75" thickBot="1" x14ac:dyDescent="0.3">
      <c r="A223" s="8" t="s">
        <v>318</v>
      </c>
      <c r="B223" s="6">
        <f>References!AE63*4</f>
        <v>735.77520000000004</v>
      </c>
      <c r="C223" s="6">
        <f>(References!AD63*B223)/3.6</f>
        <v>53.956848000000001</v>
      </c>
      <c r="D223" s="6">
        <v>34.5</v>
      </c>
      <c r="E223" s="6">
        <v>22.5</v>
      </c>
      <c r="F223" s="6">
        <v>1.8136751999999999E-2</v>
      </c>
      <c r="G223" s="6">
        <f t="shared" si="19"/>
        <v>8.4803099999999996E-3</v>
      </c>
      <c r="H223" s="6">
        <f t="shared" si="17"/>
        <v>797.69804083199995</v>
      </c>
      <c r="I223" s="15">
        <f t="shared" si="18"/>
        <v>1563.093519644448</v>
      </c>
    </row>
    <row r="224" spans="1:9" ht="15.75" thickBot="1" x14ac:dyDescent="0.3">
      <c r="A224" s="8" t="s">
        <v>319</v>
      </c>
      <c r="B224" s="6">
        <f>References!AE64*4</f>
        <v>235.44040000000001</v>
      </c>
      <c r="C224" s="6">
        <f>(References!AD64*B224)/3.6</f>
        <v>17.265629333333333</v>
      </c>
      <c r="D224" s="6">
        <v>34.5</v>
      </c>
      <c r="E224" s="6">
        <v>22.5</v>
      </c>
      <c r="F224" s="6">
        <v>1.8136751999999999E-2</v>
      </c>
      <c r="G224" s="6">
        <f t="shared" si="19"/>
        <v>8.4803099999999996E-3</v>
      </c>
      <c r="H224" s="6">
        <f t="shared" si="17"/>
        <v>255.25506406399998</v>
      </c>
      <c r="I224" s="15">
        <f t="shared" si="18"/>
        <v>500.17364475249599</v>
      </c>
    </row>
    <row r="225" spans="1:9" ht="15.75" thickBot="1" x14ac:dyDescent="0.3">
      <c r="A225" s="8" t="s">
        <v>59</v>
      </c>
      <c r="B225" s="6">
        <f>References!AE65*4</f>
        <v>69.780799999999999</v>
      </c>
      <c r="C225" s="6">
        <f>(References!AD65*B225)/3.6</f>
        <v>4.9137313333333328</v>
      </c>
      <c r="D225" s="6">
        <v>34.5</v>
      </c>
      <c r="E225" s="6">
        <v>24</v>
      </c>
      <c r="F225" s="6">
        <v>1.8136751999999999E-2</v>
      </c>
      <c r="G225" s="6">
        <f t="shared" si="19"/>
        <v>9.2932350000000004E-3</v>
      </c>
      <c r="H225" s="6">
        <f t="shared" si="17"/>
        <v>63.564028527999994</v>
      </c>
      <c r="I225" s="15">
        <f t="shared" si="18"/>
        <v>130.36399973929795</v>
      </c>
    </row>
    <row r="226" spans="1:9" ht="15.75" thickBot="1" x14ac:dyDescent="0.3">
      <c r="A226" s="8" t="s">
        <v>58</v>
      </c>
      <c r="B226" s="6">
        <f>References!AE66*4</f>
        <v>69.922399999999996</v>
      </c>
      <c r="C226" s="6">
        <f>(References!AD66*B226)/3.6</f>
        <v>4.923702333333333</v>
      </c>
      <c r="D226" s="6">
        <v>34.5</v>
      </c>
      <c r="E226" s="6">
        <v>24</v>
      </c>
      <c r="F226" s="6">
        <v>1.8136751999999999E-2</v>
      </c>
      <c r="G226" s="6">
        <f t="shared" si="19"/>
        <v>9.2932350000000004E-3</v>
      </c>
      <c r="H226" s="6">
        <f t="shared" si="17"/>
        <v>63.693013383999997</v>
      </c>
      <c r="I226" s="15">
        <f t="shared" si="18"/>
        <v>130.62853586331897</v>
      </c>
    </row>
    <row r="227" spans="1:9" ht="15.75" thickBot="1" x14ac:dyDescent="0.3">
      <c r="A227" s="8" t="s">
        <v>311</v>
      </c>
      <c r="B227" s="6">
        <f>References!AE67*4</f>
        <v>174.3656</v>
      </c>
      <c r="C227" s="6">
        <f>(References!AD67*B227)/3.6</f>
        <v>12.786810666666666</v>
      </c>
      <c r="D227" s="6">
        <v>34.5</v>
      </c>
      <c r="E227" s="6">
        <v>22.5</v>
      </c>
      <c r="F227" s="6">
        <v>1.8136751999999999E-2</v>
      </c>
      <c r="G227" s="6">
        <f>_xlfn.IFS(E227=22.5,0.00848031,E227=24,0.009293235,E227=22,0.00821976)</f>
        <v>8.4803099999999996E-3</v>
      </c>
      <c r="H227" s="6">
        <f t="shared" si="17"/>
        <v>189.04020889599997</v>
      </c>
      <c r="I227" s="15">
        <f t="shared" si="18"/>
        <v>370.42528670294399</v>
      </c>
    </row>
    <row r="228" spans="1:9" ht="15.75" thickBot="1" x14ac:dyDescent="0.3">
      <c r="A228" s="8" t="s">
        <v>73</v>
      </c>
      <c r="B228" s="6">
        <f>References!AE68*4</f>
        <v>43.602400000000003</v>
      </c>
      <c r="C228" s="6">
        <f>(References!AD68*B228)/3.6</f>
        <v>3.1975093333333335</v>
      </c>
      <c r="D228" s="6">
        <v>34.5</v>
      </c>
      <c r="E228" s="6">
        <v>22.5</v>
      </c>
      <c r="F228" s="6">
        <v>1.8136751999999999E-2</v>
      </c>
      <c r="G228" s="6">
        <f t="shared" si="19"/>
        <v>8.4803099999999996E-3</v>
      </c>
      <c r="H228" s="6">
        <f t="shared" si="17"/>
        <v>47.271977984000003</v>
      </c>
      <c r="I228" s="15">
        <f t="shared" si="18"/>
        <v>92.629690265375999</v>
      </c>
    </row>
    <row r="229" spans="1:9" ht="15.75" thickBot="1" x14ac:dyDescent="0.3">
      <c r="A229" s="8" t="s">
        <v>76</v>
      </c>
      <c r="B229" s="6">
        <f>References!AE69*4</f>
        <v>43.132399999999997</v>
      </c>
      <c r="C229" s="6">
        <f>(References!AD69*B229)/3.6</f>
        <v>3.1630426666666667</v>
      </c>
      <c r="D229" s="6">
        <v>34.5</v>
      </c>
      <c r="E229" s="6">
        <v>22.5</v>
      </c>
      <c r="F229" s="6">
        <v>1.8136751999999999E-2</v>
      </c>
      <c r="G229" s="6">
        <f t="shared" si="19"/>
        <v>8.4803099999999996E-3</v>
      </c>
      <c r="H229" s="6">
        <f t="shared" ref="H229:H231" si="20">1.232*(D229-E229)*C229</f>
        <v>46.762422783999995</v>
      </c>
      <c r="I229" s="15">
        <f t="shared" ref="I229:I233" si="21">3000*C229*(F229-G229)</f>
        <v>91.631214162576001</v>
      </c>
    </row>
    <row r="230" spans="1:9" ht="15.75" thickBot="1" x14ac:dyDescent="0.3">
      <c r="A230" s="8" t="s">
        <v>77</v>
      </c>
      <c r="B230" s="6">
        <f>References!AE70*4</f>
        <v>37.665199999999999</v>
      </c>
      <c r="C230" s="6">
        <f>(References!AD70*B230)/3.6</f>
        <v>2.7621146666666667</v>
      </c>
      <c r="D230" s="6">
        <v>34.5</v>
      </c>
      <c r="E230" s="6">
        <v>22.5</v>
      </c>
      <c r="F230" s="6">
        <v>1.8136751999999999E-2</v>
      </c>
      <c r="G230" s="6">
        <f t="shared" si="19"/>
        <v>8.4803099999999996E-3</v>
      </c>
      <c r="H230" s="6">
        <f t="shared" si="20"/>
        <v>40.835103231999994</v>
      </c>
      <c r="I230" s="15">
        <f t="shared" si="21"/>
        <v>80.016600228048006</v>
      </c>
    </row>
    <row r="231" spans="1:9" ht="15.75" thickBot="1" x14ac:dyDescent="0.3">
      <c r="A231" s="8" t="s">
        <v>320</v>
      </c>
      <c r="B231" s="6">
        <f>References!AE71*4</f>
        <v>107.9832</v>
      </c>
      <c r="C231" s="6">
        <f>(References!AD71*B231)/3.6</f>
        <v>7.918768</v>
      </c>
      <c r="D231" s="6">
        <v>34.5</v>
      </c>
      <c r="E231" s="6">
        <v>22.5</v>
      </c>
      <c r="F231" s="6">
        <v>1.8136751999999999E-2</v>
      </c>
      <c r="G231" s="6">
        <f t="shared" si="19"/>
        <v>8.4803099999999996E-3</v>
      </c>
      <c r="H231" s="6">
        <f t="shared" si="20"/>
        <v>117.071066112</v>
      </c>
      <c r="I231" s="15">
        <f t="shared" si="21"/>
        <v>229.40137171036798</v>
      </c>
    </row>
    <row r="232" spans="1:9" ht="15.75" thickBot="1" x14ac:dyDescent="0.3">
      <c r="A232" s="8" t="s">
        <v>335</v>
      </c>
      <c r="B232" s="6">
        <f>References!AE72*4</f>
        <v>10.56</v>
      </c>
      <c r="C232" s="6">
        <f>(References!AD72*B232)/3.6</f>
        <v>0.74360000000000004</v>
      </c>
      <c r="D232" s="6">
        <v>34.5</v>
      </c>
      <c r="E232" s="6">
        <v>24</v>
      </c>
      <c r="F232" s="6">
        <v>1.8136751999999999E-2</v>
      </c>
      <c r="G232" s="6">
        <f t="shared" si="19"/>
        <v>9.2932350000000004E-3</v>
      </c>
      <c r="H232" s="6">
        <f>1.232*(D232-E232)*C232</f>
        <v>9.6192095999999996</v>
      </c>
      <c r="I232" s="15">
        <f t="shared" si="21"/>
        <v>19.728117723599997</v>
      </c>
    </row>
    <row r="233" spans="1:9" ht="15.75" thickBot="1" x14ac:dyDescent="0.3">
      <c r="A233" s="23" t="s">
        <v>29</v>
      </c>
      <c r="B233" s="21">
        <f>References!AE73*4</f>
        <v>2512.0731999999998</v>
      </c>
      <c r="C233" s="21">
        <f>(References!AD73*B233)/3.6</f>
        <v>184.21870133333331</v>
      </c>
      <c r="D233" s="21">
        <v>34.5</v>
      </c>
      <c r="E233" s="21">
        <v>22.5</v>
      </c>
      <c r="F233" s="21">
        <v>1.8136751999999999E-2</v>
      </c>
      <c r="G233" s="21">
        <f t="shared" si="19"/>
        <v>8.4803099999999996E-3</v>
      </c>
      <c r="H233" s="21">
        <f>1.232*(D233-E233)*C233</f>
        <v>2723.4892805119994</v>
      </c>
      <c r="I233" s="22">
        <f t="shared" si="21"/>
        <v>5336.691614221967</v>
      </c>
    </row>
    <row r="234" spans="1:9" ht="15.75" thickBot="1" x14ac:dyDescent="0.3">
      <c r="F234" s="96" t="s">
        <v>336</v>
      </c>
      <c r="G234" s="96"/>
      <c r="H234" s="44">
        <f>SUM(H164:H233)</f>
        <v>7336.2148493479981</v>
      </c>
      <c r="I234" s="44">
        <f>SUM(I164:I233)</f>
        <v>14410.356977646283</v>
      </c>
    </row>
    <row r="235" spans="1:9" ht="15.75" thickBot="1" x14ac:dyDescent="0.3">
      <c r="F235" s="96" t="s">
        <v>162</v>
      </c>
      <c r="G235" s="96"/>
      <c r="H235" s="53">
        <f>I234+H234</f>
        <v>21746.571826994281</v>
      </c>
      <c r="I235" s="53"/>
    </row>
  </sheetData>
  <mergeCells count="9">
    <mergeCell ref="F235:G235"/>
    <mergeCell ref="F234:G234"/>
    <mergeCell ref="F74:G74"/>
    <mergeCell ref="Q22:R22"/>
    <mergeCell ref="A1:I1"/>
    <mergeCell ref="A77:I77"/>
    <mergeCell ref="F160:G160"/>
    <mergeCell ref="F159:G159"/>
    <mergeCell ref="F75:G75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8"/>
  <sheetViews>
    <sheetView topLeftCell="A35" workbookViewId="0">
      <selection activeCell="H89" sqref="H89"/>
    </sheetView>
  </sheetViews>
  <sheetFormatPr defaultRowHeight="15" x14ac:dyDescent="0.25"/>
  <cols>
    <col min="1" max="1" width="26.140625" customWidth="1"/>
    <col min="2" max="2" width="25.28515625" customWidth="1"/>
    <col min="3" max="3" width="12.140625" customWidth="1"/>
    <col min="7" max="7" width="9.28515625" customWidth="1"/>
    <col min="8" max="8" width="10" customWidth="1"/>
  </cols>
  <sheetData>
    <row r="1" spans="1:8" x14ac:dyDescent="0.25">
      <c r="A1" s="102" t="s">
        <v>337</v>
      </c>
      <c r="B1" s="102"/>
      <c r="C1" s="102"/>
      <c r="D1" s="102"/>
      <c r="E1" s="102"/>
      <c r="F1" s="102"/>
      <c r="G1" s="102"/>
      <c r="H1" s="102"/>
    </row>
    <row r="2" spans="1:8" ht="15.75" thickBot="1" x14ac:dyDescent="0.3">
      <c r="A2" s="41" t="s">
        <v>20</v>
      </c>
      <c r="B2" s="42" t="s">
        <v>338</v>
      </c>
      <c r="C2" s="42" t="s">
        <v>339</v>
      </c>
      <c r="D2" s="42" t="s">
        <v>340</v>
      </c>
      <c r="E2" s="42" t="s">
        <v>341</v>
      </c>
      <c r="F2" s="42" t="s">
        <v>342</v>
      </c>
      <c r="G2" s="42" t="s">
        <v>24</v>
      </c>
      <c r="H2" s="43" t="s">
        <v>25</v>
      </c>
    </row>
    <row r="3" spans="1:8" ht="42" customHeight="1" thickBot="1" x14ac:dyDescent="0.3">
      <c r="A3" s="65" t="s">
        <v>343</v>
      </c>
      <c r="B3" s="59" t="s">
        <v>344</v>
      </c>
      <c r="C3" s="66">
        <v>70.8</v>
      </c>
      <c r="D3" s="66">
        <v>0.33</v>
      </c>
      <c r="E3" s="66">
        <v>0.16</v>
      </c>
      <c r="F3" s="66">
        <v>0.96</v>
      </c>
      <c r="G3" s="66">
        <f>D3*C3*F3</f>
        <v>22.42944</v>
      </c>
      <c r="H3" s="67">
        <f>C3*E3</f>
        <v>11.327999999999999</v>
      </c>
    </row>
    <row r="4" spans="1:8" ht="90.75" thickBot="1" x14ac:dyDescent="0.3">
      <c r="A4" s="65" t="s">
        <v>345</v>
      </c>
      <c r="B4" s="59" t="s">
        <v>346</v>
      </c>
      <c r="C4" s="66">
        <v>2284.4</v>
      </c>
      <c r="D4" s="66">
        <v>0.33</v>
      </c>
      <c r="E4" s="66">
        <v>0.16</v>
      </c>
      <c r="F4" s="66">
        <v>0.96</v>
      </c>
      <c r="G4" s="66">
        <f t="shared" ref="G4:G43" si="0">D4*C4*F4</f>
        <v>723.69792000000007</v>
      </c>
      <c r="H4" s="67">
        <f t="shared" ref="H4:H43" si="1">C4*E4</f>
        <v>365.50400000000002</v>
      </c>
    </row>
    <row r="5" spans="1:8" ht="30.75" thickBot="1" x14ac:dyDescent="0.3">
      <c r="A5" s="65" t="s">
        <v>347</v>
      </c>
      <c r="B5" s="59" t="s">
        <v>348</v>
      </c>
      <c r="C5" s="66">
        <v>70.8</v>
      </c>
      <c r="D5" s="66">
        <v>0.33</v>
      </c>
      <c r="E5" s="66">
        <v>0.16</v>
      </c>
      <c r="F5" s="66">
        <v>0.96</v>
      </c>
      <c r="G5" s="66">
        <f t="shared" si="0"/>
        <v>22.42944</v>
      </c>
      <c r="H5" s="67">
        <f t="shared" si="1"/>
        <v>11.327999999999999</v>
      </c>
    </row>
    <row r="6" spans="1:8" ht="60.75" thickBot="1" x14ac:dyDescent="0.3">
      <c r="A6" s="65" t="s">
        <v>349</v>
      </c>
      <c r="B6" s="59" t="s">
        <v>350</v>
      </c>
      <c r="C6" s="66">
        <v>300.8</v>
      </c>
      <c r="D6" s="66">
        <v>0.33</v>
      </c>
      <c r="E6" s="66">
        <v>0.16</v>
      </c>
      <c r="F6" s="66">
        <v>0.96</v>
      </c>
      <c r="G6" s="66">
        <f t="shared" si="0"/>
        <v>95.293440000000004</v>
      </c>
      <c r="H6" s="67">
        <f t="shared" si="1"/>
        <v>48.128</v>
      </c>
    </row>
    <row r="7" spans="1:8" ht="60.75" thickBot="1" x14ac:dyDescent="0.3">
      <c r="A7" s="65" t="s">
        <v>351</v>
      </c>
      <c r="B7" s="59" t="s">
        <v>350</v>
      </c>
      <c r="C7" s="66">
        <v>300.8</v>
      </c>
      <c r="D7" s="66">
        <v>0.33</v>
      </c>
      <c r="E7" s="66">
        <v>0.16</v>
      </c>
      <c r="F7" s="66">
        <v>0.96</v>
      </c>
      <c r="G7" s="66">
        <f t="shared" si="0"/>
        <v>95.293440000000004</v>
      </c>
      <c r="H7" s="67">
        <f t="shared" si="1"/>
        <v>48.128</v>
      </c>
    </row>
    <row r="8" spans="1:8" ht="60.75" thickBot="1" x14ac:dyDescent="0.3">
      <c r="A8" s="65" t="s">
        <v>352</v>
      </c>
      <c r="B8" s="59" t="s">
        <v>350</v>
      </c>
      <c r="C8" s="66">
        <v>300.8</v>
      </c>
      <c r="D8" s="66">
        <v>0.33</v>
      </c>
      <c r="E8" s="66">
        <v>0.16</v>
      </c>
      <c r="F8" s="66">
        <v>0.96</v>
      </c>
      <c r="G8" s="66">
        <f t="shared" si="0"/>
        <v>95.293440000000004</v>
      </c>
      <c r="H8" s="67">
        <f t="shared" si="1"/>
        <v>48.128</v>
      </c>
    </row>
    <row r="9" spans="1:8" ht="60.75" thickBot="1" x14ac:dyDescent="0.3">
      <c r="A9" s="65" t="s">
        <v>353</v>
      </c>
      <c r="B9" s="59" t="s">
        <v>350</v>
      </c>
      <c r="C9" s="66">
        <v>300.8</v>
      </c>
      <c r="D9" s="66">
        <v>0.33</v>
      </c>
      <c r="E9" s="66">
        <v>0.16</v>
      </c>
      <c r="F9" s="66">
        <v>0.96</v>
      </c>
      <c r="G9" s="66">
        <f t="shared" si="0"/>
        <v>95.293440000000004</v>
      </c>
      <c r="H9" s="67">
        <f t="shared" si="1"/>
        <v>48.128</v>
      </c>
    </row>
    <row r="10" spans="1:8" ht="60.75" thickBot="1" x14ac:dyDescent="0.3">
      <c r="A10" s="65" t="s">
        <v>354</v>
      </c>
      <c r="B10" s="59" t="s">
        <v>350</v>
      </c>
      <c r="C10" s="66">
        <v>300.8</v>
      </c>
      <c r="D10" s="66">
        <v>0.33</v>
      </c>
      <c r="E10" s="66">
        <v>0.16</v>
      </c>
      <c r="F10" s="66">
        <v>0.96</v>
      </c>
      <c r="G10" s="66">
        <f t="shared" si="0"/>
        <v>95.293440000000004</v>
      </c>
      <c r="H10" s="67">
        <f t="shared" si="1"/>
        <v>48.128</v>
      </c>
    </row>
    <row r="11" spans="1:8" ht="60.75" thickBot="1" x14ac:dyDescent="0.3">
      <c r="A11" s="65" t="s">
        <v>355</v>
      </c>
      <c r="B11" s="59" t="s">
        <v>350</v>
      </c>
      <c r="C11" s="66">
        <v>300.8</v>
      </c>
      <c r="D11" s="66">
        <v>0.33</v>
      </c>
      <c r="E11" s="66">
        <v>0.16</v>
      </c>
      <c r="F11" s="66">
        <v>0.96</v>
      </c>
      <c r="G11" s="66">
        <f t="shared" si="0"/>
        <v>95.293440000000004</v>
      </c>
      <c r="H11" s="67">
        <f t="shared" si="1"/>
        <v>48.128</v>
      </c>
    </row>
    <row r="12" spans="1:8" ht="60.75" thickBot="1" x14ac:dyDescent="0.3">
      <c r="A12" s="65" t="s">
        <v>356</v>
      </c>
      <c r="B12" s="59" t="s">
        <v>350</v>
      </c>
      <c r="C12" s="66">
        <v>300.8</v>
      </c>
      <c r="D12" s="66">
        <v>0.33</v>
      </c>
      <c r="E12" s="66">
        <v>0.16</v>
      </c>
      <c r="F12" s="66">
        <v>0.96</v>
      </c>
      <c r="G12" s="66">
        <f t="shared" si="0"/>
        <v>95.293440000000004</v>
      </c>
      <c r="H12" s="67">
        <f t="shared" si="1"/>
        <v>48.128</v>
      </c>
    </row>
    <row r="13" spans="1:8" ht="74.25" customHeight="1" thickBot="1" x14ac:dyDescent="0.3">
      <c r="A13" s="65" t="s">
        <v>357</v>
      </c>
      <c r="B13" s="59" t="s">
        <v>358</v>
      </c>
      <c r="C13" s="66">
        <v>201.6</v>
      </c>
      <c r="D13" s="66">
        <v>0.33</v>
      </c>
      <c r="E13" s="66">
        <v>0.16</v>
      </c>
      <c r="F13" s="66">
        <v>0.96</v>
      </c>
      <c r="G13" s="66">
        <f t="shared" si="0"/>
        <v>63.866880000000002</v>
      </c>
      <c r="H13" s="67">
        <f t="shared" si="1"/>
        <v>32.256</v>
      </c>
    </row>
    <row r="14" spans="1:8" ht="30.75" thickBot="1" x14ac:dyDescent="0.3">
      <c r="A14" s="65" t="s">
        <v>359</v>
      </c>
      <c r="B14" s="59" t="s">
        <v>360</v>
      </c>
      <c r="C14" s="66">
        <v>1500.8</v>
      </c>
      <c r="D14" s="66">
        <v>0.33</v>
      </c>
      <c r="E14" s="66">
        <v>0.16</v>
      </c>
      <c r="F14" s="66">
        <v>0.96</v>
      </c>
      <c r="G14" s="66">
        <f t="shared" si="0"/>
        <v>475.45344</v>
      </c>
      <c r="H14" s="67">
        <f t="shared" si="1"/>
        <v>240.12799999999999</v>
      </c>
    </row>
    <row r="15" spans="1:8" ht="60.75" thickBot="1" x14ac:dyDescent="0.3">
      <c r="A15" s="65" t="s">
        <v>361</v>
      </c>
      <c r="B15" s="59" t="s">
        <v>350</v>
      </c>
      <c r="C15" s="66">
        <v>300.8</v>
      </c>
      <c r="D15" s="66">
        <v>0.33</v>
      </c>
      <c r="E15" s="66">
        <v>0.16</v>
      </c>
      <c r="F15" s="66">
        <v>0.96</v>
      </c>
      <c r="G15" s="66">
        <f t="shared" si="0"/>
        <v>95.293440000000004</v>
      </c>
      <c r="H15" s="67">
        <f t="shared" si="1"/>
        <v>48.128</v>
      </c>
    </row>
    <row r="16" spans="1:8" ht="60.75" thickBot="1" x14ac:dyDescent="0.3">
      <c r="A16" s="65" t="s">
        <v>362</v>
      </c>
      <c r="B16" s="59" t="s">
        <v>350</v>
      </c>
      <c r="C16" s="66">
        <v>300.8</v>
      </c>
      <c r="D16" s="66">
        <v>0.33</v>
      </c>
      <c r="E16" s="66">
        <v>0.16</v>
      </c>
      <c r="F16" s="66">
        <v>0.96</v>
      </c>
      <c r="G16" s="66">
        <f t="shared" si="0"/>
        <v>95.293440000000004</v>
      </c>
      <c r="H16" s="67">
        <f t="shared" si="1"/>
        <v>48.128</v>
      </c>
    </row>
    <row r="17" spans="1:8" ht="60.75" thickBot="1" x14ac:dyDescent="0.3">
      <c r="A17" s="65" t="s">
        <v>363</v>
      </c>
      <c r="B17" s="59" t="s">
        <v>350</v>
      </c>
      <c r="C17" s="66">
        <v>300.8</v>
      </c>
      <c r="D17" s="66">
        <v>0.33</v>
      </c>
      <c r="E17" s="66">
        <v>0.16</v>
      </c>
      <c r="F17" s="66">
        <v>0.96</v>
      </c>
      <c r="G17" s="66">
        <f t="shared" si="0"/>
        <v>95.293440000000004</v>
      </c>
      <c r="H17" s="67">
        <f t="shared" si="1"/>
        <v>48.128</v>
      </c>
    </row>
    <row r="18" spans="1:8" ht="60.75" thickBot="1" x14ac:dyDescent="0.3">
      <c r="A18" s="65" t="s">
        <v>363</v>
      </c>
      <c r="B18" s="59" t="s">
        <v>350</v>
      </c>
      <c r="C18" s="66">
        <v>300.8</v>
      </c>
      <c r="D18" s="66">
        <v>0.33</v>
      </c>
      <c r="E18" s="66">
        <v>0.16</v>
      </c>
      <c r="F18" s="66">
        <v>0.96</v>
      </c>
      <c r="G18" s="66">
        <f t="shared" si="0"/>
        <v>95.293440000000004</v>
      </c>
      <c r="H18" s="67">
        <f t="shared" si="1"/>
        <v>48.128</v>
      </c>
    </row>
    <row r="19" spans="1:8" ht="60.75" thickBot="1" x14ac:dyDescent="0.3">
      <c r="A19" s="65" t="s">
        <v>364</v>
      </c>
      <c r="B19" s="59" t="s">
        <v>350</v>
      </c>
      <c r="C19" s="66">
        <v>300.8</v>
      </c>
      <c r="D19" s="66">
        <v>0.33</v>
      </c>
      <c r="E19" s="66">
        <v>0.16</v>
      </c>
      <c r="F19" s="66">
        <v>0.96</v>
      </c>
      <c r="G19" s="66">
        <f t="shared" si="0"/>
        <v>95.293440000000004</v>
      </c>
      <c r="H19" s="67">
        <f t="shared" si="1"/>
        <v>48.128</v>
      </c>
    </row>
    <row r="20" spans="1:8" ht="60.75" thickBot="1" x14ac:dyDescent="0.3">
      <c r="A20" s="65" t="s">
        <v>365</v>
      </c>
      <c r="B20" s="59" t="s">
        <v>350</v>
      </c>
      <c r="C20" s="66">
        <v>300.8</v>
      </c>
      <c r="D20" s="66">
        <v>0.33</v>
      </c>
      <c r="E20" s="66">
        <v>0.16</v>
      </c>
      <c r="F20" s="66">
        <v>0.96</v>
      </c>
      <c r="G20" s="66">
        <f t="shared" si="0"/>
        <v>95.293440000000004</v>
      </c>
      <c r="H20" s="67">
        <f t="shared" si="1"/>
        <v>48.128</v>
      </c>
    </row>
    <row r="21" spans="1:8" ht="60.75" thickBot="1" x14ac:dyDescent="0.3">
      <c r="A21" s="65" t="s">
        <v>366</v>
      </c>
      <c r="B21" s="59" t="s">
        <v>350</v>
      </c>
      <c r="C21" s="66">
        <v>300.8</v>
      </c>
      <c r="D21" s="66">
        <v>0.33</v>
      </c>
      <c r="E21" s="66">
        <v>0.16</v>
      </c>
      <c r="F21" s="66">
        <v>0.96</v>
      </c>
      <c r="G21" s="66">
        <f t="shared" si="0"/>
        <v>95.293440000000004</v>
      </c>
      <c r="H21" s="67">
        <f t="shared" si="1"/>
        <v>48.128</v>
      </c>
    </row>
    <row r="22" spans="1:8" ht="60.75" thickBot="1" x14ac:dyDescent="0.3">
      <c r="A22" s="65" t="s">
        <v>367</v>
      </c>
      <c r="B22" s="59" t="s">
        <v>350</v>
      </c>
      <c r="C22" s="66">
        <v>300.8</v>
      </c>
      <c r="D22" s="66">
        <v>0.33</v>
      </c>
      <c r="E22" s="66">
        <v>0.16</v>
      </c>
      <c r="F22" s="66">
        <v>0.96</v>
      </c>
      <c r="G22" s="66">
        <f t="shared" si="0"/>
        <v>95.293440000000004</v>
      </c>
      <c r="H22" s="67">
        <f t="shared" si="1"/>
        <v>48.128</v>
      </c>
    </row>
    <row r="23" spans="1:8" ht="60.75" thickBot="1" x14ac:dyDescent="0.3">
      <c r="A23" s="65" t="s">
        <v>368</v>
      </c>
      <c r="B23" s="59" t="s">
        <v>350</v>
      </c>
      <c r="C23" s="66">
        <v>300.8</v>
      </c>
      <c r="D23" s="66">
        <v>0.33</v>
      </c>
      <c r="E23" s="66">
        <v>0.16</v>
      </c>
      <c r="F23" s="66">
        <v>0.96</v>
      </c>
      <c r="G23" s="66">
        <f t="shared" si="0"/>
        <v>95.293440000000004</v>
      </c>
      <c r="H23" s="67">
        <f t="shared" si="1"/>
        <v>48.128</v>
      </c>
    </row>
    <row r="24" spans="1:8" ht="60.75" thickBot="1" x14ac:dyDescent="0.3">
      <c r="A24" s="65" t="s">
        <v>369</v>
      </c>
      <c r="B24" s="59" t="s">
        <v>350</v>
      </c>
      <c r="C24" s="66">
        <v>300.8</v>
      </c>
      <c r="D24" s="66">
        <v>0.33</v>
      </c>
      <c r="E24" s="66">
        <v>0.16</v>
      </c>
      <c r="F24" s="66">
        <v>0.96</v>
      </c>
      <c r="G24" s="66">
        <f t="shared" si="0"/>
        <v>95.293440000000004</v>
      </c>
      <c r="H24" s="67">
        <f t="shared" si="1"/>
        <v>48.128</v>
      </c>
    </row>
    <row r="25" spans="1:8" ht="90.75" thickBot="1" x14ac:dyDescent="0.3">
      <c r="A25" s="65" t="s">
        <v>77</v>
      </c>
      <c r="B25" s="59" t="s">
        <v>370</v>
      </c>
      <c r="C25" s="66">
        <v>525.79999999999995</v>
      </c>
      <c r="D25" s="66">
        <v>0.33</v>
      </c>
      <c r="E25" s="66">
        <v>0.16</v>
      </c>
      <c r="F25" s="66">
        <v>0.96</v>
      </c>
      <c r="G25" s="66">
        <f t="shared" si="0"/>
        <v>166.57343999999998</v>
      </c>
      <c r="H25" s="67">
        <f t="shared" si="1"/>
        <v>84.128</v>
      </c>
    </row>
    <row r="26" spans="1:8" ht="90.75" thickBot="1" x14ac:dyDescent="0.3">
      <c r="A26" s="65" t="s">
        <v>76</v>
      </c>
      <c r="B26" s="59" t="s">
        <v>370</v>
      </c>
      <c r="C26" s="66">
        <v>525.79999999999995</v>
      </c>
      <c r="D26" s="66">
        <v>0.33</v>
      </c>
      <c r="E26" s="66">
        <v>0.16</v>
      </c>
      <c r="F26" s="66">
        <v>0.96</v>
      </c>
      <c r="G26" s="66">
        <f t="shared" si="0"/>
        <v>166.57343999999998</v>
      </c>
      <c r="H26" s="67">
        <f t="shared" si="1"/>
        <v>84.128</v>
      </c>
    </row>
    <row r="27" spans="1:8" ht="60.75" thickBot="1" x14ac:dyDescent="0.3">
      <c r="A27" s="65" t="s">
        <v>73</v>
      </c>
      <c r="B27" s="59" t="s">
        <v>350</v>
      </c>
      <c r="C27" s="66">
        <v>300.8</v>
      </c>
      <c r="D27" s="66">
        <v>0.33</v>
      </c>
      <c r="E27" s="66">
        <v>0.16</v>
      </c>
      <c r="F27" s="66">
        <v>0.96</v>
      </c>
      <c r="G27" s="66">
        <f t="shared" si="0"/>
        <v>95.293440000000004</v>
      </c>
      <c r="H27" s="67">
        <f t="shared" si="1"/>
        <v>48.128</v>
      </c>
    </row>
    <row r="28" spans="1:8" ht="75.75" thickBot="1" x14ac:dyDescent="0.3">
      <c r="A28" s="68" t="s">
        <v>371</v>
      </c>
      <c r="B28" s="59" t="s">
        <v>372</v>
      </c>
      <c r="C28" s="66">
        <v>425.8</v>
      </c>
      <c r="D28" s="66">
        <v>0.33</v>
      </c>
      <c r="E28" s="66">
        <v>0.16</v>
      </c>
      <c r="F28" s="66">
        <v>0.96</v>
      </c>
      <c r="G28" s="66">
        <f t="shared" si="0"/>
        <v>134.89344</v>
      </c>
      <c r="H28" s="67">
        <f t="shared" si="1"/>
        <v>68.128</v>
      </c>
    </row>
    <row r="29" spans="1:8" ht="75.75" thickBot="1" x14ac:dyDescent="0.3">
      <c r="A29" s="65" t="s">
        <v>373</v>
      </c>
      <c r="B29" s="59" t="s">
        <v>372</v>
      </c>
      <c r="C29" s="66">
        <v>425.8</v>
      </c>
      <c r="D29" s="66">
        <v>0.33</v>
      </c>
      <c r="E29" s="66">
        <v>0.16</v>
      </c>
      <c r="F29" s="66">
        <v>0.96</v>
      </c>
      <c r="G29" s="66">
        <f t="shared" si="0"/>
        <v>134.89344</v>
      </c>
      <c r="H29" s="67">
        <f t="shared" si="1"/>
        <v>68.128</v>
      </c>
    </row>
    <row r="30" spans="1:8" ht="75.75" thickBot="1" x14ac:dyDescent="0.3">
      <c r="A30" s="68" t="s">
        <v>374</v>
      </c>
      <c r="B30" s="59" t="s">
        <v>372</v>
      </c>
      <c r="C30" s="66">
        <v>425.8</v>
      </c>
      <c r="D30" s="66">
        <v>0.33</v>
      </c>
      <c r="E30" s="66">
        <v>0.16</v>
      </c>
      <c r="F30" s="66">
        <v>0.96</v>
      </c>
      <c r="G30" s="66">
        <f t="shared" si="0"/>
        <v>134.89344</v>
      </c>
      <c r="H30" s="67">
        <f t="shared" si="1"/>
        <v>68.128</v>
      </c>
    </row>
    <row r="31" spans="1:8" ht="60.75" thickBot="1" x14ac:dyDescent="0.3">
      <c r="A31" s="65" t="s">
        <v>375</v>
      </c>
      <c r="B31" s="59" t="s">
        <v>376</v>
      </c>
      <c r="C31" s="66">
        <v>300.8</v>
      </c>
      <c r="D31" s="66">
        <v>0.33</v>
      </c>
      <c r="E31" s="66">
        <v>0.16</v>
      </c>
      <c r="F31" s="66">
        <v>0.96</v>
      </c>
      <c r="G31" s="66">
        <f t="shared" si="0"/>
        <v>95.293440000000004</v>
      </c>
      <c r="H31" s="67">
        <f t="shared" si="1"/>
        <v>48.128</v>
      </c>
    </row>
    <row r="32" spans="1:8" ht="86.25" customHeight="1" thickBot="1" x14ac:dyDescent="0.3">
      <c r="A32" s="65" t="s">
        <v>36</v>
      </c>
      <c r="B32" s="59" t="s">
        <v>377</v>
      </c>
      <c r="C32" s="66">
        <v>250.4</v>
      </c>
      <c r="D32" s="66">
        <v>0.33</v>
      </c>
      <c r="E32" s="66">
        <v>0.16</v>
      </c>
      <c r="F32" s="66">
        <v>0.96</v>
      </c>
      <c r="G32" s="66">
        <f t="shared" si="0"/>
        <v>79.326720000000009</v>
      </c>
      <c r="H32" s="67">
        <f t="shared" si="1"/>
        <v>40.064</v>
      </c>
    </row>
    <row r="33" spans="1:8" ht="60.75" thickBot="1" x14ac:dyDescent="0.3">
      <c r="A33" s="65" t="s">
        <v>369</v>
      </c>
      <c r="B33" s="59" t="s">
        <v>350</v>
      </c>
      <c r="C33" s="66">
        <v>300.8</v>
      </c>
      <c r="D33" s="66">
        <v>0.33</v>
      </c>
      <c r="E33" s="66">
        <v>0.16</v>
      </c>
      <c r="F33" s="66">
        <v>0.96</v>
      </c>
      <c r="G33" s="66">
        <f t="shared" si="0"/>
        <v>95.293440000000004</v>
      </c>
      <c r="H33" s="67">
        <f t="shared" si="1"/>
        <v>48.128</v>
      </c>
    </row>
    <row r="34" spans="1:8" ht="90.75" thickBot="1" x14ac:dyDescent="0.3">
      <c r="A34" s="65" t="s">
        <v>31</v>
      </c>
      <c r="B34" s="59" t="s">
        <v>378</v>
      </c>
      <c r="C34" s="66">
        <v>266.2</v>
      </c>
      <c r="D34" s="66">
        <v>0.33</v>
      </c>
      <c r="E34" s="66">
        <v>0.16</v>
      </c>
      <c r="F34" s="66">
        <v>0.96</v>
      </c>
      <c r="G34" s="66">
        <f t="shared" si="0"/>
        <v>84.332160000000002</v>
      </c>
      <c r="H34" s="67">
        <f t="shared" si="1"/>
        <v>42.591999999999999</v>
      </c>
    </row>
    <row r="35" spans="1:8" ht="60.75" thickBot="1" x14ac:dyDescent="0.3">
      <c r="A35" s="65" t="s">
        <v>379</v>
      </c>
      <c r="B35" s="59" t="s">
        <v>380</v>
      </c>
      <c r="C35" s="66">
        <v>155.4</v>
      </c>
      <c r="D35" s="66">
        <v>0.33</v>
      </c>
      <c r="E35" s="66">
        <v>0.16</v>
      </c>
      <c r="F35" s="66">
        <v>0.96</v>
      </c>
      <c r="G35" s="66">
        <f t="shared" si="0"/>
        <v>49.230720000000005</v>
      </c>
      <c r="H35" s="67">
        <f t="shared" si="1"/>
        <v>24.864000000000001</v>
      </c>
    </row>
    <row r="36" spans="1:8" ht="15.75" thickBot="1" x14ac:dyDescent="0.3">
      <c r="A36" s="65" t="s">
        <v>381</v>
      </c>
      <c r="B36" s="63" t="s">
        <v>382</v>
      </c>
      <c r="C36" s="66">
        <v>0.4</v>
      </c>
      <c r="D36" s="66">
        <v>0.33</v>
      </c>
      <c r="E36" s="66">
        <v>0.16</v>
      </c>
      <c r="F36" s="66">
        <v>0.96</v>
      </c>
      <c r="G36" s="66">
        <f t="shared" si="0"/>
        <v>0.12672</v>
      </c>
      <c r="H36" s="67">
        <f t="shared" si="1"/>
        <v>6.4000000000000001E-2</v>
      </c>
    </row>
    <row r="37" spans="1:8" ht="15.75" thickBot="1" x14ac:dyDescent="0.3">
      <c r="A37" s="65" t="s">
        <v>383</v>
      </c>
      <c r="B37" s="63" t="s">
        <v>382</v>
      </c>
      <c r="C37" s="66">
        <v>0.4</v>
      </c>
      <c r="D37" s="66">
        <v>0.33</v>
      </c>
      <c r="E37" s="66">
        <v>0.16</v>
      </c>
      <c r="F37" s="66">
        <v>0.96</v>
      </c>
      <c r="G37" s="66">
        <f t="shared" si="0"/>
        <v>0.12672</v>
      </c>
      <c r="H37" s="67">
        <f t="shared" si="1"/>
        <v>6.4000000000000001E-2</v>
      </c>
    </row>
    <row r="38" spans="1:8" ht="60.75" thickBot="1" x14ac:dyDescent="0.3">
      <c r="A38" s="65" t="s">
        <v>384</v>
      </c>
      <c r="B38" s="59" t="s">
        <v>350</v>
      </c>
      <c r="C38" s="66">
        <v>300.8</v>
      </c>
      <c r="D38" s="66">
        <v>0.33</v>
      </c>
      <c r="E38" s="66">
        <v>0.16</v>
      </c>
      <c r="F38" s="66">
        <v>0.96</v>
      </c>
      <c r="G38" s="66">
        <f t="shared" si="0"/>
        <v>95.293440000000004</v>
      </c>
      <c r="H38" s="67">
        <f t="shared" si="1"/>
        <v>48.128</v>
      </c>
    </row>
    <row r="39" spans="1:8" ht="15.75" thickBot="1" x14ac:dyDescent="0.3">
      <c r="A39" s="69" t="s">
        <v>41</v>
      </c>
      <c r="B39" s="70" t="s">
        <v>382</v>
      </c>
      <c r="C39" s="66">
        <v>0.4</v>
      </c>
      <c r="D39" s="66">
        <v>0.33</v>
      </c>
      <c r="E39" s="66">
        <v>0.16</v>
      </c>
      <c r="F39" s="66">
        <v>0.96</v>
      </c>
      <c r="G39" s="66">
        <f t="shared" si="0"/>
        <v>0.12672</v>
      </c>
      <c r="H39" s="67">
        <f t="shared" si="1"/>
        <v>6.4000000000000001E-2</v>
      </c>
    </row>
    <row r="40" spans="1:8" s="55" customFormat="1" ht="54" customHeight="1" thickBot="1" x14ac:dyDescent="0.3">
      <c r="A40" s="71" t="s">
        <v>176</v>
      </c>
      <c r="B40" s="60" t="s">
        <v>385</v>
      </c>
      <c r="C40" s="72">
        <v>355</v>
      </c>
      <c r="D40" s="66">
        <v>0.33</v>
      </c>
      <c r="E40" s="66">
        <v>0.16</v>
      </c>
      <c r="F40" s="66">
        <v>0.96</v>
      </c>
      <c r="G40" s="66">
        <f t="shared" si="0"/>
        <v>112.464</v>
      </c>
      <c r="H40" s="67">
        <f t="shared" si="1"/>
        <v>56.800000000000004</v>
      </c>
    </row>
    <row r="41" spans="1:8" ht="60.75" thickBot="1" x14ac:dyDescent="0.3">
      <c r="A41" s="69" t="s">
        <v>65</v>
      </c>
      <c r="B41" s="59" t="s">
        <v>386</v>
      </c>
      <c r="C41" s="66">
        <v>61.8</v>
      </c>
      <c r="D41" s="66">
        <v>0.33</v>
      </c>
      <c r="E41" s="66">
        <v>0.16</v>
      </c>
      <c r="F41" s="66">
        <v>0.96</v>
      </c>
      <c r="G41" s="66">
        <f t="shared" si="0"/>
        <v>19.578239999999997</v>
      </c>
      <c r="H41" s="67">
        <f t="shared" si="1"/>
        <v>9.8879999999999999</v>
      </c>
    </row>
    <row r="42" spans="1:8" ht="45.75" thickBot="1" x14ac:dyDescent="0.3">
      <c r="A42" s="69" t="s">
        <v>387</v>
      </c>
      <c r="B42" s="59" t="s">
        <v>388</v>
      </c>
      <c r="C42" s="66">
        <v>2580</v>
      </c>
      <c r="D42" s="66">
        <v>0.33</v>
      </c>
      <c r="E42" s="66">
        <v>0.16</v>
      </c>
      <c r="F42" s="66">
        <v>0.96</v>
      </c>
      <c r="G42" s="66">
        <f t="shared" si="0"/>
        <v>817.34400000000005</v>
      </c>
      <c r="H42" s="67">
        <f t="shared" si="1"/>
        <v>412.8</v>
      </c>
    </row>
    <row r="43" spans="1:8" ht="45.75" thickBot="1" x14ac:dyDescent="0.3">
      <c r="A43" s="73" t="s">
        <v>389</v>
      </c>
      <c r="B43" s="64" t="s">
        <v>390</v>
      </c>
      <c r="C43" s="74">
        <v>750.4</v>
      </c>
      <c r="D43" s="74">
        <v>0.33</v>
      </c>
      <c r="E43" s="74">
        <v>0.16</v>
      </c>
      <c r="F43" s="74">
        <v>0.96</v>
      </c>
      <c r="G43" s="74">
        <f t="shared" si="0"/>
        <v>237.72672</v>
      </c>
      <c r="H43" s="75">
        <f t="shared" si="1"/>
        <v>120.06399999999999</v>
      </c>
    </row>
    <row r="44" spans="1:8" ht="15.75" thickBot="1" x14ac:dyDescent="0.3">
      <c r="E44" s="101" t="s">
        <v>336</v>
      </c>
      <c r="F44" s="101"/>
      <c r="G44" s="78">
        <f>SUM(G3:G43)</f>
        <v>5447.2492799999991</v>
      </c>
      <c r="H44" s="78">
        <f>SUM(H3:H43)</f>
        <v>2751.1359999999986</v>
      </c>
    </row>
    <row r="45" spans="1:8" ht="15.75" thickBot="1" x14ac:dyDescent="0.3">
      <c r="E45" s="101" t="s">
        <v>162</v>
      </c>
      <c r="F45" s="101"/>
      <c r="G45" s="101">
        <f>G44+H44</f>
        <v>8198.3852799999986</v>
      </c>
      <c r="H45" s="101"/>
    </row>
    <row r="46" spans="1:8" x14ac:dyDescent="0.25">
      <c r="E46" s="54"/>
      <c r="F46" s="54"/>
      <c r="G46" s="54"/>
      <c r="H46" s="54"/>
    </row>
    <row r="47" spans="1:8" x14ac:dyDescent="0.25">
      <c r="A47" s="95" t="s">
        <v>391</v>
      </c>
      <c r="B47" s="95"/>
      <c r="C47" s="95"/>
      <c r="D47" s="95"/>
      <c r="E47" s="95"/>
      <c r="F47" s="95"/>
      <c r="G47" s="95"/>
      <c r="H47" s="95"/>
    </row>
    <row r="48" spans="1:8" ht="15.75" thickBot="1" x14ac:dyDescent="0.3">
      <c r="A48" s="16" t="s">
        <v>20</v>
      </c>
      <c r="B48" s="17" t="s">
        <v>338</v>
      </c>
      <c r="C48" s="17" t="s">
        <v>392</v>
      </c>
      <c r="D48" s="17" t="s">
        <v>393</v>
      </c>
      <c r="E48" s="17" t="s">
        <v>341</v>
      </c>
      <c r="F48" s="17" t="s">
        <v>342</v>
      </c>
      <c r="G48" s="17" t="s">
        <v>24</v>
      </c>
      <c r="H48" s="18" t="s">
        <v>25</v>
      </c>
    </row>
    <row r="49" spans="1:8" ht="30.75" thickBot="1" x14ac:dyDescent="0.3">
      <c r="A49" s="8" t="s">
        <v>394</v>
      </c>
      <c r="B49" s="58" t="s">
        <v>395</v>
      </c>
      <c r="C49" s="6">
        <v>25.4</v>
      </c>
      <c r="D49" s="6">
        <v>0.33</v>
      </c>
      <c r="E49" s="6">
        <v>0.16</v>
      </c>
      <c r="F49" s="6">
        <v>0.96</v>
      </c>
      <c r="G49" s="6">
        <f>D49*C49*F49</f>
        <v>8.0467199999999988</v>
      </c>
      <c r="H49" s="15">
        <f>E49*C49</f>
        <v>4.0640000000000001</v>
      </c>
    </row>
    <row r="50" spans="1:8" ht="30.75" thickBot="1" x14ac:dyDescent="0.3">
      <c r="A50" s="8" t="s">
        <v>396</v>
      </c>
      <c r="B50" s="58" t="s">
        <v>395</v>
      </c>
      <c r="C50" s="6">
        <v>25.4</v>
      </c>
      <c r="D50" s="6">
        <v>0.33</v>
      </c>
      <c r="E50" s="6">
        <v>0.16</v>
      </c>
      <c r="F50" s="6">
        <v>0.96</v>
      </c>
      <c r="G50" s="6">
        <f t="shared" ref="G50:G88" si="2">D50*C50*F50</f>
        <v>8.0467199999999988</v>
      </c>
      <c r="H50" s="15">
        <f t="shared" ref="H50:H88" si="3">E50*C50</f>
        <v>4.0640000000000001</v>
      </c>
    </row>
    <row r="51" spans="1:8" ht="30.75" thickBot="1" x14ac:dyDescent="0.3">
      <c r="A51" s="8" t="s">
        <v>397</v>
      </c>
      <c r="B51" s="58" t="s">
        <v>395</v>
      </c>
      <c r="C51" s="6">
        <v>25.4</v>
      </c>
      <c r="D51" s="6">
        <v>0.33</v>
      </c>
      <c r="E51" s="6">
        <v>0.16</v>
      </c>
      <c r="F51" s="6">
        <v>0.96</v>
      </c>
      <c r="G51" s="6">
        <f t="shared" si="2"/>
        <v>8.0467199999999988</v>
      </c>
      <c r="H51" s="15">
        <f t="shared" si="3"/>
        <v>4.0640000000000001</v>
      </c>
    </row>
    <row r="52" spans="1:8" ht="30.75" thickBot="1" x14ac:dyDescent="0.3">
      <c r="A52" s="8" t="s">
        <v>398</v>
      </c>
      <c r="B52" s="58" t="s">
        <v>395</v>
      </c>
      <c r="C52" s="6">
        <v>25.4</v>
      </c>
      <c r="D52" s="6">
        <v>0.33</v>
      </c>
      <c r="E52" s="6">
        <v>0.16</v>
      </c>
      <c r="F52" s="6">
        <v>0.96</v>
      </c>
      <c r="G52" s="6">
        <f t="shared" si="2"/>
        <v>8.0467199999999988</v>
      </c>
      <c r="H52" s="15">
        <f t="shared" si="3"/>
        <v>4.0640000000000001</v>
      </c>
    </row>
    <row r="53" spans="1:8" ht="60.75" thickBot="1" x14ac:dyDescent="0.3">
      <c r="A53" s="8" t="s">
        <v>67</v>
      </c>
      <c r="B53" s="59" t="s">
        <v>399</v>
      </c>
      <c r="C53" s="6">
        <v>5.4</v>
      </c>
      <c r="D53" s="6">
        <v>0.33</v>
      </c>
      <c r="E53" s="6">
        <v>0.16</v>
      </c>
      <c r="F53" s="6">
        <v>0.96</v>
      </c>
      <c r="G53" s="6">
        <f t="shared" si="2"/>
        <v>1.7107200000000002</v>
      </c>
      <c r="H53" s="15">
        <f t="shared" si="3"/>
        <v>0.8640000000000001</v>
      </c>
    </row>
    <row r="54" spans="1:8" ht="60.75" thickBot="1" x14ac:dyDescent="0.3">
      <c r="A54" s="8" t="s">
        <v>172</v>
      </c>
      <c r="B54" s="59" t="s">
        <v>400</v>
      </c>
      <c r="C54" s="6">
        <v>156.06</v>
      </c>
      <c r="D54" s="6">
        <v>0.33</v>
      </c>
      <c r="E54" s="6">
        <v>0.16</v>
      </c>
      <c r="F54" s="6">
        <v>0.96</v>
      </c>
      <c r="G54" s="6">
        <f t="shared" si="2"/>
        <v>49.439807999999999</v>
      </c>
      <c r="H54" s="15">
        <f t="shared" si="3"/>
        <v>24.9696</v>
      </c>
    </row>
    <row r="55" spans="1:8" ht="60.75" thickBot="1" x14ac:dyDescent="0.3">
      <c r="A55" s="8" t="s">
        <v>173</v>
      </c>
      <c r="B55" s="59" t="s">
        <v>400</v>
      </c>
      <c r="C55" s="6">
        <v>156.06</v>
      </c>
      <c r="D55" s="6">
        <v>0.33</v>
      </c>
      <c r="E55" s="6">
        <v>0.16</v>
      </c>
      <c r="F55" s="6">
        <v>0.96</v>
      </c>
      <c r="G55" s="6">
        <f t="shared" si="2"/>
        <v>49.439807999999999</v>
      </c>
      <c r="H55" s="15">
        <f t="shared" si="3"/>
        <v>24.9696</v>
      </c>
    </row>
    <row r="56" spans="1:8" ht="60.75" thickBot="1" x14ac:dyDescent="0.3">
      <c r="A56" s="8" t="s">
        <v>179</v>
      </c>
      <c r="B56" s="59" t="s">
        <v>400</v>
      </c>
      <c r="C56" s="6">
        <v>156.06</v>
      </c>
      <c r="D56" s="6">
        <v>0.33</v>
      </c>
      <c r="E56" s="6">
        <v>0.16</v>
      </c>
      <c r="F56" s="6">
        <v>0.96</v>
      </c>
      <c r="G56" s="6">
        <f t="shared" si="2"/>
        <v>49.439807999999999</v>
      </c>
      <c r="H56" s="15">
        <f t="shared" si="3"/>
        <v>24.9696</v>
      </c>
    </row>
    <row r="57" spans="1:8" ht="60.75" thickBot="1" x14ac:dyDescent="0.3">
      <c r="A57" s="8" t="s">
        <v>180</v>
      </c>
      <c r="B57" s="59" t="s">
        <v>400</v>
      </c>
      <c r="C57" s="6">
        <v>156.06</v>
      </c>
      <c r="D57" s="6">
        <v>0.33</v>
      </c>
      <c r="E57" s="6">
        <v>0.16</v>
      </c>
      <c r="F57" s="6">
        <v>0.96</v>
      </c>
      <c r="G57" s="6">
        <f t="shared" si="2"/>
        <v>49.439807999999999</v>
      </c>
      <c r="H57" s="15">
        <f t="shared" si="3"/>
        <v>24.9696</v>
      </c>
    </row>
    <row r="58" spans="1:8" ht="60.75" thickBot="1" x14ac:dyDescent="0.3">
      <c r="A58" s="8" t="s">
        <v>183</v>
      </c>
      <c r="B58" s="59" t="s">
        <v>400</v>
      </c>
      <c r="C58" s="6">
        <v>156.06</v>
      </c>
      <c r="D58" s="6">
        <v>0.33</v>
      </c>
      <c r="E58" s="6">
        <v>0.16</v>
      </c>
      <c r="F58" s="6">
        <v>0.96</v>
      </c>
      <c r="G58" s="6">
        <f t="shared" si="2"/>
        <v>49.439807999999999</v>
      </c>
      <c r="H58" s="15">
        <f t="shared" si="3"/>
        <v>24.9696</v>
      </c>
    </row>
    <row r="59" spans="1:8" ht="60.75" thickBot="1" x14ac:dyDescent="0.3">
      <c r="A59" s="8" t="s">
        <v>187</v>
      </c>
      <c r="B59" s="59" t="s">
        <v>400</v>
      </c>
      <c r="C59" s="6">
        <v>156.06</v>
      </c>
      <c r="D59" s="6">
        <v>0.33</v>
      </c>
      <c r="E59" s="6">
        <v>0.16</v>
      </c>
      <c r="F59" s="6">
        <v>0.96</v>
      </c>
      <c r="G59" s="6">
        <f t="shared" si="2"/>
        <v>49.439807999999999</v>
      </c>
      <c r="H59" s="15">
        <f t="shared" si="3"/>
        <v>24.9696</v>
      </c>
    </row>
    <row r="60" spans="1:8" ht="60.75" thickBot="1" x14ac:dyDescent="0.3">
      <c r="A60" s="8" t="s">
        <v>190</v>
      </c>
      <c r="B60" s="59" t="s">
        <v>400</v>
      </c>
      <c r="C60" s="6">
        <v>156.06</v>
      </c>
      <c r="D60" s="6">
        <v>0.33</v>
      </c>
      <c r="E60" s="6">
        <v>0.16</v>
      </c>
      <c r="F60" s="6">
        <v>0.96</v>
      </c>
      <c r="G60" s="6">
        <f t="shared" si="2"/>
        <v>49.439807999999999</v>
      </c>
      <c r="H60" s="15">
        <f t="shared" si="3"/>
        <v>24.9696</v>
      </c>
    </row>
    <row r="61" spans="1:8" ht="60.75" thickBot="1" x14ac:dyDescent="0.3">
      <c r="A61" s="8" t="s">
        <v>191</v>
      </c>
      <c r="B61" s="59" t="s">
        <v>400</v>
      </c>
      <c r="C61" s="6">
        <v>156.06</v>
      </c>
      <c r="D61" s="6">
        <v>0.33</v>
      </c>
      <c r="E61" s="6">
        <v>0.16</v>
      </c>
      <c r="F61" s="6">
        <v>0.96</v>
      </c>
      <c r="G61" s="6">
        <f t="shared" si="2"/>
        <v>49.439807999999999</v>
      </c>
      <c r="H61" s="15">
        <f t="shared" si="3"/>
        <v>24.9696</v>
      </c>
    </row>
    <row r="62" spans="1:8" ht="30.75" thickBot="1" x14ac:dyDescent="0.3">
      <c r="A62" s="8" t="s">
        <v>181</v>
      </c>
      <c r="B62" s="59" t="s">
        <v>401</v>
      </c>
      <c r="C62" s="6">
        <v>5.4</v>
      </c>
      <c r="D62" s="6">
        <v>0.33</v>
      </c>
      <c r="E62" s="6">
        <v>0.16</v>
      </c>
      <c r="F62" s="6">
        <v>0.96</v>
      </c>
      <c r="G62" s="6">
        <f t="shared" si="2"/>
        <v>1.7107200000000002</v>
      </c>
      <c r="H62" s="15">
        <f t="shared" si="3"/>
        <v>0.8640000000000001</v>
      </c>
    </row>
    <row r="63" spans="1:8" ht="45.75" thickBot="1" x14ac:dyDescent="0.3">
      <c r="A63" s="8" t="s">
        <v>174</v>
      </c>
      <c r="B63" s="59" t="s">
        <v>402</v>
      </c>
      <c r="C63" s="6">
        <v>230.4</v>
      </c>
      <c r="D63" s="6">
        <v>0.33</v>
      </c>
      <c r="E63" s="6">
        <v>0.16</v>
      </c>
      <c r="F63" s="6">
        <v>0.96</v>
      </c>
      <c r="G63" s="6">
        <f t="shared" si="2"/>
        <v>72.99072000000001</v>
      </c>
      <c r="H63" s="15">
        <f t="shared" si="3"/>
        <v>36.864000000000004</v>
      </c>
    </row>
    <row r="64" spans="1:8" ht="30.75" thickBot="1" x14ac:dyDescent="0.3">
      <c r="A64" s="8" t="s">
        <v>175</v>
      </c>
      <c r="B64" s="59" t="s">
        <v>403</v>
      </c>
      <c r="C64" s="6">
        <v>70.400000000000006</v>
      </c>
      <c r="D64" s="6">
        <v>0.33</v>
      </c>
      <c r="E64" s="6">
        <v>0.16</v>
      </c>
      <c r="F64" s="6">
        <v>0.96</v>
      </c>
      <c r="G64" s="6">
        <f t="shared" si="2"/>
        <v>22.302720000000001</v>
      </c>
      <c r="H64" s="15">
        <f t="shared" si="3"/>
        <v>11.264000000000001</v>
      </c>
    </row>
    <row r="65" spans="1:13" ht="45.75" thickBot="1" x14ac:dyDescent="0.3">
      <c r="A65" s="8" t="s">
        <v>176</v>
      </c>
      <c r="B65" s="60" t="s">
        <v>385</v>
      </c>
      <c r="C65" s="6">
        <v>355</v>
      </c>
      <c r="D65" s="6">
        <v>0.33</v>
      </c>
      <c r="E65" s="6">
        <v>0.16</v>
      </c>
      <c r="F65" s="6">
        <v>0.96</v>
      </c>
      <c r="G65" s="6">
        <f t="shared" si="2"/>
        <v>112.464</v>
      </c>
      <c r="H65" s="15">
        <f t="shared" si="3"/>
        <v>56.800000000000004</v>
      </c>
    </row>
    <row r="66" spans="1:13" ht="30.75" thickBot="1" x14ac:dyDescent="0.3">
      <c r="A66" s="8" t="s">
        <v>404</v>
      </c>
      <c r="B66" s="59" t="s">
        <v>405</v>
      </c>
      <c r="C66" s="6">
        <v>5.4</v>
      </c>
      <c r="D66" s="6">
        <v>0.33</v>
      </c>
      <c r="E66" s="6">
        <v>0.16</v>
      </c>
      <c r="F66" s="6">
        <v>0.96</v>
      </c>
      <c r="G66" s="6">
        <f t="shared" si="2"/>
        <v>1.7107200000000002</v>
      </c>
      <c r="H66" s="15">
        <f t="shared" si="3"/>
        <v>0.8640000000000001</v>
      </c>
    </row>
    <row r="67" spans="1:13" ht="75.75" thickBot="1" x14ac:dyDescent="0.3">
      <c r="A67" s="8" t="s">
        <v>143</v>
      </c>
      <c r="B67" s="59" t="s">
        <v>372</v>
      </c>
      <c r="C67" s="6">
        <v>425.8</v>
      </c>
      <c r="D67" s="6">
        <v>0.33</v>
      </c>
      <c r="E67" s="6">
        <v>0.16</v>
      </c>
      <c r="F67" s="6">
        <v>0.96</v>
      </c>
      <c r="G67" s="6">
        <f t="shared" si="2"/>
        <v>134.89344</v>
      </c>
      <c r="H67" s="15">
        <f t="shared" si="3"/>
        <v>68.128</v>
      </c>
    </row>
    <row r="68" spans="1:13" ht="90.75" customHeight="1" thickBot="1" x14ac:dyDescent="0.3">
      <c r="A68" s="8" t="s">
        <v>142</v>
      </c>
      <c r="B68" s="59" t="s">
        <v>406</v>
      </c>
      <c r="C68" s="6">
        <v>955.8</v>
      </c>
      <c r="D68" s="6">
        <v>0.33</v>
      </c>
      <c r="E68" s="6">
        <v>0.16</v>
      </c>
      <c r="F68" s="6">
        <v>0.96</v>
      </c>
      <c r="G68" s="6">
        <f t="shared" si="2"/>
        <v>302.79743999999999</v>
      </c>
      <c r="H68" s="15">
        <f t="shared" si="3"/>
        <v>152.928</v>
      </c>
    </row>
    <row r="69" spans="1:13" ht="75.75" thickBot="1" x14ac:dyDescent="0.3">
      <c r="A69" s="8" t="s">
        <v>141</v>
      </c>
      <c r="B69" s="59" t="s">
        <v>372</v>
      </c>
      <c r="C69" s="6">
        <v>425.8</v>
      </c>
      <c r="D69" s="6">
        <v>0.33</v>
      </c>
      <c r="E69" s="6">
        <v>0.16</v>
      </c>
      <c r="F69" s="6">
        <v>0.96</v>
      </c>
      <c r="G69" s="6">
        <f t="shared" si="2"/>
        <v>134.89344</v>
      </c>
      <c r="H69" s="15">
        <f t="shared" si="3"/>
        <v>68.128</v>
      </c>
    </row>
    <row r="70" spans="1:13" ht="30.75" thickBot="1" x14ac:dyDescent="0.3">
      <c r="A70" s="8" t="s">
        <v>184</v>
      </c>
      <c r="B70" s="58" t="s">
        <v>395</v>
      </c>
      <c r="C70" s="6">
        <v>25.4</v>
      </c>
      <c r="D70" s="6">
        <v>0.33</v>
      </c>
      <c r="E70" s="6">
        <v>0.16</v>
      </c>
      <c r="F70" s="6">
        <v>0.96</v>
      </c>
      <c r="G70" s="6">
        <f t="shared" si="2"/>
        <v>8.0467199999999988</v>
      </c>
      <c r="H70" s="15">
        <f t="shared" si="3"/>
        <v>4.0640000000000001</v>
      </c>
    </row>
    <row r="71" spans="1:13" ht="30.75" thickBot="1" x14ac:dyDescent="0.3">
      <c r="A71" s="8" t="s">
        <v>186</v>
      </c>
      <c r="B71" s="58" t="s">
        <v>395</v>
      </c>
      <c r="C71" s="6">
        <v>25.4</v>
      </c>
      <c r="D71" s="6">
        <v>0.33</v>
      </c>
      <c r="E71" s="6">
        <v>0.16</v>
      </c>
      <c r="F71" s="6">
        <v>0.96</v>
      </c>
      <c r="G71" s="6">
        <f t="shared" si="2"/>
        <v>8.0467199999999988</v>
      </c>
      <c r="H71" s="15">
        <f t="shared" si="3"/>
        <v>4.0640000000000001</v>
      </c>
    </row>
    <row r="72" spans="1:13" ht="30.75" thickBot="1" x14ac:dyDescent="0.3">
      <c r="A72" s="8" t="s">
        <v>188</v>
      </c>
      <c r="B72" s="58" t="s">
        <v>395</v>
      </c>
      <c r="C72" s="6">
        <v>25.4</v>
      </c>
      <c r="D72" s="6">
        <v>0.33</v>
      </c>
      <c r="E72" s="6">
        <v>0.16</v>
      </c>
      <c r="F72" s="6">
        <v>0.96</v>
      </c>
      <c r="G72" s="6">
        <f t="shared" si="2"/>
        <v>8.0467199999999988</v>
      </c>
      <c r="H72" s="15">
        <f t="shared" si="3"/>
        <v>4.0640000000000001</v>
      </c>
    </row>
    <row r="73" spans="1:13" ht="30.75" thickBot="1" x14ac:dyDescent="0.3">
      <c r="A73" s="8" t="s">
        <v>189</v>
      </c>
      <c r="B73" s="58" t="s">
        <v>395</v>
      </c>
      <c r="C73" s="6">
        <v>25.4</v>
      </c>
      <c r="D73" s="6">
        <v>0.33</v>
      </c>
      <c r="E73" s="6">
        <v>0.16</v>
      </c>
      <c r="F73" s="6">
        <v>0.96</v>
      </c>
      <c r="G73" s="6">
        <f t="shared" si="2"/>
        <v>8.0467199999999988</v>
      </c>
      <c r="H73" s="15">
        <f t="shared" si="3"/>
        <v>4.0640000000000001</v>
      </c>
      <c r="M73" s="56"/>
    </row>
    <row r="74" spans="1:13" ht="16.5" thickBot="1" x14ac:dyDescent="0.3">
      <c r="A74" s="8" t="s">
        <v>140</v>
      </c>
      <c r="B74" s="6" t="s">
        <v>407</v>
      </c>
      <c r="C74" s="6">
        <v>0.4</v>
      </c>
      <c r="D74" s="6">
        <v>0.33</v>
      </c>
      <c r="E74" s="6">
        <v>0.16</v>
      </c>
      <c r="F74" s="6">
        <v>0.96</v>
      </c>
      <c r="G74" s="6">
        <f t="shared" si="2"/>
        <v>0.12672</v>
      </c>
      <c r="H74" s="15">
        <f t="shared" si="3"/>
        <v>6.4000000000000001E-2</v>
      </c>
      <c r="M74" s="57"/>
    </row>
    <row r="75" spans="1:13" ht="15.75" thickBot="1" x14ac:dyDescent="0.3">
      <c r="A75" s="8" t="s">
        <v>193</v>
      </c>
      <c r="B75" s="6" t="s">
        <v>407</v>
      </c>
      <c r="C75" s="6">
        <v>0.4</v>
      </c>
      <c r="D75" s="6">
        <v>0.33</v>
      </c>
      <c r="E75" s="6">
        <v>0.16</v>
      </c>
      <c r="F75" s="6">
        <v>0.96</v>
      </c>
      <c r="G75" s="6">
        <f t="shared" si="2"/>
        <v>0.12672</v>
      </c>
      <c r="H75" s="15">
        <f t="shared" si="3"/>
        <v>6.4000000000000001E-2</v>
      </c>
    </row>
    <row r="76" spans="1:13" ht="15.75" thickBot="1" x14ac:dyDescent="0.3">
      <c r="A76" s="8" t="s">
        <v>194</v>
      </c>
      <c r="B76" s="6" t="s">
        <v>407</v>
      </c>
      <c r="C76" s="6">
        <v>0.4</v>
      </c>
      <c r="D76" s="6">
        <v>0.33</v>
      </c>
      <c r="E76" s="6">
        <v>0.16</v>
      </c>
      <c r="F76" s="6">
        <v>0.96</v>
      </c>
      <c r="G76" s="6">
        <f t="shared" si="2"/>
        <v>0.12672</v>
      </c>
      <c r="H76" s="15">
        <f t="shared" si="3"/>
        <v>6.4000000000000001E-2</v>
      </c>
    </row>
    <row r="77" spans="1:13" ht="15.75" thickBot="1" x14ac:dyDescent="0.3">
      <c r="A77" s="8" t="s">
        <v>408</v>
      </c>
      <c r="B77" s="6" t="s">
        <v>407</v>
      </c>
      <c r="C77" s="6">
        <v>0.4</v>
      </c>
      <c r="D77" s="6">
        <v>0.33</v>
      </c>
      <c r="E77" s="6">
        <v>0.16</v>
      </c>
      <c r="F77" s="6">
        <v>0.96</v>
      </c>
      <c r="G77" s="6">
        <f t="shared" si="2"/>
        <v>0.12672</v>
      </c>
      <c r="H77" s="15">
        <f t="shared" si="3"/>
        <v>6.4000000000000001E-2</v>
      </c>
    </row>
    <row r="78" spans="1:13" ht="15.75" thickBot="1" x14ac:dyDescent="0.3">
      <c r="A78" s="8" t="s">
        <v>409</v>
      </c>
      <c r="B78" s="6" t="s">
        <v>407</v>
      </c>
      <c r="C78" s="6">
        <v>0.4</v>
      </c>
      <c r="D78" s="6">
        <v>0.33</v>
      </c>
      <c r="E78" s="6">
        <v>0.16</v>
      </c>
      <c r="F78" s="6">
        <v>0.96</v>
      </c>
      <c r="G78" s="6">
        <f t="shared" si="2"/>
        <v>0.12672</v>
      </c>
      <c r="H78" s="15">
        <f t="shared" si="3"/>
        <v>6.4000000000000001E-2</v>
      </c>
    </row>
    <row r="79" spans="1:13" ht="90.75" thickBot="1" x14ac:dyDescent="0.3">
      <c r="A79" s="8" t="s">
        <v>410</v>
      </c>
      <c r="B79" s="59" t="s">
        <v>411</v>
      </c>
      <c r="C79" s="6">
        <v>2175.4</v>
      </c>
      <c r="D79" s="6">
        <v>0.33</v>
      </c>
      <c r="E79" s="6">
        <v>0.16</v>
      </c>
      <c r="F79" s="6">
        <v>0.96</v>
      </c>
      <c r="G79" s="6">
        <f t="shared" si="2"/>
        <v>689.16672000000005</v>
      </c>
      <c r="H79" s="15">
        <f t="shared" si="3"/>
        <v>348.06400000000002</v>
      </c>
    </row>
    <row r="80" spans="1:13" ht="30.75" thickBot="1" x14ac:dyDescent="0.3">
      <c r="A80" s="8" t="s">
        <v>412</v>
      </c>
      <c r="B80" s="59" t="s">
        <v>413</v>
      </c>
      <c r="C80" s="6">
        <v>1400.4</v>
      </c>
      <c r="D80" s="6">
        <v>0.33</v>
      </c>
      <c r="E80" s="6">
        <v>0.16</v>
      </c>
      <c r="F80" s="6">
        <v>0.96</v>
      </c>
      <c r="G80" s="6">
        <f t="shared" si="2"/>
        <v>443.64672000000002</v>
      </c>
      <c r="H80" s="15">
        <f t="shared" si="3"/>
        <v>224.06400000000002</v>
      </c>
    </row>
    <row r="81" spans="1:8" ht="45.75" thickBot="1" x14ac:dyDescent="0.3">
      <c r="A81" s="8" t="s">
        <v>129</v>
      </c>
      <c r="B81" s="59" t="s">
        <v>414</v>
      </c>
      <c r="C81" s="6">
        <v>215.4</v>
      </c>
      <c r="D81" s="6">
        <v>0.33</v>
      </c>
      <c r="E81" s="6">
        <v>0.16</v>
      </c>
      <c r="F81" s="6">
        <v>0.96</v>
      </c>
      <c r="G81" s="6">
        <f t="shared" si="2"/>
        <v>68.238720000000001</v>
      </c>
      <c r="H81" s="15">
        <f t="shared" si="3"/>
        <v>34.463999999999999</v>
      </c>
    </row>
    <row r="82" spans="1:8" ht="15.75" thickBot="1" x14ac:dyDescent="0.3">
      <c r="A82" s="8" t="s">
        <v>130</v>
      </c>
      <c r="B82" s="61" t="s">
        <v>407</v>
      </c>
      <c r="C82" s="6">
        <v>0.4</v>
      </c>
      <c r="D82" s="6">
        <v>0.33</v>
      </c>
      <c r="E82" s="6">
        <v>0.16</v>
      </c>
      <c r="F82" s="6">
        <v>0.96</v>
      </c>
      <c r="G82" s="6">
        <f t="shared" si="2"/>
        <v>0.12672</v>
      </c>
      <c r="H82" s="15">
        <f t="shared" si="3"/>
        <v>6.4000000000000001E-2</v>
      </c>
    </row>
    <row r="83" spans="1:8" ht="15.75" thickBot="1" x14ac:dyDescent="0.3">
      <c r="A83" s="8" t="s">
        <v>132</v>
      </c>
      <c r="B83" s="61" t="s">
        <v>407</v>
      </c>
      <c r="C83" s="6">
        <v>0.4</v>
      </c>
      <c r="D83" s="6">
        <v>0.33</v>
      </c>
      <c r="E83" s="6">
        <v>0.16</v>
      </c>
      <c r="F83" s="6">
        <v>0.96</v>
      </c>
      <c r="G83" s="6">
        <f t="shared" si="2"/>
        <v>0.12672</v>
      </c>
      <c r="H83" s="15">
        <f t="shared" si="3"/>
        <v>6.4000000000000001E-2</v>
      </c>
    </row>
    <row r="84" spans="1:8" ht="75.75" thickBot="1" x14ac:dyDescent="0.3">
      <c r="A84" s="8" t="s">
        <v>415</v>
      </c>
      <c r="B84" s="62" t="s">
        <v>416</v>
      </c>
      <c r="C84" s="6">
        <v>396.4</v>
      </c>
      <c r="D84" s="6">
        <v>0.33</v>
      </c>
      <c r="E84" s="6">
        <v>0.16</v>
      </c>
      <c r="F84" s="6">
        <v>0.96</v>
      </c>
      <c r="G84" s="6">
        <f t="shared" si="2"/>
        <v>125.57952</v>
      </c>
      <c r="H84" s="15">
        <f t="shared" si="3"/>
        <v>63.423999999999999</v>
      </c>
    </row>
    <row r="85" spans="1:8" ht="45.75" thickBot="1" x14ac:dyDescent="0.3">
      <c r="A85" s="8" t="s">
        <v>176</v>
      </c>
      <c r="B85" s="60" t="s">
        <v>385</v>
      </c>
      <c r="C85" s="6">
        <v>355</v>
      </c>
      <c r="D85" s="6">
        <v>0.33</v>
      </c>
      <c r="E85" s="6">
        <v>0.16</v>
      </c>
      <c r="F85" s="6">
        <v>0.96</v>
      </c>
      <c r="G85" s="6">
        <f t="shared" si="2"/>
        <v>112.464</v>
      </c>
      <c r="H85" s="15">
        <f t="shared" si="3"/>
        <v>56.800000000000004</v>
      </c>
    </row>
    <row r="86" spans="1:8" ht="105.75" thickBot="1" x14ac:dyDescent="0.3">
      <c r="A86" s="8" t="s">
        <v>417</v>
      </c>
      <c r="B86" s="59" t="s">
        <v>418</v>
      </c>
      <c r="C86" s="6">
        <v>2477.4</v>
      </c>
      <c r="D86" s="6">
        <v>0.33</v>
      </c>
      <c r="E86" s="6">
        <v>0.16</v>
      </c>
      <c r="F86" s="6">
        <v>0.96</v>
      </c>
      <c r="G86" s="6">
        <f t="shared" si="2"/>
        <v>784.84032000000002</v>
      </c>
      <c r="H86" s="15">
        <f t="shared" si="3"/>
        <v>396.38400000000001</v>
      </c>
    </row>
    <row r="87" spans="1:8" ht="15.75" thickBot="1" x14ac:dyDescent="0.3">
      <c r="A87" s="8" t="s">
        <v>419</v>
      </c>
      <c r="B87" s="63" t="s">
        <v>382</v>
      </c>
      <c r="C87" s="6">
        <v>0.4</v>
      </c>
      <c r="D87" s="6">
        <v>0.33</v>
      </c>
      <c r="E87" s="6">
        <v>0.16</v>
      </c>
      <c r="F87" s="6">
        <v>0.96</v>
      </c>
      <c r="G87" s="6">
        <f t="shared" si="2"/>
        <v>0.12672</v>
      </c>
      <c r="H87" s="15">
        <f t="shared" si="3"/>
        <v>6.4000000000000001E-2</v>
      </c>
    </row>
    <row r="88" spans="1:8" ht="60.75" thickBot="1" x14ac:dyDescent="0.3">
      <c r="A88" s="23" t="s">
        <v>65</v>
      </c>
      <c r="B88" s="64" t="s">
        <v>420</v>
      </c>
      <c r="C88" s="21">
        <v>45.8</v>
      </c>
      <c r="D88" s="21">
        <v>0.33</v>
      </c>
      <c r="E88" s="21">
        <v>0.16</v>
      </c>
      <c r="F88" s="21">
        <v>0.96</v>
      </c>
      <c r="G88" s="21">
        <f t="shared" si="2"/>
        <v>14.509439999999998</v>
      </c>
      <c r="H88" s="22">
        <f t="shared" si="3"/>
        <v>7.3279999999999994</v>
      </c>
    </row>
    <row r="89" spans="1:8" ht="15.75" thickBot="1" x14ac:dyDescent="0.3">
      <c r="E89" s="101" t="s">
        <v>336</v>
      </c>
      <c r="F89" s="101"/>
      <c r="G89" s="77">
        <f>SUM(G49:G88)</f>
        <v>3484.8253440000008</v>
      </c>
      <c r="H89" s="77">
        <f>SUM(H49:H88)</f>
        <v>1760.0128</v>
      </c>
    </row>
    <row r="90" spans="1:8" ht="15.75" thickBot="1" x14ac:dyDescent="0.3">
      <c r="E90" s="101" t="s">
        <v>162</v>
      </c>
      <c r="F90" s="101"/>
      <c r="G90" s="101">
        <f>G89+H89</f>
        <v>5244.8381440000012</v>
      </c>
      <c r="H90" s="101"/>
    </row>
    <row r="91" spans="1:8" x14ac:dyDescent="0.25">
      <c r="E91" s="54"/>
      <c r="F91" s="54"/>
      <c r="G91" s="54"/>
      <c r="H91" s="54"/>
    </row>
    <row r="92" spans="1:8" x14ac:dyDescent="0.25">
      <c r="A92" s="95" t="s">
        <v>421</v>
      </c>
      <c r="B92" s="95"/>
      <c r="C92" s="95"/>
      <c r="D92" s="95"/>
      <c r="E92" s="95"/>
      <c r="F92" s="95"/>
      <c r="G92" s="95"/>
      <c r="H92" s="95"/>
    </row>
    <row r="93" spans="1:8" ht="15.75" thickBot="1" x14ac:dyDescent="0.3">
      <c r="A93" s="16" t="s">
        <v>20</v>
      </c>
      <c r="B93" s="17" t="s">
        <v>338</v>
      </c>
      <c r="C93" s="17" t="s">
        <v>392</v>
      </c>
      <c r="D93" s="76" t="s">
        <v>340</v>
      </c>
      <c r="E93" s="17" t="s">
        <v>341</v>
      </c>
      <c r="F93" s="17" t="s">
        <v>342</v>
      </c>
      <c r="G93" s="17" t="s">
        <v>24</v>
      </c>
      <c r="H93" s="18" t="s">
        <v>422</v>
      </c>
    </row>
    <row r="94" spans="1:8" ht="30.75" thickBot="1" x14ac:dyDescent="0.3">
      <c r="A94" s="8" t="s">
        <v>394</v>
      </c>
      <c r="B94" s="58" t="s">
        <v>395</v>
      </c>
      <c r="C94" s="6">
        <v>25.4</v>
      </c>
      <c r="D94" s="6">
        <v>0.33</v>
      </c>
      <c r="E94" s="6">
        <v>0.16</v>
      </c>
      <c r="F94" s="6">
        <v>0.96</v>
      </c>
      <c r="G94" s="6">
        <f>C94*D94*F94</f>
        <v>8.0467199999999988</v>
      </c>
      <c r="H94" s="15">
        <f>E94*C94</f>
        <v>4.0640000000000001</v>
      </c>
    </row>
    <row r="95" spans="1:8" ht="30.75" thickBot="1" x14ac:dyDescent="0.3">
      <c r="A95" s="8" t="s">
        <v>396</v>
      </c>
      <c r="B95" s="58" t="s">
        <v>395</v>
      </c>
      <c r="C95" s="6">
        <v>25.4</v>
      </c>
      <c r="D95" s="6">
        <v>0.33</v>
      </c>
      <c r="E95" s="6">
        <v>0.16</v>
      </c>
      <c r="F95" s="6">
        <v>0.96</v>
      </c>
      <c r="G95" s="6">
        <f t="shared" ref="G95:G126" si="4">C95*D95*F95</f>
        <v>8.0467199999999988</v>
      </c>
      <c r="H95" s="15">
        <f t="shared" ref="H95:H126" si="5">E95*C95</f>
        <v>4.0640000000000001</v>
      </c>
    </row>
    <row r="96" spans="1:8" ht="30.75" thickBot="1" x14ac:dyDescent="0.3">
      <c r="A96" s="8" t="s">
        <v>397</v>
      </c>
      <c r="B96" s="58" t="s">
        <v>395</v>
      </c>
      <c r="C96" s="6">
        <v>25.4</v>
      </c>
      <c r="D96" s="6">
        <v>0.33</v>
      </c>
      <c r="E96" s="6">
        <v>0.16</v>
      </c>
      <c r="F96" s="6">
        <v>0.96</v>
      </c>
      <c r="G96" s="6">
        <f t="shared" si="4"/>
        <v>8.0467199999999988</v>
      </c>
      <c r="H96" s="15">
        <f t="shared" si="5"/>
        <v>4.0640000000000001</v>
      </c>
    </row>
    <row r="97" spans="1:8" ht="30.75" thickBot="1" x14ac:dyDescent="0.3">
      <c r="A97" s="8" t="s">
        <v>398</v>
      </c>
      <c r="B97" s="58" t="s">
        <v>395</v>
      </c>
      <c r="C97" s="6">
        <v>25.4</v>
      </c>
      <c r="D97" s="6">
        <v>0.33</v>
      </c>
      <c r="E97" s="6">
        <v>0.16</v>
      </c>
      <c r="F97" s="6">
        <v>0.96</v>
      </c>
      <c r="G97" s="6">
        <f t="shared" si="4"/>
        <v>8.0467199999999988</v>
      </c>
      <c r="H97" s="15">
        <f t="shared" si="5"/>
        <v>4.0640000000000001</v>
      </c>
    </row>
    <row r="98" spans="1:8" ht="60.75" thickBot="1" x14ac:dyDescent="0.3">
      <c r="A98" s="8" t="s">
        <v>67</v>
      </c>
      <c r="B98" s="59" t="s">
        <v>423</v>
      </c>
      <c r="C98" s="6">
        <v>175.9</v>
      </c>
      <c r="D98" s="6">
        <v>0.33</v>
      </c>
      <c r="E98" s="6">
        <v>0.16</v>
      </c>
      <c r="F98" s="6">
        <v>0.96</v>
      </c>
      <c r="G98" s="6">
        <f t="shared" si="4"/>
        <v>55.725120000000004</v>
      </c>
      <c r="H98" s="15">
        <f t="shared" si="5"/>
        <v>28.144000000000002</v>
      </c>
    </row>
    <row r="99" spans="1:8" ht="60.75" thickBot="1" x14ac:dyDescent="0.3">
      <c r="A99" s="8" t="s">
        <v>172</v>
      </c>
      <c r="B99" s="59" t="s">
        <v>400</v>
      </c>
      <c r="C99" s="6">
        <v>156.06</v>
      </c>
      <c r="D99" s="6">
        <v>0.33</v>
      </c>
      <c r="E99" s="6">
        <v>0.16</v>
      </c>
      <c r="F99" s="6">
        <v>0.96</v>
      </c>
      <c r="G99" s="6">
        <f t="shared" si="4"/>
        <v>49.439807999999999</v>
      </c>
      <c r="H99" s="15">
        <f t="shared" si="5"/>
        <v>24.9696</v>
      </c>
    </row>
    <row r="100" spans="1:8" ht="60.75" thickBot="1" x14ac:dyDescent="0.3">
      <c r="A100" s="8" t="s">
        <v>173</v>
      </c>
      <c r="B100" s="59" t="s">
        <v>400</v>
      </c>
      <c r="C100" s="6">
        <v>156.06</v>
      </c>
      <c r="D100" s="6">
        <v>0.33</v>
      </c>
      <c r="E100" s="6">
        <v>0.16</v>
      </c>
      <c r="F100" s="6">
        <v>0.96</v>
      </c>
      <c r="G100" s="6">
        <f t="shared" si="4"/>
        <v>49.439807999999999</v>
      </c>
      <c r="H100" s="15">
        <f t="shared" si="5"/>
        <v>24.9696</v>
      </c>
    </row>
    <row r="101" spans="1:8" ht="60.75" thickBot="1" x14ac:dyDescent="0.3">
      <c r="A101" s="8" t="s">
        <v>179</v>
      </c>
      <c r="B101" s="59" t="s">
        <v>400</v>
      </c>
      <c r="C101" s="6">
        <v>156.06</v>
      </c>
      <c r="D101" s="6">
        <v>0.33</v>
      </c>
      <c r="E101" s="6">
        <v>0.16</v>
      </c>
      <c r="F101" s="6">
        <v>0.96</v>
      </c>
      <c r="G101" s="6">
        <f t="shared" si="4"/>
        <v>49.439807999999999</v>
      </c>
      <c r="H101" s="15">
        <f t="shared" si="5"/>
        <v>24.9696</v>
      </c>
    </row>
    <row r="102" spans="1:8" ht="60.75" thickBot="1" x14ac:dyDescent="0.3">
      <c r="A102" s="8" t="s">
        <v>180</v>
      </c>
      <c r="B102" s="59" t="s">
        <v>400</v>
      </c>
      <c r="C102" s="6">
        <v>156.06</v>
      </c>
      <c r="D102" s="6">
        <v>0.33</v>
      </c>
      <c r="E102" s="6">
        <v>0.16</v>
      </c>
      <c r="F102" s="6">
        <v>0.96</v>
      </c>
      <c r="G102" s="6">
        <f t="shared" si="4"/>
        <v>49.439807999999999</v>
      </c>
      <c r="H102" s="15">
        <f t="shared" si="5"/>
        <v>24.9696</v>
      </c>
    </row>
    <row r="103" spans="1:8" ht="60.75" thickBot="1" x14ac:dyDescent="0.3">
      <c r="A103" s="8" t="s">
        <v>183</v>
      </c>
      <c r="B103" s="59" t="s">
        <v>400</v>
      </c>
      <c r="C103" s="6">
        <v>156.06</v>
      </c>
      <c r="D103" s="6">
        <v>0.33</v>
      </c>
      <c r="E103" s="6">
        <v>0.16</v>
      </c>
      <c r="F103" s="6">
        <v>0.96</v>
      </c>
      <c r="G103" s="6">
        <f t="shared" si="4"/>
        <v>49.439807999999999</v>
      </c>
      <c r="H103" s="15">
        <f t="shared" si="5"/>
        <v>24.9696</v>
      </c>
    </row>
    <row r="104" spans="1:8" ht="60.75" thickBot="1" x14ac:dyDescent="0.3">
      <c r="A104" s="8" t="s">
        <v>187</v>
      </c>
      <c r="B104" s="59" t="s">
        <v>400</v>
      </c>
      <c r="C104" s="6">
        <v>156.06</v>
      </c>
      <c r="D104" s="6">
        <v>0.33</v>
      </c>
      <c r="E104" s="6">
        <v>0.16</v>
      </c>
      <c r="F104" s="6">
        <v>0.96</v>
      </c>
      <c r="G104" s="6">
        <f t="shared" si="4"/>
        <v>49.439807999999999</v>
      </c>
      <c r="H104" s="15">
        <f t="shared" si="5"/>
        <v>24.9696</v>
      </c>
    </row>
    <row r="105" spans="1:8" ht="60.75" thickBot="1" x14ac:dyDescent="0.3">
      <c r="A105" s="8" t="s">
        <v>190</v>
      </c>
      <c r="B105" s="59" t="s">
        <v>400</v>
      </c>
      <c r="C105" s="6">
        <v>156.06</v>
      </c>
      <c r="D105" s="6">
        <v>0.33</v>
      </c>
      <c r="E105" s="6">
        <v>0.16</v>
      </c>
      <c r="F105" s="6">
        <v>0.96</v>
      </c>
      <c r="G105" s="6">
        <f t="shared" si="4"/>
        <v>49.439807999999999</v>
      </c>
      <c r="H105" s="15">
        <f t="shared" si="5"/>
        <v>24.9696</v>
      </c>
    </row>
    <row r="106" spans="1:8" ht="60.75" thickBot="1" x14ac:dyDescent="0.3">
      <c r="A106" s="8" t="s">
        <v>191</v>
      </c>
      <c r="B106" s="59" t="s">
        <v>400</v>
      </c>
      <c r="C106" s="6">
        <v>156.06</v>
      </c>
      <c r="D106" s="6">
        <v>0.33</v>
      </c>
      <c r="E106" s="6">
        <v>0.16</v>
      </c>
      <c r="F106" s="6">
        <v>0.96</v>
      </c>
      <c r="G106" s="6">
        <f t="shared" si="4"/>
        <v>49.439807999999999</v>
      </c>
      <c r="H106" s="15">
        <f t="shared" si="5"/>
        <v>24.9696</v>
      </c>
    </row>
    <row r="107" spans="1:8" ht="60.75" thickBot="1" x14ac:dyDescent="0.3">
      <c r="A107" s="8" t="s">
        <v>307</v>
      </c>
      <c r="B107" s="59" t="s">
        <v>400</v>
      </c>
      <c r="C107" s="6">
        <v>156.06</v>
      </c>
      <c r="D107" s="6">
        <v>0.33</v>
      </c>
      <c r="E107" s="6">
        <v>0.16</v>
      </c>
      <c r="F107" s="6">
        <v>0.96</v>
      </c>
      <c r="G107" s="6">
        <f t="shared" si="4"/>
        <v>49.439807999999999</v>
      </c>
      <c r="H107" s="15">
        <f t="shared" si="5"/>
        <v>24.9696</v>
      </c>
    </row>
    <row r="108" spans="1:8" ht="60.75" thickBot="1" x14ac:dyDescent="0.3">
      <c r="A108" s="8" t="s">
        <v>308</v>
      </c>
      <c r="B108" s="59" t="s">
        <v>400</v>
      </c>
      <c r="C108" s="6">
        <v>156.06</v>
      </c>
      <c r="D108" s="6">
        <v>0.33</v>
      </c>
      <c r="E108" s="6">
        <v>0.16</v>
      </c>
      <c r="F108" s="6">
        <v>0.96</v>
      </c>
      <c r="G108" s="6">
        <f t="shared" si="4"/>
        <v>49.439807999999999</v>
      </c>
      <c r="H108" s="15">
        <f t="shared" si="5"/>
        <v>24.9696</v>
      </c>
    </row>
    <row r="109" spans="1:8" ht="60.75" thickBot="1" x14ac:dyDescent="0.3">
      <c r="A109" s="8" t="s">
        <v>309</v>
      </c>
      <c r="B109" s="59" t="s">
        <v>400</v>
      </c>
      <c r="C109" s="6">
        <v>156.06</v>
      </c>
      <c r="D109" s="6">
        <v>0.33</v>
      </c>
      <c r="E109" s="6">
        <v>0.16</v>
      </c>
      <c r="F109" s="6">
        <v>0.96</v>
      </c>
      <c r="G109" s="6">
        <f t="shared" si="4"/>
        <v>49.439807999999999</v>
      </c>
      <c r="H109" s="15">
        <f t="shared" si="5"/>
        <v>24.9696</v>
      </c>
    </row>
    <row r="110" spans="1:8" ht="60.75" thickBot="1" x14ac:dyDescent="0.3">
      <c r="A110" s="8" t="s">
        <v>310</v>
      </c>
      <c r="B110" s="59" t="s">
        <v>400</v>
      </c>
      <c r="C110" s="6">
        <v>156.06</v>
      </c>
      <c r="D110" s="6">
        <v>0.33</v>
      </c>
      <c r="E110" s="6">
        <v>0.16</v>
      </c>
      <c r="F110" s="6">
        <v>0.96</v>
      </c>
      <c r="G110" s="6">
        <f t="shared" si="4"/>
        <v>49.439807999999999</v>
      </c>
      <c r="H110" s="15">
        <f t="shared" si="5"/>
        <v>24.9696</v>
      </c>
    </row>
    <row r="111" spans="1:8" ht="60.75" thickBot="1" x14ac:dyDescent="0.3">
      <c r="A111" s="8" t="s">
        <v>312</v>
      </c>
      <c r="B111" s="59" t="s">
        <v>400</v>
      </c>
      <c r="C111" s="6">
        <v>156.06</v>
      </c>
      <c r="D111" s="6">
        <v>0.33</v>
      </c>
      <c r="E111" s="6">
        <v>0.16</v>
      </c>
      <c r="F111" s="6">
        <v>0.96</v>
      </c>
      <c r="G111" s="6">
        <f t="shared" si="4"/>
        <v>49.439807999999999</v>
      </c>
      <c r="H111" s="15">
        <f t="shared" si="5"/>
        <v>24.9696</v>
      </c>
    </row>
    <row r="112" spans="1:8" ht="60.75" thickBot="1" x14ac:dyDescent="0.3">
      <c r="A112" s="8" t="s">
        <v>313</v>
      </c>
      <c r="B112" s="59" t="s">
        <v>400</v>
      </c>
      <c r="C112" s="6">
        <v>156.06</v>
      </c>
      <c r="D112" s="6">
        <v>0.33</v>
      </c>
      <c r="E112" s="6">
        <v>0.16</v>
      </c>
      <c r="F112" s="6">
        <v>0.96</v>
      </c>
      <c r="G112" s="6">
        <f t="shared" si="4"/>
        <v>49.439807999999999</v>
      </c>
      <c r="H112" s="15">
        <f t="shared" si="5"/>
        <v>24.9696</v>
      </c>
    </row>
    <row r="113" spans="1:8" ht="60.75" thickBot="1" x14ac:dyDescent="0.3">
      <c r="A113" s="8" t="s">
        <v>424</v>
      </c>
      <c r="B113" s="59" t="s">
        <v>400</v>
      </c>
      <c r="C113" s="6">
        <v>156.06</v>
      </c>
      <c r="D113" s="6">
        <v>0.33</v>
      </c>
      <c r="E113" s="6">
        <v>0.16</v>
      </c>
      <c r="F113" s="6">
        <v>0.96</v>
      </c>
      <c r="G113" s="6">
        <f t="shared" si="4"/>
        <v>49.439807999999999</v>
      </c>
      <c r="H113" s="15">
        <f t="shared" si="5"/>
        <v>24.9696</v>
      </c>
    </row>
    <row r="114" spans="1:8" ht="60.75" thickBot="1" x14ac:dyDescent="0.3">
      <c r="A114" s="8" t="s">
        <v>425</v>
      </c>
      <c r="B114" s="59" t="s">
        <v>400</v>
      </c>
      <c r="C114" s="6">
        <v>156.06</v>
      </c>
      <c r="D114" s="6">
        <v>0.33</v>
      </c>
      <c r="E114" s="6">
        <v>0.16</v>
      </c>
      <c r="F114" s="6">
        <v>0.96</v>
      </c>
      <c r="G114" s="6">
        <f t="shared" si="4"/>
        <v>49.439807999999999</v>
      </c>
      <c r="H114" s="15">
        <f t="shared" si="5"/>
        <v>24.9696</v>
      </c>
    </row>
    <row r="115" spans="1:8" ht="45.75" thickBot="1" x14ac:dyDescent="0.3">
      <c r="A115" s="8" t="s">
        <v>174</v>
      </c>
      <c r="B115" s="59" t="s">
        <v>402</v>
      </c>
      <c r="C115" s="6">
        <v>230.4</v>
      </c>
      <c r="D115" s="6">
        <v>0.33</v>
      </c>
      <c r="E115" s="6">
        <v>0.16</v>
      </c>
      <c r="F115" s="6">
        <v>0.96</v>
      </c>
      <c r="G115" s="6">
        <f t="shared" si="4"/>
        <v>72.99072000000001</v>
      </c>
      <c r="H115" s="15">
        <f t="shared" si="5"/>
        <v>36.864000000000004</v>
      </c>
    </row>
    <row r="116" spans="1:8" ht="30.75" thickBot="1" x14ac:dyDescent="0.3">
      <c r="A116" s="8" t="s">
        <v>175</v>
      </c>
      <c r="B116" s="59" t="s">
        <v>403</v>
      </c>
      <c r="C116" s="6">
        <v>70.400000000000006</v>
      </c>
      <c r="D116" s="6">
        <v>0.33</v>
      </c>
      <c r="E116" s="6">
        <v>0.16</v>
      </c>
      <c r="F116" s="6">
        <v>0.96</v>
      </c>
      <c r="G116" s="6">
        <f t="shared" si="4"/>
        <v>22.302720000000001</v>
      </c>
      <c r="H116" s="15">
        <f t="shared" si="5"/>
        <v>11.264000000000001</v>
      </c>
    </row>
    <row r="117" spans="1:8" ht="45.75" thickBot="1" x14ac:dyDescent="0.3">
      <c r="A117" s="8" t="s">
        <v>176</v>
      </c>
      <c r="B117" s="60" t="s">
        <v>385</v>
      </c>
      <c r="C117" s="6">
        <v>355</v>
      </c>
      <c r="D117" s="6">
        <v>0.33</v>
      </c>
      <c r="E117" s="6">
        <v>0.16</v>
      </c>
      <c r="F117" s="6">
        <v>0.96</v>
      </c>
      <c r="G117" s="6">
        <f t="shared" si="4"/>
        <v>112.464</v>
      </c>
      <c r="H117" s="15">
        <f t="shared" si="5"/>
        <v>56.800000000000004</v>
      </c>
    </row>
    <row r="118" spans="1:8" ht="30.75" thickBot="1" x14ac:dyDescent="0.3">
      <c r="A118" s="8" t="s">
        <v>184</v>
      </c>
      <c r="B118" s="58" t="s">
        <v>395</v>
      </c>
      <c r="C118" s="6">
        <v>25.4</v>
      </c>
      <c r="D118" s="6">
        <v>0.33</v>
      </c>
      <c r="E118" s="6">
        <v>0.16</v>
      </c>
      <c r="F118" s="6">
        <v>0.96</v>
      </c>
      <c r="G118" s="6">
        <f t="shared" si="4"/>
        <v>8.0467199999999988</v>
      </c>
      <c r="H118" s="15">
        <f t="shared" si="5"/>
        <v>4.0640000000000001</v>
      </c>
    </row>
    <row r="119" spans="1:8" ht="30.75" thickBot="1" x14ac:dyDescent="0.3">
      <c r="A119" s="8" t="s">
        <v>186</v>
      </c>
      <c r="B119" s="58" t="s">
        <v>395</v>
      </c>
      <c r="C119" s="6">
        <v>25.4</v>
      </c>
      <c r="D119" s="6">
        <v>0.33</v>
      </c>
      <c r="E119" s="6">
        <v>0.16</v>
      </c>
      <c r="F119" s="6">
        <v>0.96</v>
      </c>
      <c r="G119" s="6">
        <f t="shared" si="4"/>
        <v>8.0467199999999988</v>
      </c>
      <c r="H119" s="15">
        <f t="shared" si="5"/>
        <v>4.0640000000000001</v>
      </c>
    </row>
    <row r="120" spans="1:8" ht="60.75" thickBot="1" x14ac:dyDescent="0.3">
      <c r="A120" s="8" t="s">
        <v>426</v>
      </c>
      <c r="B120" s="59" t="s">
        <v>350</v>
      </c>
      <c r="C120" s="6">
        <v>300.8</v>
      </c>
      <c r="D120" s="6">
        <v>0.33</v>
      </c>
      <c r="E120" s="6">
        <v>0.16</v>
      </c>
      <c r="F120" s="6">
        <v>0.96</v>
      </c>
      <c r="G120" s="6">
        <f t="shared" si="4"/>
        <v>95.293440000000004</v>
      </c>
      <c r="H120" s="15">
        <f t="shared" si="5"/>
        <v>48.128</v>
      </c>
    </row>
    <row r="121" spans="1:8" ht="90.75" thickBot="1" x14ac:dyDescent="0.3">
      <c r="A121" s="8" t="s">
        <v>76</v>
      </c>
      <c r="B121" s="59" t="s">
        <v>370</v>
      </c>
      <c r="C121" s="6">
        <v>525.79999999999995</v>
      </c>
      <c r="D121" s="6">
        <v>0.33</v>
      </c>
      <c r="E121" s="6">
        <v>0.16</v>
      </c>
      <c r="F121" s="6">
        <v>0.96</v>
      </c>
      <c r="G121" s="6">
        <f t="shared" si="4"/>
        <v>166.57343999999998</v>
      </c>
      <c r="H121" s="15">
        <f t="shared" si="5"/>
        <v>84.128</v>
      </c>
    </row>
    <row r="122" spans="1:8" ht="90.75" thickBot="1" x14ac:dyDescent="0.3">
      <c r="A122" s="8" t="s">
        <v>77</v>
      </c>
      <c r="B122" s="59" t="s">
        <v>370</v>
      </c>
      <c r="C122" s="6">
        <v>525.79999999999995</v>
      </c>
      <c r="D122" s="6">
        <v>0.33</v>
      </c>
      <c r="E122" s="6">
        <v>0.16</v>
      </c>
      <c r="F122" s="6">
        <v>0.96</v>
      </c>
      <c r="G122" s="6">
        <f t="shared" si="4"/>
        <v>166.57343999999998</v>
      </c>
      <c r="H122" s="15">
        <f t="shared" si="5"/>
        <v>84.128</v>
      </c>
    </row>
    <row r="123" spans="1:8" ht="60.75" thickBot="1" x14ac:dyDescent="0.3">
      <c r="A123" s="8" t="s">
        <v>427</v>
      </c>
      <c r="B123" s="59" t="s">
        <v>428</v>
      </c>
      <c r="C123" s="6">
        <v>1950.4</v>
      </c>
      <c r="D123" s="6">
        <v>0.33</v>
      </c>
      <c r="E123" s="6">
        <v>0.16</v>
      </c>
      <c r="F123" s="6">
        <v>0.96</v>
      </c>
      <c r="G123" s="6">
        <f t="shared" si="4"/>
        <v>617.88672000000008</v>
      </c>
      <c r="H123" s="15">
        <f t="shared" si="5"/>
        <v>312.06400000000002</v>
      </c>
    </row>
    <row r="124" spans="1:8" ht="45.75" thickBot="1" x14ac:dyDescent="0.3">
      <c r="A124" s="8" t="s">
        <v>319</v>
      </c>
      <c r="B124" s="62" t="s">
        <v>429</v>
      </c>
      <c r="C124" s="6">
        <v>50.16</v>
      </c>
      <c r="D124" s="6">
        <v>0.33</v>
      </c>
      <c r="E124" s="6">
        <v>0.16</v>
      </c>
      <c r="F124" s="6">
        <v>0.96</v>
      </c>
      <c r="G124" s="6">
        <f t="shared" si="4"/>
        <v>15.890688000000001</v>
      </c>
      <c r="H124" s="15">
        <f t="shared" si="5"/>
        <v>8.025599999999999</v>
      </c>
    </row>
    <row r="125" spans="1:8" ht="30.75" thickBot="1" x14ac:dyDescent="0.3">
      <c r="A125" s="8" t="s">
        <v>72</v>
      </c>
      <c r="B125" s="58" t="s">
        <v>395</v>
      </c>
      <c r="C125" s="6">
        <v>25.4</v>
      </c>
      <c r="D125" s="6">
        <v>0.33</v>
      </c>
      <c r="E125" s="6">
        <v>0.16</v>
      </c>
      <c r="F125" s="6">
        <v>0.96</v>
      </c>
      <c r="G125" s="6">
        <f t="shared" si="4"/>
        <v>8.0467199999999988</v>
      </c>
      <c r="H125" s="15">
        <f t="shared" si="5"/>
        <v>4.0640000000000001</v>
      </c>
    </row>
    <row r="126" spans="1:8" ht="60.75" thickBot="1" x14ac:dyDescent="0.3">
      <c r="A126" s="23" t="s">
        <v>65</v>
      </c>
      <c r="B126" s="64" t="s">
        <v>430</v>
      </c>
      <c r="C126" s="21">
        <v>45.8</v>
      </c>
      <c r="D126" s="21">
        <v>0.33</v>
      </c>
      <c r="E126" s="21">
        <v>0.16</v>
      </c>
      <c r="F126" s="21">
        <v>0.96</v>
      </c>
      <c r="G126" s="21">
        <f t="shared" si="4"/>
        <v>14.509439999999998</v>
      </c>
      <c r="H126" s="22">
        <f t="shared" si="5"/>
        <v>7.3279999999999994</v>
      </c>
    </row>
    <row r="127" spans="1:8" ht="15.75" thickBot="1" x14ac:dyDescent="0.3">
      <c r="E127" s="101" t="s">
        <v>336</v>
      </c>
      <c r="F127" s="101"/>
      <c r="G127" s="77">
        <f>SUM(G94:G126)</f>
        <v>2187.573695999999</v>
      </c>
      <c r="H127" s="77">
        <f>SUM(H94:H126)</f>
        <v>1104.8352000000002</v>
      </c>
    </row>
    <row r="128" spans="1:8" ht="15.75" thickBot="1" x14ac:dyDescent="0.3">
      <c r="E128" s="101" t="s">
        <v>162</v>
      </c>
      <c r="F128" s="101"/>
      <c r="G128" s="101">
        <f>G127+H127</f>
        <v>3292.408895999999</v>
      </c>
      <c r="H128" s="101"/>
    </row>
  </sheetData>
  <mergeCells count="12">
    <mergeCell ref="E128:F128"/>
    <mergeCell ref="G128:H128"/>
    <mergeCell ref="E127:F127"/>
    <mergeCell ref="A1:H1"/>
    <mergeCell ref="A47:H47"/>
    <mergeCell ref="A92:H92"/>
    <mergeCell ref="E44:F44"/>
    <mergeCell ref="E45:F45"/>
    <mergeCell ref="G45:H45"/>
    <mergeCell ref="E89:F89"/>
    <mergeCell ref="E90:F90"/>
    <mergeCell ref="G90:H90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4"/>
  <sheetViews>
    <sheetView workbookViewId="0">
      <selection activeCell="I1" sqref="I1"/>
    </sheetView>
  </sheetViews>
  <sheetFormatPr defaultRowHeight="15" x14ac:dyDescent="0.25"/>
  <cols>
    <col min="1" max="1" width="27.5703125" customWidth="1"/>
    <col min="3" max="3" width="11.85546875" customWidth="1"/>
    <col min="4" max="4" width="11.140625" customWidth="1"/>
    <col min="7" max="7" width="10.140625" customWidth="1"/>
    <col min="11" max="11" width="10.85546875" customWidth="1"/>
  </cols>
  <sheetData>
    <row r="1" spans="1:17" x14ac:dyDescent="0.25">
      <c r="A1" s="95" t="s">
        <v>431</v>
      </c>
      <c r="B1" s="95"/>
      <c r="C1" s="95"/>
      <c r="D1" s="95"/>
      <c r="E1" s="95"/>
      <c r="F1" s="95"/>
      <c r="G1" s="95"/>
      <c r="H1" s="95"/>
    </row>
    <row r="2" spans="1:17" x14ac:dyDescent="0.25">
      <c r="A2" s="103" t="s">
        <v>432</v>
      </c>
      <c r="B2" s="103"/>
      <c r="C2" s="103"/>
      <c r="D2" s="103"/>
      <c r="E2" s="103"/>
      <c r="F2" s="103"/>
      <c r="G2" s="103"/>
      <c r="H2" s="103"/>
    </row>
    <row r="3" spans="1:17" ht="15.75" thickBot="1" x14ac:dyDescent="0.3">
      <c r="A3" s="16" t="s">
        <v>20</v>
      </c>
      <c r="B3" s="17" t="s">
        <v>2</v>
      </c>
      <c r="C3" s="17" t="s">
        <v>237</v>
      </c>
      <c r="D3" s="17" t="s">
        <v>433</v>
      </c>
      <c r="E3" s="17" t="s">
        <v>7</v>
      </c>
      <c r="F3" s="17" t="s">
        <v>8</v>
      </c>
      <c r="G3" s="17" t="s">
        <v>434</v>
      </c>
      <c r="H3" s="18" t="s">
        <v>10</v>
      </c>
      <c r="K3" s="1"/>
      <c r="L3" s="1"/>
    </row>
    <row r="4" spans="1:17" ht="15.75" thickBot="1" x14ac:dyDescent="0.3">
      <c r="A4" s="48" t="s">
        <v>124</v>
      </c>
      <c r="B4" s="80">
        <v>2.584380007</v>
      </c>
      <c r="C4" s="6">
        <v>34.276899999999998</v>
      </c>
      <c r="D4" s="6">
        <v>18</v>
      </c>
      <c r="E4" s="6">
        <v>22.5</v>
      </c>
      <c r="F4" s="6">
        <v>30.45</v>
      </c>
      <c r="G4" s="6">
        <f>((D4*0.75)+(25-E4)+(F4-29))*0.75</f>
        <v>13.087499999999999</v>
      </c>
      <c r="H4" s="15">
        <f>B4*C4*G4</f>
        <v>1159.3501026231174</v>
      </c>
      <c r="M4" s="47"/>
      <c r="N4" s="47"/>
      <c r="O4" s="47"/>
      <c r="P4" s="47"/>
      <c r="Q4" s="47"/>
    </row>
    <row r="5" spans="1:17" ht="15.75" thickBot="1" x14ac:dyDescent="0.3">
      <c r="A5" s="48" t="s">
        <v>170</v>
      </c>
      <c r="B5" s="80">
        <v>2.584380007</v>
      </c>
      <c r="C5" s="6">
        <v>34.26</v>
      </c>
      <c r="D5" s="6">
        <v>18</v>
      </c>
      <c r="E5" s="6">
        <v>22.5</v>
      </c>
      <c r="F5" s="6">
        <v>30.45</v>
      </c>
      <c r="G5" s="6">
        <f t="shared" ref="G5:G45" si="0">((D5*0.75)+(25-E5)+(F5-29))*0.75</f>
        <v>13.087499999999999</v>
      </c>
      <c r="H5" s="15">
        <f t="shared" ref="H5:H45" si="1">B5*C5*G5</f>
        <v>1158.7784926836441</v>
      </c>
      <c r="M5" s="47"/>
      <c r="N5" s="47"/>
      <c r="O5" s="47"/>
      <c r="P5" s="47"/>
      <c r="Q5" s="47"/>
    </row>
    <row r="6" spans="1:17" ht="15.75" thickBot="1" x14ac:dyDescent="0.3">
      <c r="A6" s="48" t="s">
        <v>305</v>
      </c>
      <c r="B6" s="80">
        <v>2.584380007</v>
      </c>
      <c r="C6" s="6">
        <v>37.408700000000003</v>
      </c>
      <c r="D6" s="6">
        <v>18</v>
      </c>
      <c r="E6" s="6">
        <v>22.5</v>
      </c>
      <c r="F6" s="6">
        <v>30.45</v>
      </c>
      <c r="G6" s="6">
        <f t="shared" si="0"/>
        <v>13.087499999999999</v>
      </c>
      <c r="H6" s="15">
        <f t="shared" si="1"/>
        <v>1265.2772037143795</v>
      </c>
      <c r="M6" s="47"/>
      <c r="N6" s="47"/>
      <c r="O6" s="47"/>
      <c r="P6" s="47"/>
      <c r="Q6" s="47"/>
    </row>
    <row r="7" spans="1:17" ht="15.75" thickBot="1" x14ac:dyDescent="0.3">
      <c r="A7" s="48" t="s">
        <v>306</v>
      </c>
      <c r="B7" s="80">
        <v>2.584380007</v>
      </c>
      <c r="C7" s="6">
        <v>37.408700000000003</v>
      </c>
      <c r="D7" s="6">
        <v>18</v>
      </c>
      <c r="E7" s="6">
        <v>22.5</v>
      </c>
      <c r="F7" s="6">
        <v>30.45</v>
      </c>
      <c r="G7" s="6">
        <f t="shared" si="0"/>
        <v>13.087499999999999</v>
      </c>
      <c r="H7" s="15">
        <f t="shared" si="1"/>
        <v>1265.2772037143795</v>
      </c>
      <c r="M7" s="47"/>
      <c r="N7" s="47"/>
      <c r="O7" s="47"/>
      <c r="P7" s="47"/>
      <c r="Q7" s="47"/>
    </row>
    <row r="8" spans="1:17" ht="15.75" thickBot="1" x14ac:dyDescent="0.3">
      <c r="A8" s="48" t="s">
        <v>125</v>
      </c>
      <c r="B8" s="80">
        <v>2.584380007</v>
      </c>
      <c r="C8" s="6">
        <v>34.26</v>
      </c>
      <c r="D8" s="6">
        <v>18</v>
      </c>
      <c r="E8" s="6">
        <v>22.5</v>
      </c>
      <c r="F8" s="6">
        <v>30.45</v>
      </c>
      <c r="G8" s="6">
        <f t="shared" si="0"/>
        <v>13.087499999999999</v>
      </c>
      <c r="H8" s="15">
        <f t="shared" si="1"/>
        <v>1158.7784926836441</v>
      </c>
      <c r="M8" s="47"/>
      <c r="N8" s="47"/>
      <c r="O8" s="47"/>
      <c r="P8" s="47"/>
      <c r="Q8" s="47"/>
    </row>
    <row r="9" spans="1:17" ht="15.75" thickBot="1" x14ac:dyDescent="0.3">
      <c r="A9" s="48" t="s">
        <v>126</v>
      </c>
      <c r="B9" s="80">
        <v>2.584380007</v>
      </c>
      <c r="C9" s="6">
        <v>34.26</v>
      </c>
      <c r="D9" s="6">
        <v>18</v>
      </c>
      <c r="E9" s="6">
        <v>22.5</v>
      </c>
      <c r="F9" s="6">
        <v>30.45</v>
      </c>
      <c r="G9" s="6">
        <f t="shared" si="0"/>
        <v>13.087499999999999</v>
      </c>
      <c r="H9" s="15">
        <f t="shared" si="1"/>
        <v>1158.7784926836441</v>
      </c>
      <c r="M9" s="47"/>
      <c r="N9" s="47"/>
      <c r="O9" s="47"/>
      <c r="P9" s="47"/>
      <c r="Q9" s="47"/>
    </row>
    <row r="10" spans="1:17" ht="15.75" thickBot="1" x14ac:dyDescent="0.3">
      <c r="A10" s="48" t="s">
        <v>171</v>
      </c>
      <c r="B10" s="80">
        <v>2.584380007</v>
      </c>
      <c r="C10" s="6">
        <v>10.1393</v>
      </c>
      <c r="D10" s="6">
        <v>18</v>
      </c>
      <c r="E10" s="6">
        <v>22.5</v>
      </c>
      <c r="F10" s="6">
        <v>30.45</v>
      </c>
      <c r="G10" s="6">
        <f t="shared" si="0"/>
        <v>13.087499999999999</v>
      </c>
      <c r="H10" s="15">
        <f t="shared" si="1"/>
        <v>342.9422875326116</v>
      </c>
      <c r="M10" s="47"/>
      <c r="N10" s="47"/>
      <c r="O10" s="47"/>
      <c r="P10" s="47"/>
      <c r="Q10" s="47"/>
    </row>
    <row r="11" spans="1:17" ht="15.75" thickBot="1" x14ac:dyDescent="0.3">
      <c r="A11" s="48" t="s">
        <v>172</v>
      </c>
      <c r="B11" s="80">
        <v>2.584380007</v>
      </c>
      <c r="C11" s="6">
        <v>13.9222</v>
      </c>
      <c r="D11" s="6">
        <v>18</v>
      </c>
      <c r="E11" s="6">
        <v>22.5</v>
      </c>
      <c r="F11" s="6">
        <v>30.45</v>
      </c>
      <c r="G11" s="6">
        <f t="shared" si="0"/>
        <v>13.087499999999999</v>
      </c>
      <c r="H11" s="15">
        <f t="shared" si="1"/>
        <v>470.89159167659756</v>
      </c>
      <c r="M11" s="47"/>
      <c r="N11" s="47"/>
      <c r="O11" s="47"/>
      <c r="P11" s="47"/>
      <c r="Q11" s="47"/>
    </row>
    <row r="12" spans="1:17" ht="15.75" thickBot="1" x14ac:dyDescent="0.3">
      <c r="A12" s="48" t="s">
        <v>173</v>
      </c>
      <c r="B12" s="80">
        <v>2.584380007</v>
      </c>
      <c r="C12" s="6">
        <v>13.873799999999999</v>
      </c>
      <c r="D12" s="6">
        <v>18</v>
      </c>
      <c r="E12" s="6">
        <v>22.5</v>
      </c>
      <c r="F12" s="6">
        <v>30.45</v>
      </c>
      <c r="G12" s="6">
        <f t="shared" si="0"/>
        <v>13.087499999999999</v>
      </c>
      <c r="H12" s="15">
        <f t="shared" si="1"/>
        <v>469.25455492686348</v>
      </c>
      <c r="M12" s="47"/>
      <c r="N12" s="47"/>
      <c r="O12" s="47"/>
      <c r="P12" s="47"/>
      <c r="Q12" s="47"/>
    </row>
    <row r="13" spans="1:17" ht="15.75" thickBot="1" x14ac:dyDescent="0.3">
      <c r="A13" s="48" t="s">
        <v>174</v>
      </c>
      <c r="B13" s="80">
        <v>2.584380007</v>
      </c>
      <c r="C13" s="6">
        <v>30.712</v>
      </c>
      <c r="D13" s="6">
        <v>18</v>
      </c>
      <c r="E13" s="6">
        <v>22.5</v>
      </c>
      <c r="F13" s="6">
        <v>30.45</v>
      </c>
      <c r="G13" s="6">
        <f t="shared" si="0"/>
        <v>13.087499999999999</v>
      </c>
      <c r="H13" s="15">
        <f t="shared" si="1"/>
        <v>1038.7742284676031</v>
      </c>
      <c r="M13" s="47"/>
      <c r="N13" s="47"/>
      <c r="O13" s="47"/>
      <c r="P13" s="47"/>
      <c r="Q13" s="47"/>
    </row>
    <row r="14" spans="1:17" ht="15.75" thickBot="1" x14ac:dyDescent="0.3">
      <c r="A14" s="48" t="s">
        <v>175</v>
      </c>
      <c r="B14" s="80">
        <v>2.584380007</v>
      </c>
      <c r="C14" s="6">
        <v>17.941299999999998</v>
      </c>
      <c r="D14" s="6">
        <v>18</v>
      </c>
      <c r="E14" s="6">
        <v>22.5</v>
      </c>
      <c r="F14" s="6">
        <v>30.45</v>
      </c>
      <c r="G14" s="6">
        <f t="shared" si="0"/>
        <v>13.087499999999999</v>
      </c>
      <c r="H14" s="15">
        <f t="shared" si="1"/>
        <v>606.82990574387225</v>
      </c>
      <c r="M14" s="47"/>
      <c r="N14" s="47"/>
      <c r="O14" s="47"/>
      <c r="P14" s="47"/>
      <c r="Q14" s="47"/>
    </row>
    <row r="15" spans="1:17" ht="15.75" thickBot="1" x14ac:dyDescent="0.3">
      <c r="A15" s="48" t="s">
        <v>176</v>
      </c>
      <c r="B15" s="80">
        <v>2.584380007</v>
      </c>
      <c r="C15" s="6">
        <v>22.829000000000001</v>
      </c>
      <c r="D15" s="6">
        <v>18</v>
      </c>
      <c r="E15" s="6">
        <v>22.5</v>
      </c>
      <c r="F15" s="6">
        <v>30.45</v>
      </c>
      <c r="G15" s="6">
        <f t="shared" si="0"/>
        <v>13.087499999999999</v>
      </c>
      <c r="H15" s="15">
        <f t="shared" si="1"/>
        <v>772.14694131567171</v>
      </c>
      <c r="M15" s="47"/>
      <c r="N15" s="47"/>
      <c r="O15" s="47"/>
      <c r="P15" s="47"/>
      <c r="Q15" s="47"/>
    </row>
    <row r="16" spans="1:17" ht="15.75" thickBot="1" x14ac:dyDescent="0.3">
      <c r="A16" s="48" t="s">
        <v>177</v>
      </c>
      <c r="B16" s="80">
        <v>2.584380007</v>
      </c>
      <c r="C16" s="6">
        <v>4.7869000000000002</v>
      </c>
      <c r="D16" s="6">
        <v>18</v>
      </c>
      <c r="E16" s="6">
        <v>24</v>
      </c>
      <c r="F16" s="6">
        <v>30.45</v>
      </c>
      <c r="G16" s="6">
        <f t="shared" si="0"/>
        <v>11.962499999999999</v>
      </c>
      <c r="H16" s="15">
        <f t="shared" si="1"/>
        <v>147.99010504151804</v>
      </c>
      <c r="M16" s="47"/>
      <c r="N16" s="47"/>
      <c r="O16" s="47"/>
      <c r="P16" s="47"/>
      <c r="Q16" s="47"/>
    </row>
    <row r="17" spans="1:17" ht="15.75" thickBot="1" x14ac:dyDescent="0.3">
      <c r="A17" s="48" t="s">
        <v>178</v>
      </c>
      <c r="B17" s="80">
        <v>2.584380007</v>
      </c>
      <c r="C17" s="6">
        <v>2.4581</v>
      </c>
      <c r="D17" s="6">
        <v>18</v>
      </c>
      <c r="E17" s="6">
        <v>24</v>
      </c>
      <c r="F17" s="6">
        <v>30.45</v>
      </c>
      <c r="G17" s="6">
        <f t="shared" si="0"/>
        <v>11.962499999999999</v>
      </c>
      <c r="H17" s="15">
        <f t="shared" si="1"/>
        <v>75.993749023910141</v>
      </c>
      <c r="M17" s="47"/>
      <c r="N17" s="47"/>
      <c r="O17" s="47"/>
      <c r="P17" s="47"/>
      <c r="Q17" s="47"/>
    </row>
    <row r="18" spans="1:17" ht="15.75" thickBot="1" x14ac:dyDescent="0.3">
      <c r="A18" s="48" t="s">
        <v>179</v>
      </c>
      <c r="B18" s="80">
        <v>2.584380007</v>
      </c>
      <c r="C18" s="6">
        <v>13.8735</v>
      </c>
      <c r="D18" s="6">
        <v>18</v>
      </c>
      <c r="E18" s="6">
        <v>22.5</v>
      </c>
      <c r="F18" s="6">
        <v>30.45</v>
      </c>
      <c r="G18" s="6">
        <f t="shared" si="0"/>
        <v>13.087499999999999</v>
      </c>
      <c r="H18" s="15">
        <f t="shared" si="1"/>
        <v>469.24440800486093</v>
      </c>
      <c r="M18" s="47"/>
      <c r="N18" s="47"/>
      <c r="O18" s="47"/>
      <c r="P18" s="47"/>
      <c r="Q18" s="47"/>
    </row>
    <row r="19" spans="1:17" ht="15.75" thickBot="1" x14ac:dyDescent="0.3">
      <c r="A19" s="48" t="s">
        <v>180</v>
      </c>
      <c r="B19" s="80">
        <v>2.584380007</v>
      </c>
      <c r="C19" s="6">
        <v>13.892799999999999</v>
      </c>
      <c r="D19" s="6">
        <v>18</v>
      </c>
      <c r="E19" s="6">
        <v>22.5</v>
      </c>
      <c r="F19" s="6">
        <v>30.45</v>
      </c>
      <c r="G19" s="6">
        <f t="shared" si="0"/>
        <v>13.087499999999999</v>
      </c>
      <c r="H19" s="15">
        <f t="shared" si="1"/>
        <v>469.89719332035412</v>
      </c>
      <c r="M19" s="47"/>
      <c r="N19" s="47"/>
      <c r="O19" s="47"/>
      <c r="P19" s="47"/>
      <c r="Q19" s="47"/>
    </row>
    <row r="20" spans="1:17" ht="15.75" thickBot="1" x14ac:dyDescent="0.3">
      <c r="A20" s="48" t="s">
        <v>181</v>
      </c>
      <c r="B20" s="80">
        <v>2.584380007</v>
      </c>
      <c r="C20" s="6">
        <v>10.1716</v>
      </c>
      <c r="D20" s="6">
        <v>18</v>
      </c>
      <c r="E20" s="6">
        <v>22.5</v>
      </c>
      <c r="F20" s="6">
        <v>30.45</v>
      </c>
      <c r="G20" s="6">
        <f t="shared" si="0"/>
        <v>13.087499999999999</v>
      </c>
      <c r="H20" s="15">
        <f t="shared" si="1"/>
        <v>344.03477280154567</v>
      </c>
      <c r="M20" s="47"/>
      <c r="N20" s="47"/>
      <c r="O20" s="47"/>
      <c r="P20" s="47"/>
      <c r="Q20" s="47"/>
    </row>
    <row r="21" spans="1:17" ht="15.75" thickBot="1" x14ac:dyDescent="0.3">
      <c r="A21" s="48" t="s">
        <v>183</v>
      </c>
      <c r="B21" s="80">
        <v>2.584380007</v>
      </c>
      <c r="C21" s="6">
        <v>15.8619</v>
      </c>
      <c r="D21" s="6">
        <v>18</v>
      </c>
      <c r="E21" s="6">
        <v>22.5</v>
      </c>
      <c r="F21" s="6">
        <v>30.45</v>
      </c>
      <c r="G21" s="6">
        <f t="shared" si="0"/>
        <v>13.087499999999999</v>
      </c>
      <c r="H21" s="15">
        <f t="shared" si="1"/>
        <v>536.49820703732325</v>
      </c>
      <c r="M21" s="47"/>
      <c r="N21" s="47"/>
      <c r="O21" s="47"/>
      <c r="P21" s="47"/>
      <c r="Q21" s="47"/>
    </row>
    <row r="22" spans="1:17" ht="15.75" thickBot="1" x14ac:dyDescent="0.3">
      <c r="A22" s="48" t="s">
        <v>187</v>
      </c>
      <c r="B22" s="80">
        <v>2.584380007</v>
      </c>
      <c r="C22" s="6">
        <v>15.8619</v>
      </c>
      <c r="D22" s="6">
        <v>18</v>
      </c>
      <c r="E22" s="6">
        <v>22.5</v>
      </c>
      <c r="F22" s="6">
        <v>30.45</v>
      </c>
      <c r="G22" s="6">
        <f t="shared" si="0"/>
        <v>13.087499999999999</v>
      </c>
      <c r="H22" s="15">
        <f t="shared" si="1"/>
        <v>536.49820703732325</v>
      </c>
      <c r="M22" s="47"/>
      <c r="N22" s="47"/>
      <c r="O22" s="47"/>
      <c r="P22" s="47"/>
      <c r="Q22" s="47"/>
    </row>
    <row r="23" spans="1:17" ht="15.75" thickBot="1" x14ac:dyDescent="0.3">
      <c r="A23" s="48" t="s">
        <v>184</v>
      </c>
      <c r="B23" s="80">
        <v>2.584380007</v>
      </c>
      <c r="C23" s="6">
        <v>24.783000000000001</v>
      </c>
      <c r="D23" s="6">
        <v>18</v>
      </c>
      <c r="E23" s="6">
        <v>22.5</v>
      </c>
      <c r="F23" s="6">
        <v>30.45</v>
      </c>
      <c r="G23" s="6">
        <f t="shared" si="0"/>
        <v>13.087499999999999</v>
      </c>
      <c r="H23" s="15">
        <f t="shared" si="1"/>
        <v>838.23722662518264</v>
      </c>
      <c r="M23" s="47"/>
      <c r="N23" s="47"/>
      <c r="O23" s="47"/>
      <c r="P23" s="47"/>
      <c r="Q23" s="47"/>
    </row>
    <row r="24" spans="1:17" ht="15.75" thickBot="1" x14ac:dyDescent="0.3">
      <c r="A24" s="48" t="s">
        <v>186</v>
      </c>
      <c r="B24" s="80">
        <v>2.584380007</v>
      </c>
      <c r="C24" s="6">
        <v>24.890899999999998</v>
      </c>
      <c r="D24" s="6">
        <v>18</v>
      </c>
      <c r="E24" s="6">
        <v>22.5</v>
      </c>
      <c r="F24" s="6">
        <v>30.45</v>
      </c>
      <c r="G24" s="6">
        <f t="shared" si="0"/>
        <v>13.087499999999999</v>
      </c>
      <c r="H24" s="15">
        <f t="shared" si="1"/>
        <v>841.88673623874251</v>
      </c>
      <c r="M24" s="47"/>
      <c r="N24" s="47"/>
      <c r="O24" s="47"/>
      <c r="P24" s="47"/>
      <c r="Q24" s="47"/>
    </row>
    <row r="25" spans="1:17" ht="15.75" thickBot="1" x14ac:dyDescent="0.3">
      <c r="A25" s="48" t="s">
        <v>190</v>
      </c>
      <c r="B25" s="80">
        <v>2.584380007</v>
      </c>
      <c r="C25" s="6">
        <v>13.6813</v>
      </c>
      <c r="D25" s="6">
        <v>18</v>
      </c>
      <c r="E25" s="6">
        <v>22.5</v>
      </c>
      <c r="F25" s="6">
        <v>30.45</v>
      </c>
      <c r="G25" s="6">
        <f t="shared" si="0"/>
        <v>13.087499999999999</v>
      </c>
      <c r="H25" s="15">
        <f t="shared" si="1"/>
        <v>462.74361330860307</v>
      </c>
      <c r="M25" s="47"/>
      <c r="N25" s="47"/>
      <c r="O25" s="47"/>
      <c r="P25" s="47"/>
      <c r="Q25" s="47"/>
    </row>
    <row r="26" spans="1:17" ht="15.75" thickBot="1" x14ac:dyDescent="0.3">
      <c r="A26" s="48" t="s">
        <v>191</v>
      </c>
      <c r="B26" s="80">
        <v>2.584380007</v>
      </c>
      <c r="C26" s="6">
        <v>13.751200000000001</v>
      </c>
      <c r="D26" s="6">
        <v>18</v>
      </c>
      <c r="E26" s="6">
        <v>22.5</v>
      </c>
      <c r="F26" s="6">
        <v>30.45</v>
      </c>
      <c r="G26" s="6">
        <f t="shared" si="0"/>
        <v>13.087499999999999</v>
      </c>
      <c r="H26" s="15">
        <f t="shared" si="1"/>
        <v>465.10784613518177</v>
      </c>
      <c r="M26" s="47"/>
      <c r="N26" s="47"/>
      <c r="O26" s="47"/>
      <c r="P26" s="47"/>
      <c r="Q26" s="47"/>
    </row>
    <row r="27" spans="1:17" ht="15.75" thickBot="1" x14ac:dyDescent="0.3">
      <c r="A27" s="48" t="s">
        <v>307</v>
      </c>
      <c r="B27" s="80">
        <v>2.584380007</v>
      </c>
      <c r="C27" s="6">
        <v>16.011199999999999</v>
      </c>
      <c r="D27" s="6">
        <v>18</v>
      </c>
      <c r="E27" s="6">
        <v>22.5</v>
      </c>
      <c r="F27" s="6">
        <v>30.45</v>
      </c>
      <c r="G27" s="6">
        <f t="shared" si="0"/>
        <v>13.087499999999999</v>
      </c>
      <c r="H27" s="15">
        <f t="shared" si="1"/>
        <v>541.54799188722598</v>
      </c>
      <c r="M27" s="47"/>
      <c r="N27" s="47"/>
      <c r="O27" s="47"/>
      <c r="P27" s="47"/>
      <c r="Q27" s="47"/>
    </row>
    <row r="28" spans="1:17" ht="15.75" thickBot="1" x14ac:dyDescent="0.3">
      <c r="A28" s="48" t="s">
        <v>308</v>
      </c>
      <c r="B28" s="80">
        <v>2.584380007</v>
      </c>
      <c r="C28" s="6">
        <v>16.011199999999999</v>
      </c>
      <c r="D28" s="6">
        <v>18</v>
      </c>
      <c r="E28" s="6">
        <v>22.5</v>
      </c>
      <c r="F28" s="6">
        <v>30.45</v>
      </c>
      <c r="G28" s="6">
        <f t="shared" si="0"/>
        <v>13.087499999999999</v>
      </c>
      <c r="H28" s="15">
        <f t="shared" si="1"/>
        <v>541.54799188722598</v>
      </c>
      <c r="M28" s="47"/>
      <c r="N28" s="47"/>
      <c r="O28" s="47"/>
      <c r="P28" s="47"/>
      <c r="Q28" s="47"/>
    </row>
    <row r="29" spans="1:17" ht="15.75" thickBot="1" x14ac:dyDescent="0.3">
      <c r="A29" s="48" t="s">
        <v>185</v>
      </c>
      <c r="B29" s="80">
        <v>2.584380007</v>
      </c>
      <c r="C29" s="6">
        <v>8.9650999999999996</v>
      </c>
      <c r="D29" s="6">
        <v>18</v>
      </c>
      <c r="E29" s="6">
        <v>22.5</v>
      </c>
      <c r="F29" s="6">
        <v>30.45</v>
      </c>
      <c r="G29" s="6">
        <f t="shared" si="0"/>
        <v>13.087499999999999</v>
      </c>
      <c r="H29" s="15">
        <f t="shared" si="1"/>
        <v>303.22723481489021</v>
      </c>
      <c r="M29" s="47"/>
      <c r="N29" s="47"/>
      <c r="O29" s="47"/>
      <c r="P29" s="47"/>
      <c r="Q29" s="47"/>
    </row>
    <row r="30" spans="1:17" ht="15.75" thickBot="1" x14ac:dyDescent="0.3">
      <c r="A30" s="48" t="s">
        <v>309</v>
      </c>
      <c r="B30" s="80">
        <v>2.584380007</v>
      </c>
      <c r="C30" s="6">
        <v>13.751200000000001</v>
      </c>
      <c r="D30" s="6">
        <v>18</v>
      </c>
      <c r="E30" s="6">
        <v>22.5</v>
      </c>
      <c r="F30" s="6">
        <v>30.45</v>
      </c>
      <c r="G30" s="6">
        <f t="shared" si="0"/>
        <v>13.087499999999999</v>
      </c>
      <c r="H30" s="15">
        <f t="shared" si="1"/>
        <v>465.10784613518177</v>
      </c>
      <c r="M30" s="47"/>
      <c r="N30" s="47"/>
      <c r="O30" s="47"/>
      <c r="P30" s="47"/>
      <c r="Q30" s="47"/>
    </row>
    <row r="31" spans="1:17" ht="15.75" thickBot="1" x14ac:dyDescent="0.3">
      <c r="A31" s="48" t="s">
        <v>310</v>
      </c>
      <c r="B31" s="80">
        <v>2.584380007</v>
      </c>
      <c r="C31" s="6">
        <v>13.751200000000001</v>
      </c>
      <c r="D31" s="6">
        <v>18</v>
      </c>
      <c r="E31" s="6">
        <v>22.5</v>
      </c>
      <c r="F31" s="6">
        <v>30.45</v>
      </c>
      <c r="G31" s="6">
        <f t="shared" si="0"/>
        <v>13.087499999999999</v>
      </c>
      <c r="H31" s="15">
        <f t="shared" si="1"/>
        <v>465.10784613518177</v>
      </c>
      <c r="M31" s="47"/>
      <c r="N31" s="47"/>
      <c r="O31" s="47"/>
      <c r="P31" s="47"/>
      <c r="Q31" s="47"/>
    </row>
    <row r="32" spans="1:17" ht="15.75" thickBot="1" x14ac:dyDescent="0.3">
      <c r="A32" s="48" t="s">
        <v>311</v>
      </c>
      <c r="B32" s="80">
        <v>2.584380007</v>
      </c>
      <c r="C32" s="6">
        <v>23.482900000000001</v>
      </c>
      <c r="D32" s="6">
        <v>18</v>
      </c>
      <c r="E32" s="6">
        <v>22.5</v>
      </c>
      <c r="F32" s="6">
        <v>30.45</v>
      </c>
      <c r="G32" s="6">
        <f t="shared" si="0"/>
        <v>13.087499999999999</v>
      </c>
      <c r="H32" s="15">
        <f t="shared" si="1"/>
        <v>794.26384897375215</v>
      </c>
      <c r="M32" s="47"/>
      <c r="N32" s="47"/>
      <c r="O32" s="47"/>
      <c r="P32" s="47"/>
      <c r="Q32" s="47"/>
    </row>
    <row r="33" spans="1:17" ht="15.75" thickBot="1" x14ac:dyDescent="0.3">
      <c r="A33" s="48" t="s">
        <v>312</v>
      </c>
      <c r="B33" s="80">
        <v>2.584380007</v>
      </c>
      <c r="C33" s="6">
        <v>10.757199999999999</v>
      </c>
      <c r="D33" s="6">
        <v>18</v>
      </c>
      <c r="E33" s="6">
        <v>22.5</v>
      </c>
      <c r="F33" s="6">
        <v>30.45</v>
      </c>
      <c r="G33" s="6">
        <f t="shared" si="0"/>
        <v>13.087499999999999</v>
      </c>
      <c r="H33" s="15">
        <f t="shared" si="1"/>
        <v>363.84156455039391</v>
      </c>
      <c r="M33" s="47"/>
      <c r="N33" s="47"/>
      <c r="O33" s="47"/>
      <c r="P33" s="47"/>
      <c r="Q33" s="47"/>
    </row>
    <row r="34" spans="1:17" ht="15.75" thickBot="1" x14ac:dyDescent="0.3">
      <c r="A34" s="48" t="s">
        <v>313</v>
      </c>
      <c r="B34" s="80">
        <v>2.584380007</v>
      </c>
      <c r="C34" s="6">
        <v>11.315</v>
      </c>
      <c r="D34" s="6">
        <v>18</v>
      </c>
      <c r="E34" s="6">
        <v>22.5</v>
      </c>
      <c r="F34" s="6">
        <v>30.45</v>
      </c>
      <c r="G34" s="6">
        <f t="shared" si="0"/>
        <v>13.087499999999999</v>
      </c>
      <c r="H34" s="15">
        <f t="shared" si="1"/>
        <v>382.70807486034539</v>
      </c>
      <c r="M34" s="47"/>
      <c r="N34" s="47"/>
      <c r="O34" s="47"/>
      <c r="P34" s="47"/>
      <c r="Q34" s="47"/>
    </row>
    <row r="35" spans="1:17" ht="15.75" thickBot="1" x14ac:dyDescent="0.3">
      <c r="A35" s="48" t="s">
        <v>314</v>
      </c>
      <c r="B35" s="80">
        <v>2.584380007</v>
      </c>
      <c r="C35" s="6">
        <v>13.308299999999999</v>
      </c>
      <c r="D35" s="6">
        <v>18</v>
      </c>
      <c r="E35" s="6">
        <v>22.5</v>
      </c>
      <c r="F35" s="6">
        <v>30.45</v>
      </c>
      <c r="G35" s="6">
        <f t="shared" si="0"/>
        <v>13.087499999999999</v>
      </c>
      <c r="H35" s="15">
        <f t="shared" si="1"/>
        <v>450.12760695218157</v>
      </c>
      <c r="M35" s="47"/>
      <c r="N35" s="47"/>
      <c r="O35" s="47"/>
      <c r="P35" s="47"/>
      <c r="Q35" s="47"/>
    </row>
    <row r="36" spans="1:17" ht="15.75" thickBot="1" x14ac:dyDescent="0.3">
      <c r="A36" s="48" t="s">
        <v>315</v>
      </c>
      <c r="B36" s="80">
        <v>2.584380007</v>
      </c>
      <c r="C36" s="6">
        <v>11.087199999999999</v>
      </c>
      <c r="D36" s="6">
        <v>18</v>
      </c>
      <c r="E36" s="6">
        <v>22.5</v>
      </c>
      <c r="F36" s="6">
        <v>30.45</v>
      </c>
      <c r="G36" s="6">
        <f t="shared" si="0"/>
        <v>13.087499999999999</v>
      </c>
      <c r="H36" s="15">
        <f t="shared" si="1"/>
        <v>375.00317875312601</v>
      </c>
      <c r="M36" s="47"/>
      <c r="N36" s="47"/>
      <c r="O36" s="47"/>
      <c r="P36" s="47"/>
      <c r="Q36" s="47"/>
    </row>
    <row r="37" spans="1:17" ht="15.75" thickBot="1" x14ac:dyDescent="0.3">
      <c r="A37" s="48" t="s">
        <v>316</v>
      </c>
      <c r="B37" s="80">
        <v>2.584380007</v>
      </c>
      <c r="C37" s="6">
        <v>8.2750000000000004</v>
      </c>
      <c r="D37" s="6">
        <v>18</v>
      </c>
      <c r="E37" s="6">
        <v>22.5</v>
      </c>
      <c r="F37" s="6">
        <v>30.45</v>
      </c>
      <c r="G37" s="6">
        <f t="shared" si="0"/>
        <v>13.087499999999999</v>
      </c>
      <c r="H37" s="15">
        <f t="shared" si="1"/>
        <v>279.88593190184343</v>
      </c>
      <c r="M37" s="47"/>
      <c r="N37" s="47"/>
      <c r="O37" s="47"/>
      <c r="P37" s="47"/>
      <c r="Q37" s="47"/>
    </row>
    <row r="38" spans="1:17" ht="15.75" thickBot="1" x14ac:dyDescent="0.3">
      <c r="A38" s="48" t="s">
        <v>317</v>
      </c>
      <c r="B38" s="80">
        <v>2.584380007</v>
      </c>
      <c r="C38" s="6">
        <v>13.467499999999999</v>
      </c>
      <c r="D38" s="6">
        <v>18</v>
      </c>
      <c r="E38" s="6">
        <v>22.5</v>
      </c>
      <c r="F38" s="6">
        <v>30.45</v>
      </c>
      <c r="G38" s="6">
        <f t="shared" si="0"/>
        <v>13.087499999999999</v>
      </c>
      <c r="H38" s="15">
        <f t="shared" si="1"/>
        <v>455.51224022816632</v>
      </c>
      <c r="M38" s="47"/>
      <c r="N38" s="47"/>
      <c r="O38" s="47"/>
      <c r="P38" s="47"/>
      <c r="Q38" s="47"/>
    </row>
    <row r="39" spans="1:17" ht="15.75" thickBot="1" x14ac:dyDescent="0.3">
      <c r="A39" s="48" t="s">
        <v>318</v>
      </c>
      <c r="B39" s="80">
        <v>2.584380007</v>
      </c>
      <c r="C39" s="6">
        <v>183.94380000000001</v>
      </c>
      <c r="D39" s="6">
        <v>18</v>
      </c>
      <c r="E39" s="6">
        <v>22.5</v>
      </c>
      <c r="F39" s="6">
        <v>30.45</v>
      </c>
      <c r="G39" s="6">
        <f t="shared" si="0"/>
        <v>13.087499999999999</v>
      </c>
      <c r="H39" s="15">
        <f t="shared" si="1"/>
        <v>6221.5446381349011</v>
      </c>
      <c r="M39" s="47"/>
      <c r="N39" s="47"/>
      <c r="O39" s="47"/>
      <c r="P39" s="47"/>
      <c r="Q39" s="47"/>
    </row>
    <row r="40" spans="1:17" ht="15.75" thickBot="1" x14ac:dyDescent="0.3">
      <c r="A40" s="48" t="s">
        <v>319</v>
      </c>
      <c r="B40" s="80">
        <v>2.584380007</v>
      </c>
      <c r="C40" s="6">
        <v>58.860100000000003</v>
      </c>
      <c r="D40" s="6">
        <v>18</v>
      </c>
      <c r="E40" s="6">
        <v>22.5</v>
      </c>
      <c r="F40" s="6">
        <v>30.45</v>
      </c>
      <c r="G40" s="6">
        <f t="shared" si="0"/>
        <v>13.087499999999999</v>
      </c>
      <c r="H40" s="15">
        <f t="shared" si="1"/>
        <v>1990.829479194646</v>
      </c>
      <c r="M40" s="47"/>
      <c r="N40" s="47"/>
      <c r="O40" s="47"/>
      <c r="P40" s="47"/>
      <c r="Q40" s="47"/>
    </row>
    <row r="41" spans="1:17" ht="15.75" thickBot="1" x14ac:dyDescent="0.3">
      <c r="A41" s="48" t="s">
        <v>311</v>
      </c>
      <c r="B41" s="80">
        <v>2.584380007</v>
      </c>
      <c r="C41" s="6">
        <v>43.5914</v>
      </c>
      <c r="D41" s="6">
        <v>18</v>
      </c>
      <c r="E41" s="6">
        <v>22.5</v>
      </c>
      <c r="F41" s="6">
        <v>30.45</v>
      </c>
      <c r="G41" s="6">
        <f t="shared" si="0"/>
        <v>13.087499999999999</v>
      </c>
      <c r="H41" s="15">
        <f t="shared" si="1"/>
        <v>1474.395119263567</v>
      </c>
      <c r="M41" s="47"/>
      <c r="N41" s="47"/>
      <c r="O41" s="47"/>
      <c r="P41" s="47"/>
      <c r="Q41" s="47"/>
    </row>
    <row r="42" spans="1:17" ht="15.75" thickBot="1" x14ac:dyDescent="0.3">
      <c r="A42" s="48" t="s">
        <v>73</v>
      </c>
      <c r="B42" s="80">
        <v>2.584380007</v>
      </c>
      <c r="C42" s="6">
        <v>10.900600000000001</v>
      </c>
      <c r="D42" s="6">
        <v>18</v>
      </c>
      <c r="E42" s="6">
        <v>22.5</v>
      </c>
      <c r="F42" s="6">
        <v>30.45</v>
      </c>
      <c r="G42" s="6">
        <f t="shared" si="0"/>
        <v>13.087499999999999</v>
      </c>
      <c r="H42" s="15">
        <f t="shared" si="1"/>
        <v>368.6917932675812</v>
      </c>
      <c r="M42" s="47"/>
      <c r="N42" s="47"/>
      <c r="O42" s="47"/>
      <c r="P42" s="47"/>
      <c r="Q42" s="47"/>
    </row>
    <row r="43" spans="1:17" ht="15.75" thickBot="1" x14ac:dyDescent="0.3">
      <c r="A43" s="48" t="s">
        <v>76</v>
      </c>
      <c r="B43" s="80">
        <v>2.584380007</v>
      </c>
      <c r="C43" s="6">
        <v>10.783099999999999</v>
      </c>
      <c r="D43" s="6">
        <v>18</v>
      </c>
      <c r="E43" s="6">
        <v>22.5</v>
      </c>
      <c r="F43" s="6">
        <v>30.45</v>
      </c>
      <c r="G43" s="6">
        <f t="shared" si="0"/>
        <v>13.087499999999999</v>
      </c>
      <c r="H43" s="15">
        <f t="shared" si="1"/>
        <v>364.71758214994168</v>
      </c>
      <c r="M43" s="47"/>
      <c r="N43" s="47"/>
      <c r="O43" s="47"/>
      <c r="P43" s="47"/>
      <c r="Q43" s="47"/>
    </row>
    <row r="44" spans="1:17" ht="15.75" thickBot="1" x14ac:dyDescent="0.3">
      <c r="A44" s="48" t="s">
        <v>77</v>
      </c>
      <c r="B44" s="80">
        <v>2.584380007</v>
      </c>
      <c r="C44" s="6">
        <v>9.4162999999999997</v>
      </c>
      <c r="D44" s="6">
        <v>18</v>
      </c>
      <c r="E44" s="6">
        <v>22.5</v>
      </c>
      <c r="F44" s="6">
        <v>30.45</v>
      </c>
      <c r="G44" s="6">
        <f t="shared" si="0"/>
        <v>13.087499999999999</v>
      </c>
      <c r="H44" s="15">
        <f t="shared" si="1"/>
        <v>318.48820550662572</v>
      </c>
      <c r="M44" s="47"/>
      <c r="N44" s="47"/>
      <c r="O44" s="47"/>
      <c r="P44" s="47"/>
      <c r="Q44" s="47"/>
    </row>
    <row r="45" spans="1:17" ht="15.75" thickBot="1" x14ac:dyDescent="0.3">
      <c r="A45" s="81" t="s">
        <v>320</v>
      </c>
      <c r="B45" s="82">
        <v>2.584380007</v>
      </c>
      <c r="C45" s="21">
        <v>26.995799999999999</v>
      </c>
      <c r="D45" s="21">
        <v>18</v>
      </c>
      <c r="E45" s="21">
        <v>22.5</v>
      </c>
      <c r="F45" s="21">
        <v>30.45</v>
      </c>
      <c r="G45" s="21">
        <f t="shared" si="0"/>
        <v>13.087499999999999</v>
      </c>
      <c r="H45" s="22">
        <f t="shared" si="1"/>
        <v>913.08092331550256</v>
      </c>
      <c r="M45" s="47"/>
      <c r="N45" s="47"/>
      <c r="O45" s="47"/>
      <c r="P45" s="47"/>
      <c r="Q45" s="47"/>
    </row>
    <row r="46" spans="1:17" ht="15.75" thickBot="1" x14ac:dyDescent="0.3">
      <c r="A46" s="47"/>
      <c r="B46" s="46"/>
      <c r="C46" s="46"/>
      <c r="G46" s="77" t="s">
        <v>162</v>
      </c>
      <c r="H46" s="77">
        <f>SUM(H4:H45)</f>
        <v>33124.840660252856</v>
      </c>
      <c r="M46" s="47"/>
      <c r="N46" s="47"/>
      <c r="O46" s="47"/>
      <c r="P46" s="47"/>
      <c r="Q46" s="47"/>
    </row>
    <row r="47" spans="1:17" x14ac:dyDescent="0.25">
      <c r="A47" s="46"/>
      <c r="B47" s="46"/>
      <c r="C47" s="46"/>
      <c r="G47" s="79"/>
      <c r="M47" s="47"/>
      <c r="N47" s="47"/>
    </row>
    <row r="48" spans="1:17" x14ac:dyDescent="0.25">
      <c r="M48" s="47"/>
      <c r="N48" s="47"/>
    </row>
    <row r="49" spans="13:14" x14ac:dyDescent="0.25">
      <c r="M49" s="47"/>
      <c r="N49" s="47"/>
    </row>
    <row r="50" spans="13:14" x14ac:dyDescent="0.25">
      <c r="M50" s="47"/>
      <c r="N50" s="47"/>
    </row>
    <row r="51" spans="13:14" x14ac:dyDescent="0.25">
      <c r="M51" s="47"/>
      <c r="N51" s="47"/>
    </row>
    <row r="52" spans="13:14" x14ac:dyDescent="0.25">
      <c r="M52" s="47"/>
      <c r="N52" s="47"/>
    </row>
    <row r="53" spans="13:14" x14ac:dyDescent="0.25">
      <c r="M53" s="47"/>
      <c r="N53" s="47"/>
    </row>
    <row r="54" spans="13:14" x14ac:dyDescent="0.25">
      <c r="M54" s="47"/>
      <c r="N54" s="47"/>
    </row>
    <row r="55" spans="13:14" x14ac:dyDescent="0.25">
      <c r="M55" s="47"/>
      <c r="N55" s="47"/>
    </row>
    <row r="56" spans="13:14" x14ac:dyDescent="0.25">
      <c r="M56" s="47"/>
      <c r="N56" s="47"/>
    </row>
    <row r="57" spans="13:14" x14ac:dyDescent="0.25">
      <c r="M57" s="47"/>
      <c r="N57" s="47"/>
    </row>
    <row r="58" spans="13:14" x14ac:dyDescent="0.25">
      <c r="M58" s="47"/>
      <c r="N58" s="47"/>
    </row>
    <row r="59" spans="13:14" x14ac:dyDescent="0.25">
      <c r="M59" s="47"/>
      <c r="N59" s="47"/>
    </row>
    <row r="60" spans="13:14" x14ac:dyDescent="0.25">
      <c r="M60" s="47"/>
      <c r="N60" s="47"/>
    </row>
    <row r="61" spans="13:14" x14ac:dyDescent="0.25">
      <c r="M61" s="47"/>
      <c r="N61" s="47"/>
    </row>
    <row r="62" spans="13:14" x14ac:dyDescent="0.25">
      <c r="M62" s="47"/>
      <c r="N62" s="47"/>
    </row>
    <row r="63" spans="13:14" x14ac:dyDescent="0.25">
      <c r="M63" s="47"/>
      <c r="N63" s="47"/>
    </row>
    <row r="64" spans="13:14" x14ac:dyDescent="0.25">
      <c r="M64" s="47"/>
      <c r="N64" s="47"/>
    </row>
    <row r="65" spans="13:14" x14ac:dyDescent="0.25">
      <c r="M65" s="47"/>
      <c r="N65" s="47"/>
    </row>
    <row r="66" spans="13:14" x14ac:dyDescent="0.25">
      <c r="M66" s="47"/>
      <c r="N66" s="47"/>
    </row>
    <row r="67" spans="13:14" x14ac:dyDescent="0.25">
      <c r="M67" s="47"/>
      <c r="N67" s="47"/>
    </row>
    <row r="68" spans="13:14" x14ac:dyDescent="0.25">
      <c r="M68" s="47"/>
      <c r="N68" s="47"/>
    </row>
    <row r="69" spans="13:14" x14ac:dyDescent="0.25">
      <c r="M69" s="47"/>
      <c r="N69" s="47"/>
    </row>
    <row r="70" spans="13:14" x14ac:dyDescent="0.25">
      <c r="M70" s="47"/>
      <c r="N70" s="47"/>
    </row>
    <row r="71" spans="13:14" x14ac:dyDescent="0.25">
      <c r="M71" s="47"/>
      <c r="N71" s="47"/>
    </row>
    <row r="72" spans="13:14" x14ac:dyDescent="0.25">
      <c r="M72" s="47"/>
      <c r="N72" s="47"/>
    </row>
    <row r="73" spans="13:14" x14ac:dyDescent="0.25">
      <c r="M73" s="47"/>
      <c r="N73" s="47"/>
    </row>
    <row r="74" spans="13:14" x14ac:dyDescent="0.25">
      <c r="M74" s="47"/>
      <c r="N74" s="47"/>
    </row>
  </sheetData>
  <mergeCells count="2">
    <mergeCell ref="A1:H1"/>
    <mergeCell ref="A2:H2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332"/>
  <sheetViews>
    <sheetView topLeftCell="A262" workbookViewId="0">
      <selection activeCell="N130" sqref="N130"/>
    </sheetView>
  </sheetViews>
  <sheetFormatPr defaultRowHeight="15" x14ac:dyDescent="0.25"/>
  <cols>
    <col min="1" max="1" width="33.5703125" style="83" customWidth="1"/>
    <col min="2" max="2" width="35.42578125" style="83" customWidth="1"/>
    <col min="3" max="10" width="8.85546875" customWidth="1"/>
  </cols>
  <sheetData>
    <row r="2" spans="1:12" ht="15.75" thickBot="1" x14ac:dyDescent="0.3">
      <c r="A2" s="85" t="s">
        <v>0</v>
      </c>
      <c r="B2" s="86" t="s">
        <v>435</v>
      </c>
      <c r="C2" s="36" t="s">
        <v>2</v>
      </c>
      <c r="D2" s="36" t="s">
        <v>436</v>
      </c>
      <c r="E2" s="36" t="s">
        <v>7</v>
      </c>
      <c r="F2" s="36" t="s">
        <v>480</v>
      </c>
      <c r="G2" s="24" t="s">
        <v>437</v>
      </c>
    </row>
    <row r="3" spans="1:12" ht="15.75" thickBot="1" x14ac:dyDescent="0.3">
      <c r="A3" s="87" t="s">
        <v>55</v>
      </c>
      <c r="B3" s="88" t="s">
        <v>65</v>
      </c>
      <c r="C3" s="21">
        <v>2.7143999999999999</v>
      </c>
      <c r="D3" s="6">
        <f>L3-K3-J3</f>
        <v>22.2</v>
      </c>
      <c r="E3" s="6">
        <v>22.5</v>
      </c>
      <c r="F3" s="6">
        <v>28</v>
      </c>
      <c r="G3" s="15">
        <f>ABS(Table14[[#This Row],[U]]*Table14[[#This Row],[A]]*(Table14[[#This Row],[Ti2]]-Table14[[#This Row],[Ti]]))</f>
        <v>331.42823999999996</v>
      </c>
      <c r="K3">
        <f>0.9*2</f>
        <v>1.8</v>
      </c>
      <c r="L3">
        <f>6*4</f>
        <v>24</v>
      </c>
    </row>
    <row r="4" spans="1:12" ht="15.75" thickBot="1" x14ac:dyDescent="0.3">
      <c r="A4" s="87"/>
      <c r="B4" s="88" t="s">
        <v>438</v>
      </c>
      <c r="C4" s="21">
        <v>2.7143999999999999</v>
      </c>
      <c r="D4" s="6">
        <f t="shared" ref="D4:D67" si="0">L4-K4-J4</f>
        <v>14.52</v>
      </c>
      <c r="E4" s="6">
        <v>22.5</v>
      </c>
      <c r="F4" s="6">
        <v>22.5</v>
      </c>
      <c r="G4" s="15">
        <f>ABS(Table14[[#This Row],[U]]*Table14[[#This Row],[A]]*(Table14[[#This Row],[Ti2]]-Table14[[#This Row],[Ti]]))</f>
        <v>0</v>
      </c>
      <c r="K4">
        <v>0</v>
      </c>
      <c r="L4">
        <f>3.63*4</f>
        <v>14.52</v>
      </c>
    </row>
    <row r="5" spans="1:12" ht="15.75" thickBot="1" x14ac:dyDescent="0.3">
      <c r="A5" s="87"/>
      <c r="B5" s="88" t="s">
        <v>439</v>
      </c>
      <c r="C5" s="21">
        <v>2.7143999999999999</v>
      </c>
      <c r="D5" s="6">
        <f t="shared" si="0"/>
        <v>11.6</v>
      </c>
      <c r="E5" s="6">
        <v>22.5</v>
      </c>
      <c r="F5" s="6">
        <v>24</v>
      </c>
      <c r="G5" s="15">
        <f>ABS(Table14[[#This Row],[U]]*Table14[[#This Row],[A]]*(Table14[[#This Row],[Ti2]]-Table14[[#This Row],[Ti]]))</f>
        <v>47.230559999999997</v>
      </c>
      <c r="K5">
        <v>0</v>
      </c>
      <c r="L5">
        <f>2.9*4</f>
        <v>11.6</v>
      </c>
    </row>
    <row r="6" spans="1:12" ht="15.75" thickBot="1" x14ac:dyDescent="0.3">
      <c r="A6" s="87" t="s">
        <v>438</v>
      </c>
      <c r="B6" s="88" t="s">
        <v>439</v>
      </c>
      <c r="C6" s="21">
        <v>2.7143999999999999</v>
      </c>
      <c r="D6" s="6">
        <f t="shared" si="0"/>
        <v>10.199999999999999</v>
      </c>
      <c r="E6" s="6">
        <v>22.5</v>
      </c>
      <c r="F6" s="6">
        <v>24</v>
      </c>
      <c r="G6" s="15">
        <f>ABS(Table14[[#This Row],[U]]*Table14[[#This Row],[A]]*(Table14[[#This Row],[Ti2]]-Table14[[#This Row],[Ti]]))</f>
        <v>41.530319999999996</v>
      </c>
      <c r="K6">
        <f>0.9*2</f>
        <v>1.8</v>
      </c>
      <c r="L6">
        <f>3*4</f>
        <v>12</v>
      </c>
    </row>
    <row r="7" spans="1:12" ht="15.75" thickBot="1" x14ac:dyDescent="0.3">
      <c r="A7" s="87"/>
      <c r="B7" s="88" t="s">
        <v>440</v>
      </c>
      <c r="C7" s="21">
        <v>2.7143999999999999</v>
      </c>
      <c r="D7" s="6">
        <f t="shared" si="0"/>
        <v>12.719999999999999</v>
      </c>
      <c r="E7" s="6">
        <v>22.5</v>
      </c>
      <c r="F7" s="6">
        <v>22.5</v>
      </c>
      <c r="G7" s="15">
        <f>ABS(Table14[[#This Row],[U]]*Table14[[#This Row],[A]]*(Table14[[#This Row],[Ti2]]-Table14[[#This Row],[Ti]]))</f>
        <v>0</v>
      </c>
      <c r="K7">
        <f>0.9*2</f>
        <v>1.8</v>
      </c>
      <c r="L7">
        <f>3.63*4</f>
        <v>14.52</v>
      </c>
    </row>
    <row r="8" spans="1:12" ht="15.75" thickBot="1" x14ac:dyDescent="0.3">
      <c r="A8" s="87" t="s">
        <v>439</v>
      </c>
      <c r="B8" s="88" t="s">
        <v>65</v>
      </c>
      <c r="C8" s="21">
        <v>2.7143999999999999</v>
      </c>
      <c r="D8" s="6">
        <f t="shared" si="0"/>
        <v>12</v>
      </c>
      <c r="E8" s="6">
        <v>24</v>
      </c>
      <c r="F8" s="6">
        <v>28</v>
      </c>
      <c r="G8" s="15">
        <f>ABS(Table14[[#This Row],[U]]*Table14[[#This Row],[A]]*(Table14[[#This Row],[Ti2]]-Table14[[#This Row],[Ti]]))</f>
        <v>130.2912</v>
      </c>
      <c r="K8">
        <v>0</v>
      </c>
      <c r="L8">
        <f>3*4</f>
        <v>12</v>
      </c>
    </row>
    <row r="9" spans="1:12" ht="15.75" thickBot="1" x14ac:dyDescent="0.3">
      <c r="A9" s="87"/>
      <c r="B9" s="88" t="s">
        <v>440</v>
      </c>
      <c r="C9" s="21">
        <v>2.7143999999999999</v>
      </c>
      <c r="D9" s="6">
        <f t="shared" si="0"/>
        <v>11.6</v>
      </c>
      <c r="E9" s="6">
        <v>24</v>
      </c>
      <c r="F9" s="6">
        <v>22.5</v>
      </c>
      <c r="G9" s="15">
        <f>ABS(Table14[[#This Row],[U]]*Table14[[#This Row],[A]]*(Table14[[#This Row],[Ti2]]-Table14[[#This Row],[Ti]]))</f>
        <v>47.230559999999997</v>
      </c>
      <c r="K9">
        <v>0</v>
      </c>
      <c r="L9">
        <f>2.9*4</f>
        <v>11.6</v>
      </c>
    </row>
    <row r="10" spans="1:12" ht="15.75" thickBot="1" x14ac:dyDescent="0.3">
      <c r="A10" s="87" t="s">
        <v>440</v>
      </c>
      <c r="B10" s="88" t="s">
        <v>65</v>
      </c>
      <c r="C10" s="21">
        <v>2.7143999999999999</v>
      </c>
      <c r="D10" s="6">
        <f t="shared" si="0"/>
        <v>28</v>
      </c>
      <c r="E10" s="6">
        <v>22.5</v>
      </c>
      <c r="F10" s="6">
        <v>28</v>
      </c>
      <c r="G10" s="15">
        <f>ABS(Table14[[#This Row],[U]]*Table14[[#This Row],[A]]*(Table14[[#This Row],[Ti2]]-Table14[[#This Row],[Ti]]))</f>
        <v>418.01759999999996</v>
      </c>
      <c r="K10">
        <f>0.9*2</f>
        <v>1.8</v>
      </c>
      <c r="L10">
        <f>7.45*4</f>
        <v>29.8</v>
      </c>
    </row>
    <row r="11" spans="1:12" ht="15.75" thickBot="1" x14ac:dyDescent="0.3">
      <c r="A11" s="87"/>
      <c r="B11" s="88" t="s">
        <v>441</v>
      </c>
      <c r="C11" s="21">
        <v>2.7143999999999999</v>
      </c>
      <c r="D11" s="6">
        <f t="shared" si="0"/>
        <v>11.68</v>
      </c>
      <c r="E11" s="6">
        <v>22.5</v>
      </c>
      <c r="F11" s="6">
        <v>24</v>
      </c>
      <c r="G11" s="15">
        <f>ABS(Table14[[#This Row],[U]]*Table14[[#This Row],[A]]*(Table14[[#This Row],[Ti2]]-Table14[[#This Row],[Ti]]))</f>
        <v>47.556287999999995</v>
      </c>
      <c r="K11">
        <f>0.9*2</f>
        <v>1.8</v>
      </c>
      <c r="L11">
        <f>3.37*4</f>
        <v>13.48</v>
      </c>
    </row>
    <row r="12" spans="1:12" ht="15.75" thickBot="1" x14ac:dyDescent="0.3">
      <c r="A12" s="87" t="s">
        <v>58</v>
      </c>
      <c r="B12" s="88" t="s">
        <v>65</v>
      </c>
      <c r="C12" s="21">
        <v>2.7143999999999999</v>
      </c>
      <c r="D12" s="6">
        <f t="shared" si="0"/>
        <v>36.200000000000003</v>
      </c>
      <c r="E12" s="6">
        <v>24</v>
      </c>
      <c r="F12" s="6">
        <v>28</v>
      </c>
      <c r="G12" s="15">
        <f>ABS(Table14[[#This Row],[U]]*Table14[[#This Row],[A]]*(Table14[[#This Row],[Ti2]]-Table14[[#This Row],[Ti]]))</f>
        <v>393.04512</v>
      </c>
      <c r="K12">
        <f>0.9*2</f>
        <v>1.8</v>
      </c>
      <c r="L12">
        <f>9.5*4</f>
        <v>38</v>
      </c>
    </row>
    <row r="13" spans="1:12" ht="15.75" thickBot="1" x14ac:dyDescent="0.3">
      <c r="A13" s="87" t="s">
        <v>59</v>
      </c>
      <c r="B13" s="88" t="s">
        <v>65</v>
      </c>
      <c r="C13" s="21">
        <v>2.7143999999999999</v>
      </c>
      <c r="D13" s="6">
        <f t="shared" si="0"/>
        <v>36.200000000000003</v>
      </c>
      <c r="E13" s="6">
        <v>24</v>
      </c>
      <c r="F13" s="6">
        <v>28</v>
      </c>
      <c r="G13" s="15">
        <f>ABS(Table14[[#This Row],[U]]*Table14[[#This Row],[A]]*(Table14[[#This Row],[Ti2]]-Table14[[#This Row],[Ti]]))</f>
        <v>393.04512</v>
      </c>
      <c r="K13">
        <f>0.9*2</f>
        <v>1.8</v>
      </c>
      <c r="L13">
        <f>9.5*4</f>
        <v>38</v>
      </c>
    </row>
    <row r="14" spans="1:12" ht="15.75" thickBot="1" x14ac:dyDescent="0.3">
      <c r="A14" s="87" t="s">
        <v>103</v>
      </c>
      <c r="B14" s="88" t="s">
        <v>65</v>
      </c>
      <c r="C14" s="21">
        <v>2.7143999999999999</v>
      </c>
      <c r="D14" s="6">
        <f t="shared" si="0"/>
        <v>24.2</v>
      </c>
      <c r="E14" s="6">
        <v>22</v>
      </c>
      <c r="F14" s="6">
        <v>28</v>
      </c>
      <c r="G14" s="15">
        <f>ABS(Table14[[#This Row],[U]]*Table14[[#This Row],[A]]*(Table14[[#This Row],[Ti2]]-Table14[[#This Row],[Ti]]))</f>
        <v>394.13087999999999</v>
      </c>
      <c r="K14">
        <f>0.9*2</f>
        <v>1.8</v>
      </c>
      <c r="L14">
        <f>6.5*4</f>
        <v>26</v>
      </c>
    </row>
    <row r="15" spans="1:12" ht="15.75" thickBot="1" x14ac:dyDescent="0.3">
      <c r="A15" s="87"/>
      <c r="B15" s="88" t="s">
        <v>106</v>
      </c>
      <c r="C15" s="21">
        <v>2.7143999999999999</v>
      </c>
      <c r="D15" s="6">
        <f t="shared" si="0"/>
        <v>18.799999999999997</v>
      </c>
      <c r="E15" s="6">
        <v>22</v>
      </c>
      <c r="F15" s="6"/>
      <c r="G15" s="15">
        <f>ABS(Table14[[#This Row],[U]]*Table14[[#This Row],[A]]*(Table14[[#This Row],[Ti2]]-Table14[[#This Row],[Ti]]))</f>
        <v>1122.6758399999997</v>
      </c>
      <c r="K15">
        <f>0.9*2*2</f>
        <v>3.6</v>
      </c>
      <c r="L15">
        <f>5.6*4</f>
        <v>22.4</v>
      </c>
    </row>
    <row r="16" spans="1:12" ht="15.75" thickBot="1" x14ac:dyDescent="0.3">
      <c r="A16" s="87"/>
      <c r="B16" s="88" t="s">
        <v>443</v>
      </c>
      <c r="C16" s="21">
        <v>2.7143999999999999</v>
      </c>
      <c r="D16" s="6">
        <f t="shared" si="0"/>
        <v>7.72</v>
      </c>
      <c r="E16" s="6">
        <v>22</v>
      </c>
      <c r="F16" s="6">
        <v>24</v>
      </c>
      <c r="G16" s="15">
        <f>ABS(Table14[[#This Row],[U]]*Table14[[#This Row],[A]]*(Table14[[#This Row],[Ti2]]-Table14[[#This Row],[Ti]]))</f>
        <v>41.910336000000001</v>
      </c>
      <c r="K16">
        <v>0</v>
      </c>
      <c r="L16">
        <f>1.93*4</f>
        <v>7.72</v>
      </c>
    </row>
    <row r="17" spans="1:12" ht="15.75" thickBot="1" x14ac:dyDescent="0.3">
      <c r="A17" s="87"/>
      <c r="B17" s="88" t="s">
        <v>442</v>
      </c>
      <c r="C17" s="21">
        <v>2.7143999999999999</v>
      </c>
      <c r="D17" s="6">
        <f t="shared" si="0"/>
        <v>11.2</v>
      </c>
      <c r="E17" s="6">
        <v>22</v>
      </c>
      <c r="F17" s="6">
        <v>24</v>
      </c>
      <c r="G17" s="15">
        <f>ABS(Table14[[#This Row],[U]]*Table14[[#This Row],[A]]*(Table14[[#This Row],[Ti2]]-Table14[[#This Row],[Ti]]))</f>
        <v>60.802559999999993</v>
      </c>
      <c r="K17">
        <v>0</v>
      </c>
      <c r="L17">
        <f>2.8*4</f>
        <v>11.2</v>
      </c>
    </row>
    <row r="18" spans="1:12" ht="15.75" thickBot="1" x14ac:dyDescent="0.3">
      <c r="A18" s="87" t="s">
        <v>447</v>
      </c>
      <c r="B18" s="88" t="s">
        <v>106</v>
      </c>
      <c r="C18" s="21">
        <v>2.7143999999999999</v>
      </c>
      <c r="D18" s="6">
        <f t="shared" si="0"/>
        <v>7.0000000000000009</v>
      </c>
      <c r="E18" s="6">
        <v>24</v>
      </c>
      <c r="F18" s="6"/>
      <c r="G18" s="15">
        <f>ABS(Table14[[#This Row],[U]]*Table14[[#This Row],[A]]*(Table14[[#This Row],[Ti2]]-Table14[[#This Row],[Ti]]))</f>
        <v>456.01920000000007</v>
      </c>
      <c r="K18">
        <f>0.9*2</f>
        <v>1.8</v>
      </c>
      <c r="L18">
        <f>2.2*4</f>
        <v>8.8000000000000007</v>
      </c>
    </row>
    <row r="19" spans="1:12" ht="15.75" thickBot="1" x14ac:dyDescent="0.3">
      <c r="A19" s="87"/>
      <c r="B19" s="88" t="s">
        <v>443</v>
      </c>
      <c r="C19" s="21">
        <v>2.7143999999999999</v>
      </c>
      <c r="D19" s="6">
        <f t="shared" si="0"/>
        <v>8.8000000000000007</v>
      </c>
      <c r="E19" s="6">
        <v>24</v>
      </c>
      <c r="F19" s="6">
        <v>24</v>
      </c>
      <c r="G19" s="15">
        <f>ABS(Table14[[#This Row],[U]]*Table14[[#This Row],[A]]*(Table14[[#This Row],[Ti2]]-Table14[[#This Row],[Ti]]))</f>
        <v>0</v>
      </c>
      <c r="K19">
        <v>0</v>
      </c>
      <c r="L19">
        <f>2.2*4</f>
        <v>8.8000000000000007</v>
      </c>
    </row>
    <row r="20" spans="1:12" ht="15.75" thickBot="1" x14ac:dyDescent="0.3">
      <c r="A20" s="87" t="s">
        <v>444</v>
      </c>
      <c r="B20" s="88" t="s">
        <v>443</v>
      </c>
      <c r="C20" s="21">
        <v>2.7143999999999999</v>
      </c>
      <c r="D20" s="6">
        <f t="shared" si="0"/>
        <v>5.92</v>
      </c>
      <c r="E20" s="6">
        <v>22.5</v>
      </c>
      <c r="F20" s="6">
        <v>24</v>
      </c>
      <c r="G20" s="15">
        <f>ABS(Table14[[#This Row],[U]]*Table14[[#This Row],[A]]*(Table14[[#This Row],[Ti2]]-Table14[[#This Row],[Ti]]))</f>
        <v>24.103871999999996</v>
      </c>
      <c r="K20">
        <f>0.9*2</f>
        <v>1.8</v>
      </c>
      <c r="L20">
        <f>1.93*4</f>
        <v>7.72</v>
      </c>
    </row>
    <row r="21" spans="1:12" ht="15.75" thickBot="1" x14ac:dyDescent="0.3">
      <c r="A21" s="87" t="s">
        <v>106</v>
      </c>
      <c r="B21" s="88" t="s">
        <v>65</v>
      </c>
      <c r="C21" s="21">
        <v>2.7143999999999999</v>
      </c>
      <c r="D21" s="6">
        <f t="shared" si="0"/>
        <v>36.200000000000003</v>
      </c>
      <c r="E21" s="6"/>
      <c r="F21" s="6">
        <v>28</v>
      </c>
      <c r="G21" s="15">
        <f>ABS(Table14[[#This Row],[U]]*Table14[[#This Row],[A]]*(Table14[[#This Row],[Ti2]]-Table14[[#This Row],[Ti]]))</f>
        <v>2751.3158400000002</v>
      </c>
      <c r="L21">
        <f>9.05*4</f>
        <v>36.200000000000003</v>
      </c>
    </row>
    <row r="22" spans="1:12" ht="15.75" thickBot="1" x14ac:dyDescent="0.3">
      <c r="A22" s="87"/>
      <c r="B22" s="88" t="s">
        <v>446</v>
      </c>
      <c r="C22" s="21">
        <v>2.7143999999999999</v>
      </c>
      <c r="D22" s="6">
        <f t="shared" si="0"/>
        <v>3.4000000000000004</v>
      </c>
      <c r="E22" s="6"/>
      <c r="F22" s="6">
        <v>24</v>
      </c>
      <c r="G22" s="15">
        <f>ABS(Table14[[#This Row],[U]]*Table14[[#This Row],[A]]*(Table14[[#This Row],[Ti2]]-Table14[[#This Row],[Ti]]))</f>
        <v>221.49504000000002</v>
      </c>
      <c r="K22">
        <f>0.9*2</f>
        <v>1.8</v>
      </c>
      <c r="L22">
        <f>1.3*4</f>
        <v>5.2</v>
      </c>
    </row>
    <row r="23" spans="1:12" ht="15.75" thickBot="1" x14ac:dyDescent="0.3">
      <c r="A23" s="87"/>
      <c r="B23" s="88" t="s">
        <v>445</v>
      </c>
      <c r="C23" s="21">
        <v>2.7143999999999999</v>
      </c>
      <c r="D23" s="6">
        <f t="shared" si="0"/>
        <v>23.759999999999998</v>
      </c>
      <c r="E23" s="6"/>
      <c r="F23" s="6">
        <v>22.5</v>
      </c>
      <c r="G23" s="15">
        <f>ABS(Table14[[#This Row],[U]]*Table14[[#This Row],[A]]*(Table14[[#This Row],[Ti2]]-Table14[[#This Row],[Ti]]))</f>
        <v>1451.1182399999998</v>
      </c>
      <c r="K23">
        <f>0.9*2</f>
        <v>1.8</v>
      </c>
      <c r="L23">
        <f>6.39*4</f>
        <v>25.56</v>
      </c>
    </row>
    <row r="24" spans="1:12" ht="15.75" thickBot="1" x14ac:dyDescent="0.3">
      <c r="A24" s="87" t="s">
        <v>445</v>
      </c>
      <c r="B24" s="88" t="s">
        <v>446</v>
      </c>
      <c r="C24" s="21">
        <v>2.7143999999999999</v>
      </c>
      <c r="D24" s="6">
        <f t="shared" si="0"/>
        <v>10.4</v>
      </c>
      <c r="E24" s="6">
        <v>22.5</v>
      </c>
      <c r="F24" s="6">
        <v>24</v>
      </c>
      <c r="G24" s="15">
        <f>ABS(Table14[[#This Row],[U]]*Table14[[#This Row],[A]]*(Table14[[#This Row],[Ti2]]-Table14[[#This Row],[Ti]]))</f>
        <v>42.344639999999998</v>
      </c>
      <c r="J24">
        <v>0</v>
      </c>
      <c r="K24">
        <v>0</v>
      </c>
      <c r="L24">
        <f>2.6*4</f>
        <v>10.4</v>
      </c>
    </row>
    <row r="25" spans="1:12" ht="15.75" thickBot="1" x14ac:dyDescent="0.3">
      <c r="A25" s="87"/>
      <c r="B25" s="88" t="s">
        <v>65</v>
      </c>
      <c r="C25" s="21">
        <v>2.7143999999999999</v>
      </c>
      <c r="D25" s="6">
        <f t="shared" si="0"/>
        <v>10.6</v>
      </c>
      <c r="E25" s="6">
        <v>22.5</v>
      </c>
      <c r="F25" s="6">
        <v>28</v>
      </c>
      <c r="G25" s="15">
        <f>ABS(Table14[[#This Row],[U]]*Table14[[#This Row],[A]]*(Table14[[#This Row],[Ti2]]-Table14[[#This Row],[Ti]]))</f>
        <v>158.24951999999999</v>
      </c>
      <c r="J25">
        <v>1.4</v>
      </c>
      <c r="K25">
        <v>0</v>
      </c>
      <c r="L25">
        <f>3*4</f>
        <v>12</v>
      </c>
    </row>
    <row r="26" spans="1:12" ht="15.75" thickBot="1" x14ac:dyDescent="0.3">
      <c r="A26" s="87" t="s">
        <v>41</v>
      </c>
      <c r="B26" s="88" t="s">
        <v>65</v>
      </c>
      <c r="C26" s="21">
        <v>2.7143999999999999</v>
      </c>
      <c r="D26" s="6">
        <f t="shared" si="0"/>
        <v>10.4</v>
      </c>
      <c r="E26" s="6">
        <v>22.5</v>
      </c>
      <c r="F26" s="6">
        <v>28</v>
      </c>
      <c r="G26" s="15">
        <f>ABS(Table14[[#This Row],[U]]*Table14[[#This Row],[A]]*(Table14[[#This Row],[Ti2]]-Table14[[#This Row],[Ti]]))</f>
        <v>155.26367999999999</v>
      </c>
      <c r="J26">
        <v>0</v>
      </c>
      <c r="K26">
        <f>0.9*2*2</f>
        <v>3.6</v>
      </c>
      <c r="L26">
        <f>3.5*4</f>
        <v>14</v>
      </c>
    </row>
    <row r="27" spans="1:12" ht="15.75" thickBot="1" x14ac:dyDescent="0.3">
      <c r="A27" s="87"/>
      <c r="B27" s="88" t="s">
        <v>349</v>
      </c>
      <c r="C27" s="21">
        <v>2.7143999999999999</v>
      </c>
      <c r="D27" s="6">
        <f t="shared" si="0"/>
        <v>0</v>
      </c>
      <c r="E27" s="6">
        <v>22.5</v>
      </c>
      <c r="F27" s="6">
        <v>24</v>
      </c>
      <c r="G27" s="15">
        <f>ABS(Table14[[#This Row],[U]]*Table14[[#This Row],[A]]*(Table14[[#This Row],[Ti2]]-Table14[[#This Row],[Ti]]))</f>
        <v>0</v>
      </c>
      <c r="J27" s="84"/>
    </row>
    <row r="28" spans="1:12" ht="15.75" thickBot="1" x14ac:dyDescent="0.3">
      <c r="A28" s="87"/>
      <c r="B28" s="88" t="s">
        <v>121</v>
      </c>
      <c r="C28" s="21">
        <v>2.7143999999999999</v>
      </c>
      <c r="D28" s="6">
        <f t="shared" si="0"/>
        <v>5.2</v>
      </c>
      <c r="E28" s="6">
        <v>22.5</v>
      </c>
      <c r="F28" s="6"/>
      <c r="G28" s="15">
        <f>ABS(Table14[[#This Row],[U]]*Table14[[#This Row],[A]]*(Table14[[#This Row],[Ti2]]-Table14[[#This Row],[Ti]]))</f>
        <v>317.58479999999997</v>
      </c>
      <c r="J28">
        <v>0</v>
      </c>
      <c r="K28">
        <v>0</v>
      </c>
      <c r="L28">
        <f>1.3*4</f>
        <v>5.2</v>
      </c>
    </row>
    <row r="29" spans="1:12" ht="15.75" thickBot="1" x14ac:dyDescent="0.3">
      <c r="A29" s="87" t="s">
        <v>349</v>
      </c>
      <c r="B29" s="88" t="s">
        <v>65</v>
      </c>
      <c r="C29" s="21">
        <v>2.7143999999999999</v>
      </c>
      <c r="D29" s="6">
        <f t="shared" si="0"/>
        <v>0</v>
      </c>
      <c r="E29" s="6">
        <v>24</v>
      </c>
      <c r="F29" s="6">
        <v>28</v>
      </c>
      <c r="G29" s="15">
        <f>ABS(Table14[[#This Row],[U]]*Table14[[#This Row],[A]]*(Table14[[#This Row],[Ti2]]-Table14[[#This Row],[Ti]]))</f>
        <v>0</v>
      </c>
    </row>
    <row r="30" spans="1:12" ht="15.75" thickBot="1" x14ac:dyDescent="0.3">
      <c r="A30" s="87"/>
      <c r="B30" s="88" t="s">
        <v>448</v>
      </c>
      <c r="C30" s="21">
        <v>2.7143999999999999</v>
      </c>
      <c r="D30" s="6">
        <f t="shared" si="0"/>
        <v>22</v>
      </c>
      <c r="E30" s="6">
        <v>24</v>
      </c>
      <c r="F30" s="6"/>
      <c r="G30" s="15">
        <f>ABS(Table14[[#This Row],[U]]*Table14[[#This Row],[A]]*(Table14[[#This Row],[Ti2]]-Table14[[#This Row],[Ti]]))</f>
        <v>1433.2031999999999</v>
      </c>
      <c r="J30">
        <v>0</v>
      </c>
      <c r="K30">
        <v>0</v>
      </c>
      <c r="L30">
        <f>5.5*4</f>
        <v>22</v>
      </c>
    </row>
    <row r="31" spans="1:12" ht="15.75" thickBot="1" x14ac:dyDescent="0.3">
      <c r="A31" s="87" t="s">
        <v>351</v>
      </c>
      <c r="B31" s="88" t="s">
        <v>449</v>
      </c>
      <c r="C31" s="21">
        <v>2.7143999999999999</v>
      </c>
      <c r="D31" s="6">
        <f>L31-K31-J31</f>
        <v>15.399999999999999</v>
      </c>
      <c r="E31" s="6">
        <v>22.5</v>
      </c>
      <c r="F31" s="6">
        <v>24</v>
      </c>
      <c r="G31" s="15">
        <f>ABS(Table14[[#This Row],[U]]*Table14[[#This Row],[A]]*(Table14[[#This Row],[Ti2]]-Table14[[#This Row],[Ti]]))</f>
        <v>62.702639999999988</v>
      </c>
      <c r="K31">
        <f>0.9*2</f>
        <v>1.8</v>
      </c>
      <c r="L31">
        <f>4.3*4</f>
        <v>17.2</v>
      </c>
    </row>
    <row r="32" spans="1:12" ht="15.75" thickBot="1" x14ac:dyDescent="0.3">
      <c r="A32" s="87"/>
      <c r="B32" s="88" t="s">
        <v>65</v>
      </c>
      <c r="C32" s="21">
        <v>2.7143999999999999</v>
      </c>
      <c r="D32" s="6">
        <f t="shared" si="0"/>
        <v>54.2</v>
      </c>
      <c r="E32" s="6">
        <v>22.5</v>
      </c>
      <c r="F32" s="6">
        <v>28</v>
      </c>
      <c r="G32" s="15">
        <f>ABS(Table14[[#This Row],[U]]*Table14[[#This Row],[A]]*(Table14[[#This Row],[Ti2]]-Table14[[#This Row],[Ti]]))</f>
        <v>809.16264000000012</v>
      </c>
      <c r="J32">
        <f>1.4*2</f>
        <v>2.8</v>
      </c>
      <c r="K32">
        <f>0.9*2</f>
        <v>1.8</v>
      </c>
      <c r="L32">
        <f>14.7*4</f>
        <v>58.8</v>
      </c>
    </row>
    <row r="33" spans="1:12" ht="15.75" thickBot="1" x14ac:dyDescent="0.3">
      <c r="A33" s="87"/>
      <c r="B33" s="88" t="s">
        <v>450</v>
      </c>
      <c r="C33" s="21">
        <v>2.7143999999999999</v>
      </c>
      <c r="D33" s="6">
        <f t="shared" si="0"/>
        <v>24</v>
      </c>
      <c r="E33" s="6">
        <v>22.5</v>
      </c>
      <c r="F33" s="6">
        <v>22.5</v>
      </c>
      <c r="G33" s="15">
        <f>ABS(Table14[[#This Row],[U]]*Table14[[#This Row],[A]]*(Table14[[#This Row],[Ti2]]-Table14[[#This Row],[Ti]]))</f>
        <v>0</v>
      </c>
      <c r="J33">
        <v>0</v>
      </c>
      <c r="K33">
        <v>0</v>
      </c>
      <c r="L33">
        <f>6*4</f>
        <v>24</v>
      </c>
    </row>
    <row r="34" spans="1:12" ht="15.75" thickBot="1" x14ac:dyDescent="0.3">
      <c r="A34" s="87" t="s">
        <v>449</v>
      </c>
      <c r="B34" s="88" t="s">
        <v>65</v>
      </c>
      <c r="C34" s="21">
        <v>2.7143999999999999</v>
      </c>
      <c r="D34" s="6">
        <f t="shared" si="0"/>
        <v>16.8</v>
      </c>
      <c r="E34" s="6">
        <v>24</v>
      </c>
      <c r="F34" s="6">
        <v>28</v>
      </c>
      <c r="G34" s="15">
        <f>ABS(Table14[[#This Row],[U]]*Table14[[#This Row],[A]]*(Table14[[#This Row],[Ti2]]-Table14[[#This Row],[Ti]]))</f>
        <v>182.40768</v>
      </c>
      <c r="J34">
        <v>0</v>
      </c>
      <c r="K34">
        <v>0</v>
      </c>
      <c r="L34">
        <f>4.2*4</f>
        <v>16.8</v>
      </c>
    </row>
    <row r="35" spans="1:12" ht="15.75" thickBot="1" x14ac:dyDescent="0.3">
      <c r="A35" s="87" t="s">
        <v>450</v>
      </c>
      <c r="B35" s="88" t="s">
        <v>65</v>
      </c>
      <c r="C35" s="21">
        <v>2.7143999999999999</v>
      </c>
      <c r="D35" s="6">
        <f t="shared" si="0"/>
        <v>45.320000000000007</v>
      </c>
      <c r="E35" s="6">
        <v>22.5</v>
      </c>
      <c r="F35" s="6">
        <v>28</v>
      </c>
      <c r="G35" s="15">
        <f>ABS(Table14[[#This Row],[U]]*Table14[[#This Row],[A]]*(Table14[[#This Row],[Ti2]]-Table14[[#This Row],[Ti]]))</f>
        <v>676.59134400000016</v>
      </c>
      <c r="J35">
        <v>4.08</v>
      </c>
      <c r="K35">
        <f>0.9*2</f>
        <v>1.8</v>
      </c>
      <c r="L35">
        <f>12.8*4</f>
        <v>51.2</v>
      </c>
    </row>
    <row r="36" spans="1:12" ht="15.75" thickBot="1" x14ac:dyDescent="0.3">
      <c r="A36" s="87"/>
      <c r="B36" s="88" t="s">
        <v>353</v>
      </c>
      <c r="C36" s="21">
        <v>2.7143999999999999</v>
      </c>
      <c r="D36" s="6">
        <f t="shared" si="0"/>
        <v>24</v>
      </c>
      <c r="E36" s="6">
        <v>22.5</v>
      </c>
      <c r="F36" s="6">
        <v>22.5</v>
      </c>
      <c r="G36" s="15">
        <f>ABS(Table14[[#This Row],[U]]*Table14[[#This Row],[A]]*(Table14[[#This Row],[Ti2]]-Table14[[#This Row],[Ti]]))</f>
        <v>0</v>
      </c>
      <c r="J36">
        <v>0</v>
      </c>
      <c r="K36">
        <v>0</v>
      </c>
      <c r="L36">
        <f>6*4</f>
        <v>24</v>
      </c>
    </row>
    <row r="37" spans="1:12" ht="15.75" thickBot="1" x14ac:dyDescent="0.3">
      <c r="A37" s="87" t="s">
        <v>353</v>
      </c>
      <c r="B37" s="88" t="s">
        <v>65</v>
      </c>
      <c r="C37" s="21">
        <v>2.7143999999999999</v>
      </c>
      <c r="D37" s="6">
        <f t="shared" si="0"/>
        <v>43.800000000000004</v>
      </c>
      <c r="E37" s="6">
        <v>22.5</v>
      </c>
      <c r="F37" s="6">
        <v>28</v>
      </c>
      <c r="G37" s="15">
        <f>ABS(Table14[[#This Row],[U]]*Table14[[#This Row],[A]]*(Table14[[#This Row],[Ti2]]-Table14[[#This Row],[Ti]]))</f>
        <v>653.89895999999999</v>
      </c>
      <c r="J37">
        <v>2.4</v>
      </c>
      <c r="K37">
        <f>0.9*2</f>
        <v>1.8</v>
      </c>
      <c r="L37">
        <f>12*4</f>
        <v>48</v>
      </c>
    </row>
    <row r="38" spans="1:12" ht="15.75" thickBot="1" x14ac:dyDescent="0.3">
      <c r="A38" s="87" t="s">
        <v>121</v>
      </c>
      <c r="B38" s="88" t="s">
        <v>120</v>
      </c>
      <c r="C38" s="21">
        <v>2.7143999999999999</v>
      </c>
      <c r="D38" s="6">
        <f t="shared" si="0"/>
        <v>9</v>
      </c>
      <c r="E38" s="6"/>
      <c r="F38" s="6">
        <v>24</v>
      </c>
      <c r="G38" s="15">
        <f>ABS(Table14[[#This Row],[U]]*Table14[[#This Row],[A]]*(Table14[[#This Row],[Ti2]]-Table14[[#This Row],[Ti]]))</f>
        <v>586.31040000000007</v>
      </c>
      <c r="J38">
        <v>0</v>
      </c>
      <c r="K38">
        <v>0</v>
      </c>
      <c r="L38">
        <f>2.25*4</f>
        <v>9</v>
      </c>
    </row>
    <row r="39" spans="1:12" ht="15.75" thickBot="1" x14ac:dyDescent="0.3">
      <c r="A39" s="87"/>
      <c r="B39" s="88" t="s">
        <v>311</v>
      </c>
      <c r="C39" s="21">
        <v>2.7143999999999999</v>
      </c>
      <c r="D39" s="6">
        <f t="shared" si="0"/>
        <v>19.8</v>
      </c>
      <c r="E39" s="6"/>
      <c r="F39" s="6">
        <v>22.5</v>
      </c>
      <c r="G39" s="15">
        <f>ABS(Table14[[#This Row],[U]]*Table14[[#This Row],[A]]*(Table14[[#This Row],[Ti2]]-Table14[[#This Row],[Ti]]))</f>
        <v>1209.2652</v>
      </c>
      <c r="J39">
        <v>0</v>
      </c>
      <c r="K39">
        <f>0.9*2</f>
        <v>1.8</v>
      </c>
      <c r="L39">
        <f>5.4*4</f>
        <v>21.6</v>
      </c>
    </row>
    <row r="40" spans="1:12" ht="15.75" thickBot="1" x14ac:dyDescent="0.3">
      <c r="A40" s="87"/>
      <c r="B40" s="88" t="s">
        <v>65</v>
      </c>
      <c r="C40" s="21">
        <v>2.7143999999999999</v>
      </c>
      <c r="D40" s="6">
        <f t="shared" si="0"/>
        <v>12.2</v>
      </c>
      <c r="E40" s="6"/>
      <c r="F40" s="6">
        <v>28</v>
      </c>
      <c r="G40" s="15">
        <f>ABS(Table14[[#This Row],[U]]*Table14[[#This Row],[A]]*(Table14[[#This Row],[Ti2]]-Table14[[#This Row],[Ti]]))</f>
        <v>927.23903999999993</v>
      </c>
      <c r="J40">
        <v>0</v>
      </c>
      <c r="K40">
        <v>0</v>
      </c>
      <c r="L40">
        <f>3.05*4</f>
        <v>12.2</v>
      </c>
    </row>
    <row r="41" spans="1:12" ht="15.75" thickBot="1" x14ac:dyDescent="0.3">
      <c r="A41" s="87" t="s">
        <v>38</v>
      </c>
      <c r="B41" s="88" t="s">
        <v>451</v>
      </c>
      <c r="C41" s="21">
        <v>2.7143999999999999</v>
      </c>
      <c r="D41" s="6">
        <f t="shared" si="0"/>
        <v>8.8000000000000007</v>
      </c>
      <c r="E41" s="6">
        <v>24</v>
      </c>
      <c r="F41" s="6">
        <v>24</v>
      </c>
      <c r="G41" s="15">
        <f>ABS(Table14[[#This Row],[U]]*Table14[[#This Row],[A]]*(Table14[[#This Row],[Ti2]]-Table14[[#This Row],[Ti]]))</f>
        <v>0</v>
      </c>
      <c r="J41">
        <v>0</v>
      </c>
      <c r="K41">
        <v>0</v>
      </c>
      <c r="L41">
        <f>2.2*4</f>
        <v>8.8000000000000007</v>
      </c>
    </row>
    <row r="42" spans="1:12" ht="15.75" thickBot="1" x14ac:dyDescent="0.3">
      <c r="A42" s="87"/>
      <c r="B42" s="88" t="s">
        <v>311</v>
      </c>
      <c r="C42" s="21">
        <v>2.7143999999999999</v>
      </c>
      <c r="D42" s="6">
        <f t="shared" si="0"/>
        <v>5.8</v>
      </c>
      <c r="E42" s="6">
        <v>24</v>
      </c>
      <c r="F42" s="6"/>
      <c r="G42" s="15">
        <f>ABS(Table14[[#This Row],[U]]*Table14[[#This Row],[A]]*(Table14[[#This Row],[Ti2]]-Table14[[#This Row],[Ti]]))</f>
        <v>377.84447999999998</v>
      </c>
      <c r="J42">
        <v>0</v>
      </c>
      <c r="K42">
        <v>0</v>
      </c>
      <c r="L42">
        <f>1.45*4</f>
        <v>5.8</v>
      </c>
    </row>
    <row r="43" spans="1:12" ht="15.75" thickBot="1" x14ac:dyDescent="0.3">
      <c r="A43" s="87"/>
      <c r="B43" s="88" t="s">
        <v>452</v>
      </c>
      <c r="C43" s="21">
        <v>2.7143999999999999</v>
      </c>
      <c r="D43" s="6">
        <f t="shared" si="0"/>
        <v>14.6</v>
      </c>
      <c r="E43" s="6">
        <v>24</v>
      </c>
      <c r="F43" s="6">
        <v>22.5</v>
      </c>
      <c r="G43" s="15">
        <f>ABS(Table14[[#This Row],[U]]*Table14[[#This Row],[A]]*(Table14[[#This Row],[Ti2]]-Table14[[#This Row],[Ti]]))</f>
        <v>59.445360000000001</v>
      </c>
      <c r="J43">
        <v>0</v>
      </c>
      <c r="K43">
        <v>0</v>
      </c>
      <c r="L43">
        <f>3.65*4</f>
        <v>14.6</v>
      </c>
    </row>
    <row r="44" spans="1:12" ht="15.75" thickBot="1" x14ac:dyDescent="0.3">
      <c r="A44" s="87"/>
      <c r="B44" s="88" t="s">
        <v>453</v>
      </c>
      <c r="C44" s="21">
        <v>2.7143999999999999</v>
      </c>
      <c r="D44" s="6">
        <f t="shared" si="0"/>
        <v>4.84</v>
      </c>
      <c r="E44" s="6">
        <v>24</v>
      </c>
      <c r="F44" s="6">
        <v>22.5</v>
      </c>
      <c r="G44" s="15">
        <f>ABS(Table14[[#This Row],[U]]*Table14[[#This Row],[A]]*(Table14[[#This Row],[Ti2]]-Table14[[#This Row],[Ti]]))</f>
        <v>19.706544000000001</v>
      </c>
      <c r="J44">
        <v>0</v>
      </c>
      <c r="K44">
        <f>0.9*2</f>
        <v>1.8</v>
      </c>
      <c r="L44">
        <f>1.66*4</f>
        <v>6.64</v>
      </c>
    </row>
    <row r="45" spans="1:12" ht="15.75" thickBot="1" x14ac:dyDescent="0.3">
      <c r="A45" s="87" t="s">
        <v>311</v>
      </c>
      <c r="B45" s="88" t="s">
        <v>120</v>
      </c>
      <c r="C45" s="21">
        <v>2.7143999999999999</v>
      </c>
      <c r="D45" s="6">
        <f t="shared" si="0"/>
        <v>4.6000000000000005</v>
      </c>
      <c r="E45" s="6">
        <v>22.5</v>
      </c>
      <c r="F45" s="6">
        <v>24</v>
      </c>
      <c r="G45" s="15">
        <f>ABS(Table14[[#This Row],[U]]*Table14[[#This Row],[A]]*(Table14[[#This Row],[Ti2]]-Table14[[#This Row],[Ti]]))</f>
        <v>18.72936</v>
      </c>
      <c r="J45">
        <v>0</v>
      </c>
      <c r="K45">
        <f>0.9*2</f>
        <v>1.8</v>
      </c>
      <c r="L45">
        <f>1.6*4</f>
        <v>6.4</v>
      </c>
    </row>
    <row r="46" spans="1:12" ht="15.75" thickBot="1" x14ac:dyDescent="0.3">
      <c r="A46" s="87"/>
      <c r="B46" s="88" t="s">
        <v>65</v>
      </c>
      <c r="C46" s="21">
        <v>2.7143999999999999</v>
      </c>
      <c r="D46" s="6">
        <f t="shared" si="0"/>
        <v>15.999999999999998</v>
      </c>
      <c r="E46" s="6">
        <v>22.5</v>
      </c>
      <c r="F46" s="6">
        <v>28</v>
      </c>
      <c r="G46" s="15">
        <f>ABS(Table14[[#This Row],[U]]*Table14[[#This Row],[A]]*(Table14[[#This Row],[Ti2]]-Table14[[#This Row],[Ti]]))</f>
        <v>238.86719999999997</v>
      </c>
      <c r="J46">
        <v>0</v>
      </c>
      <c r="K46">
        <f>2.4</f>
        <v>2.4</v>
      </c>
      <c r="L46">
        <f>4.6*4</f>
        <v>18.399999999999999</v>
      </c>
    </row>
    <row r="47" spans="1:12" ht="15.75" thickBot="1" x14ac:dyDescent="0.3">
      <c r="A47" s="87" t="s">
        <v>452</v>
      </c>
      <c r="B47" s="88" t="s">
        <v>453</v>
      </c>
      <c r="C47" s="21">
        <v>2.7143999999999999</v>
      </c>
      <c r="D47" s="6">
        <f t="shared" si="0"/>
        <v>6</v>
      </c>
      <c r="E47" s="6">
        <v>22.5</v>
      </c>
      <c r="F47" s="6">
        <v>22.5</v>
      </c>
      <c r="G47" s="15">
        <f>ABS(Table14[[#This Row],[U]]*Table14[[#This Row],[A]]*(Table14[[#This Row],[Ti2]]-Table14[[#This Row],[Ti]]))</f>
        <v>0</v>
      </c>
      <c r="J47">
        <v>0</v>
      </c>
      <c r="K47">
        <v>0</v>
      </c>
      <c r="L47">
        <f>1.5*4</f>
        <v>6</v>
      </c>
    </row>
    <row r="48" spans="1:12" ht="15.75" thickBot="1" x14ac:dyDescent="0.3">
      <c r="A48" s="87"/>
      <c r="B48" s="88" t="s">
        <v>457</v>
      </c>
      <c r="C48" s="21">
        <v>2.7143999999999999</v>
      </c>
      <c r="D48" s="6">
        <f t="shared" si="0"/>
        <v>6</v>
      </c>
      <c r="E48" s="6">
        <v>22.5</v>
      </c>
      <c r="F48" s="6">
        <v>24</v>
      </c>
      <c r="G48" s="15">
        <f>ABS(Table14[[#This Row],[U]]*Table14[[#This Row],[A]]*(Table14[[#This Row],[Ti2]]-Table14[[#This Row],[Ti]]))</f>
        <v>24.429600000000001</v>
      </c>
      <c r="J48">
        <v>0</v>
      </c>
      <c r="K48">
        <v>0</v>
      </c>
      <c r="L48">
        <f>1.5*4</f>
        <v>6</v>
      </c>
    </row>
    <row r="49" spans="1:12" ht="15.75" thickBot="1" x14ac:dyDescent="0.3">
      <c r="A49" s="87"/>
      <c r="B49" s="88" t="s">
        <v>454</v>
      </c>
      <c r="C49" s="21">
        <v>2.7143999999999999</v>
      </c>
      <c r="D49" s="6">
        <f t="shared" si="0"/>
        <v>6.8</v>
      </c>
      <c r="E49" s="6">
        <v>22.5</v>
      </c>
      <c r="F49" s="6">
        <v>24</v>
      </c>
      <c r="G49" s="15">
        <f>ABS(Table14[[#This Row],[U]]*Table14[[#This Row],[A]]*(Table14[[#This Row],[Ti2]]-Table14[[#This Row],[Ti]]))</f>
        <v>27.686879999999995</v>
      </c>
      <c r="J49">
        <v>0</v>
      </c>
      <c r="K49">
        <v>0</v>
      </c>
      <c r="L49">
        <f>1.7*4</f>
        <v>6.8</v>
      </c>
    </row>
    <row r="50" spans="1:12" ht="15.75" thickBot="1" x14ac:dyDescent="0.3">
      <c r="A50" s="87"/>
      <c r="B50" s="88" t="s">
        <v>456</v>
      </c>
      <c r="C50" s="21">
        <v>2.7143999999999999</v>
      </c>
      <c r="D50" s="6">
        <f>L50-K50-J50</f>
        <v>13</v>
      </c>
      <c r="E50" s="6">
        <v>22.5</v>
      </c>
      <c r="F50" s="6"/>
      <c r="G50" s="15">
        <f>ABS(Table14[[#This Row],[U]]*Table14[[#This Row],[A]]*(Table14[[#This Row],[Ti2]]-Table14[[#This Row],[Ti]]))</f>
        <v>793.96199999999999</v>
      </c>
      <c r="J50">
        <v>0</v>
      </c>
      <c r="K50">
        <f>0.8*2</f>
        <v>1.6</v>
      </c>
      <c r="L50">
        <f>3.65*4</f>
        <v>14.6</v>
      </c>
    </row>
    <row r="51" spans="1:12" ht="15.75" thickBot="1" x14ac:dyDescent="0.3">
      <c r="A51" s="87" t="s">
        <v>455</v>
      </c>
      <c r="B51" s="88" t="s">
        <v>65</v>
      </c>
      <c r="C51" s="21">
        <v>2.7143999999999999</v>
      </c>
      <c r="D51" s="6">
        <f t="shared" si="0"/>
        <v>9.3999999999999986</v>
      </c>
      <c r="E51" s="6">
        <v>22.5</v>
      </c>
      <c r="F51" s="6">
        <v>28</v>
      </c>
      <c r="G51" s="15">
        <f>ABS(Table14[[#This Row],[U]]*Table14[[#This Row],[A]]*(Table14[[#This Row],[Ti2]]-Table14[[#This Row],[Ti]]))</f>
        <v>140.33447999999996</v>
      </c>
      <c r="J51">
        <v>1.4</v>
      </c>
      <c r="K51">
        <f>0.9*2</f>
        <v>1.8</v>
      </c>
      <c r="L51">
        <f>3.15*4</f>
        <v>12.6</v>
      </c>
    </row>
    <row r="52" spans="1:12" ht="15.75" thickBot="1" x14ac:dyDescent="0.3">
      <c r="A52" s="87"/>
      <c r="B52" s="88" t="s">
        <v>456</v>
      </c>
      <c r="C52" s="21">
        <v>2.7143999999999999</v>
      </c>
      <c r="D52" s="6">
        <f t="shared" si="0"/>
        <v>10.6</v>
      </c>
      <c r="E52" s="6">
        <v>22.5</v>
      </c>
      <c r="F52" s="6"/>
      <c r="G52" s="15">
        <f>ABS(Table14[[#This Row],[U]]*Table14[[#This Row],[A]]*(Table14[[#This Row],[Ti2]]-Table14[[#This Row],[Ti]]))</f>
        <v>647.38440000000003</v>
      </c>
      <c r="J52">
        <v>0</v>
      </c>
      <c r="K52">
        <f>0.9*2</f>
        <v>1.8</v>
      </c>
      <c r="L52">
        <f>3.1*4</f>
        <v>12.4</v>
      </c>
    </row>
    <row r="53" spans="1:12" ht="15.75" thickBot="1" x14ac:dyDescent="0.3">
      <c r="A53" s="87" t="s">
        <v>456</v>
      </c>
      <c r="B53" s="88" t="s">
        <v>457</v>
      </c>
      <c r="C53" s="21">
        <v>2.7143999999999999</v>
      </c>
      <c r="D53" s="6">
        <f t="shared" si="0"/>
        <v>14.32</v>
      </c>
      <c r="E53" s="6"/>
      <c r="F53" s="6">
        <v>24</v>
      </c>
      <c r="G53" s="15">
        <f>ABS(Table14[[#This Row],[U]]*Table14[[#This Row],[A]]*(Table14[[#This Row],[Ti2]]-Table14[[#This Row],[Ti]]))</f>
        <v>932.88499200000001</v>
      </c>
      <c r="J53">
        <v>0</v>
      </c>
      <c r="K53">
        <v>0</v>
      </c>
      <c r="L53">
        <f>3.58*4</f>
        <v>14.32</v>
      </c>
    </row>
    <row r="54" spans="1:12" ht="15.75" thickBot="1" x14ac:dyDescent="0.3">
      <c r="A54" s="87"/>
      <c r="B54" s="88" t="s">
        <v>458</v>
      </c>
      <c r="C54" s="21">
        <v>2.7143999999999999</v>
      </c>
      <c r="D54" s="6">
        <f t="shared" si="0"/>
        <v>19.399999999999999</v>
      </c>
      <c r="E54" s="6"/>
      <c r="F54" s="6">
        <v>24</v>
      </c>
      <c r="G54" s="15">
        <f>ABS(Table14[[#This Row],[U]]*Table14[[#This Row],[A]]*(Table14[[#This Row],[Ti2]]-Table14[[#This Row],[Ti]]))</f>
        <v>1263.8246399999998</v>
      </c>
      <c r="J54">
        <v>0</v>
      </c>
      <c r="K54">
        <v>0</v>
      </c>
      <c r="L54">
        <f>4.85*4</f>
        <v>19.399999999999999</v>
      </c>
    </row>
    <row r="55" spans="1:12" ht="15.75" thickBot="1" x14ac:dyDescent="0.3">
      <c r="A55" s="87"/>
      <c r="B55" s="88" t="s">
        <v>37</v>
      </c>
      <c r="C55" s="21">
        <v>2.7143999999999999</v>
      </c>
      <c r="D55" s="6">
        <f t="shared" si="0"/>
        <v>3.4</v>
      </c>
      <c r="E55" s="6"/>
      <c r="F55" s="6">
        <v>22.5</v>
      </c>
      <c r="G55" s="15">
        <f>ABS(Table14[[#This Row],[U]]*Table14[[#This Row],[A]]*(Table14[[#This Row],[Ti2]]-Table14[[#This Row],[Ti]]))</f>
        <v>207.65159999999997</v>
      </c>
      <c r="J55">
        <v>0</v>
      </c>
      <c r="K55">
        <v>0</v>
      </c>
      <c r="L55">
        <f>0.85*4</f>
        <v>3.4</v>
      </c>
    </row>
    <row r="56" spans="1:12" ht="15.75" thickBot="1" x14ac:dyDescent="0.3">
      <c r="A56" s="87"/>
      <c r="B56" s="88" t="s">
        <v>65</v>
      </c>
      <c r="C56" s="21">
        <v>2.7143999999999999</v>
      </c>
      <c r="D56" s="6">
        <f t="shared" si="0"/>
        <v>21.720000000000002</v>
      </c>
      <c r="E56" s="6"/>
      <c r="F56" s="6">
        <v>28</v>
      </c>
      <c r="G56" s="15">
        <f>ABS(Table14[[#This Row],[U]]*Table14[[#This Row],[A]]*(Table14[[#This Row],[Ti2]]-Table14[[#This Row],[Ti]]))</f>
        <v>1650.7895040000001</v>
      </c>
      <c r="J56">
        <v>0</v>
      </c>
      <c r="K56">
        <v>2.4</v>
      </c>
      <c r="L56">
        <f>6.03*4</f>
        <v>24.12</v>
      </c>
    </row>
    <row r="57" spans="1:12" ht="15.75" thickBot="1" x14ac:dyDescent="0.3">
      <c r="A57" s="87" t="s">
        <v>37</v>
      </c>
      <c r="B57" s="88" t="s">
        <v>51</v>
      </c>
      <c r="C57" s="21">
        <v>2.7143999999999999</v>
      </c>
      <c r="D57" s="6">
        <f t="shared" si="0"/>
        <v>10.199999999999999</v>
      </c>
      <c r="E57" s="6">
        <v>22.5</v>
      </c>
      <c r="F57" s="6">
        <v>24</v>
      </c>
      <c r="G57" s="15">
        <f>ABS(Table14[[#This Row],[U]]*Table14[[#This Row],[A]]*(Table14[[#This Row],[Ti2]]-Table14[[#This Row],[Ti]]))</f>
        <v>41.530319999999996</v>
      </c>
      <c r="J57">
        <v>0</v>
      </c>
      <c r="K57">
        <f>0.9*2</f>
        <v>1.8</v>
      </c>
      <c r="L57">
        <f>3*4</f>
        <v>12</v>
      </c>
    </row>
    <row r="58" spans="1:12" ht="15.75" thickBot="1" x14ac:dyDescent="0.3">
      <c r="A58" s="87"/>
      <c r="B58" s="88" t="s">
        <v>458</v>
      </c>
      <c r="C58" s="21">
        <v>2.7143999999999999</v>
      </c>
      <c r="D58" s="6">
        <f t="shared" si="0"/>
        <v>10.199999999999999</v>
      </c>
      <c r="E58" s="6">
        <v>22.5</v>
      </c>
      <c r="F58" s="6">
        <v>24</v>
      </c>
      <c r="G58" s="15">
        <f>ABS(Table14[[#This Row],[U]]*Table14[[#This Row],[A]]*(Table14[[#This Row],[Ti2]]-Table14[[#This Row],[Ti]]))</f>
        <v>41.530319999999996</v>
      </c>
      <c r="J58">
        <v>0</v>
      </c>
      <c r="K58">
        <v>1.8</v>
      </c>
      <c r="L58">
        <f>3*4</f>
        <v>12</v>
      </c>
    </row>
    <row r="59" spans="1:12" ht="15.75" thickBot="1" x14ac:dyDescent="0.3">
      <c r="A59" s="87"/>
      <c r="B59" s="88" t="s">
        <v>457</v>
      </c>
      <c r="C59" s="21">
        <v>2.7143999999999999</v>
      </c>
      <c r="D59" s="6">
        <f t="shared" si="0"/>
        <v>8.8800000000000008</v>
      </c>
      <c r="E59" s="6">
        <v>22.5</v>
      </c>
      <c r="F59" s="6">
        <v>24</v>
      </c>
      <c r="G59" s="15">
        <f>ABS(Table14[[#This Row],[U]]*Table14[[#This Row],[A]]*(Table14[[#This Row],[Ti2]]-Table14[[#This Row],[Ti]]))</f>
        <v>36.155808000000007</v>
      </c>
      <c r="J59">
        <v>0</v>
      </c>
      <c r="K59">
        <v>0</v>
      </c>
      <c r="L59">
        <f>2.22*4</f>
        <v>8.8800000000000008</v>
      </c>
    </row>
    <row r="60" spans="1:12" ht="15.75" thickBot="1" x14ac:dyDescent="0.3">
      <c r="A60" s="87" t="s">
        <v>458</v>
      </c>
      <c r="B60" s="88" t="s">
        <v>51</v>
      </c>
      <c r="C60" s="21">
        <v>2.7143999999999999</v>
      </c>
      <c r="D60" s="6">
        <f t="shared" si="0"/>
        <v>22</v>
      </c>
      <c r="E60" s="6">
        <v>24</v>
      </c>
      <c r="F60" s="6">
        <v>24</v>
      </c>
      <c r="G60" s="15">
        <f>ABS(Table14[[#This Row],[U]]*Table14[[#This Row],[A]]*(Table14[[#This Row],[Ti2]]-Table14[[#This Row],[Ti]]))</f>
        <v>0</v>
      </c>
      <c r="J60">
        <v>0</v>
      </c>
      <c r="K60">
        <v>1.8</v>
      </c>
      <c r="L60">
        <f>5.95*4</f>
        <v>23.8</v>
      </c>
    </row>
    <row r="61" spans="1:12" ht="15.75" thickBot="1" x14ac:dyDescent="0.3">
      <c r="A61" s="87"/>
      <c r="B61" s="88" t="s">
        <v>65</v>
      </c>
      <c r="C61" s="21">
        <v>2.7143999999999999</v>
      </c>
      <c r="D61" s="6">
        <f t="shared" si="0"/>
        <v>10.719999999999999</v>
      </c>
      <c r="E61" s="6">
        <v>24</v>
      </c>
      <c r="F61" s="6">
        <v>28</v>
      </c>
      <c r="G61" s="15">
        <f>ABS(Table14[[#This Row],[U]]*Table14[[#This Row],[A]]*(Table14[[#This Row],[Ti2]]-Table14[[#This Row],[Ti]]))</f>
        <v>116.39347199999999</v>
      </c>
      <c r="J61">
        <v>1.4</v>
      </c>
      <c r="K61">
        <v>0</v>
      </c>
      <c r="L61">
        <f>3.03*4</f>
        <v>12.12</v>
      </c>
    </row>
    <row r="62" spans="1:12" ht="15.75" thickBot="1" x14ac:dyDescent="0.3">
      <c r="A62" s="87" t="s">
        <v>51</v>
      </c>
      <c r="B62" s="88" t="s">
        <v>459</v>
      </c>
      <c r="C62" s="21">
        <v>2.7143999999999999</v>
      </c>
      <c r="D62" s="6">
        <f>L62-K62-J62</f>
        <v>17.2</v>
      </c>
      <c r="E62" s="6">
        <v>24</v>
      </c>
      <c r="F62" s="6">
        <v>24</v>
      </c>
      <c r="G62" s="15">
        <f>ABS(Table14[[#This Row],[U]]*Table14[[#This Row],[A]]*(Table14[[#This Row],[Ti2]]-Table14[[#This Row],[Ti]]))</f>
        <v>0</v>
      </c>
      <c r="J62">
        <v>0</v>
      </c>
      <c r="K62">
        <v>1.6</v>
      </c>
      <c r="L62">
        <f>4.7*4</f>
        <v>18.8</v>
      </c>
    </row>
    <row r="63" spans="1:12" ht="15.75" thickBot="1" x14ac:dyDescent="0.3">
      <c r="A63" s="87"/>
      <c r="B63" s="88" t="s">
        <v>65</v>
      </c>
      <c r="C63" s="21">
        <v>2.7143999999999999</v>
      </c>
      <c r="D63" s="6">
        <f t="shared" si="0"/>
        <v>38</v>
      </c>
      <c r="E63" s="6">
        <v>24</v>
      </c>
      <c r="F63" s="6">
        <v>28</v>
      </c>
      <c r="G63" s="15">
        <f>ABS(Table14[[#This Row],[U]]*Table14[[#This Row],[A]]*(Table14[[#This Row],[Ti2]]-Table14[[#This Row],[Ti]]))</f>
        <v>412.58879999999999</v>
      </c>
      <c r="J63">
        <v>0</v>
      </c>
      <c r="K63">
        <v>2</v>
      </c>
      <c r="L63">
        <f>10*4</f>
        <v>40</v>
      </c>
    </row>
    <row r="64" spans="1:12" ht="15.75" thickBot="1" x14ac:dyDescent="0.3">
      <c r="A64" s="87" t="s">
        <v>460</v>
      </c>
      <c r="B64" s="88" t="s">
        <v>65</v>
      </c>
      <c r="C64" s="21">
        <v>2.7143999999999999</v>
      </c>
      <c r="D64" s="6">
        <f t="shared" si="0"/>
        <v>28.400000000000002</v>
      </c>
      <c r="E64" s="6">
        <v>22.5</v>
      </c>
      <c r="F64" s="6">
        <v>28</v>
      </c>
      <c r="G64" s="15">
        <f>ABS(Table14[[#This Row],[U]]*Table14[[#This Row],[A]]*(Table14[[#This Row],[Ti2]]-Table14[[#This Row],[Ti]]))</f>
        <v>423.98928000000001</v>
      </c>
      <c r="J64">
        <v>1.2</v>
      </c>
      <c r="K64">
        <v>2.4</v>
      </c>
      <c r="L64">
        <f>8*4</f>
        <v>32</v>
      </c>
    </row>
    <row r="65" spans="1:12" ht="15.75" thickBot="1" x14ac:dyDescent="0.3">
      <c r="A65" s="87"/>
      <c r="B65" s="88" t="s">
        <v>460</v>
      </c>
      <c r="C65" s="21">
        <v>2.7143999999999999</v>
      </c>
      <c r="D65" s="6">
        <f t="shared" si="0"/>
        <v>19.440000000000001</v>
      </c>
      <c r="E65" s="6">
        <v>22.5</v>
      </c>
      <c r="F65" s="6">
        <v>22.5</v>
      </c>
      <c r="G65" s="15">
        <f>ABS(Table14[[#This Row],[U]]*Table14[[#This Row],[A]]*(Table14[[#This Row],[Ti2]]-Table14[[#This Row],[Ti]]))</f>
        <v>0</v>
      </c>
      <c r="J65">
        <v>0</v>
      </c>
      <c r="K65">
        <v>0</v>
      </c>
      <c r="L65">
        <f>4.86*4</f>
        <v>19.440000000000001</v>
      </c>
    </row>
    <row r="66" spans="1:12" ht="15.75" thickBot="1" x14ac:dyDescent="0.3">
      <c r="A66" s="87"/>
      <c r="B66" s="88" t="s">
        <v>461</v>
      </c>
      <c r="C66" s="21">
        <v>2.7143999999999999</v>
      </c>
      <c r="D66" s="6">
        <f t="shared" si="0"/>
        <v>12.56</v>
      </c>
      <c r="E66" s="6">
        <v>22.5</v>
      </c>
      <c r="F66" s="6">
        <v>22.5</v>
      </c>
      <c r="G66" s="15">
        <f>ABS(Table14[[#This Row],[U]]*Table14[[#This Row],[A]]*(Table14[[#This Row],[Ti2]]-Table14[[#This Row],[Ti]]))</f>
        <v>0</v>
      </c>
      <c r="J66">
        <v>0</v>
      </c>
      <c r="K66">
        <v>0</v>
      </c>
      <c r="L66">
        <f>3.14*4</f>
        <v>12.56</v>
      </c>
    </row>
    <row r="67" spans="1:12" ht="15.75" thickBot="1" x14ac:dyDescent="0.3">
      <c r="A67" s="87" t="s">
        <v>460</v>
      </c>
      <c r="B67" s="88" t="s">
        <v>65</v>
      </c>
      <c r="C67" s="21">
        <v>2.7143999999999999</v>
      </c>
      <c r="D67" s="6">
        <f t="shared" si="0"/>
        <v>18.400000000000002</v>
      </c>
      <c r="E67" s="6">
        <v>22.5</v>
      </c>
      <c r="F67" s="6">
        <v>28</v>
      </c>
      <c r="G67" s="15">
        <f>ABS(Table14[[#This Row],[U]]*Table14[[#This Row],[A]]*(Table14[[#This Row],[Ti2]]-Table14[[#This Row],[Ti]]))</f>
        <v>274.69728000000003</v>
      </c>
      <c r="J67">
        <v>1.2</v>
      </c>
      <c r="K67">
        <v>2.4</v>
      </c>
      <c r="L67">
        <f>5.5*4</f>
        <v>22</v>
      </c>
    </row>
    <row r="68" spans="1:12" ht="15.75" thickBot="1" x14ac:dyDescent="0.3">
      <c r="A68" s="87"/>
      <c r="B68" s="88" t="s">
        <v>461</v>
      </c>
      <c r="C68" s="21">
        <v>2.7143999999999999</v>
      </c>
      <c r="D68" s="6">
        <f t="shared" ref="D68:D75" si="1">L68-K68-J68</f>
        <v>12.56</v>
      </c>
      <c r="E68" s="6">
        <v>22.5</v>
      </c>
      <c r="F68" s="6">
        <v>22.5</v>
      </c>
      <c r="G68" s="15">
        <f>ABS(Table14[[#This Row],[U]]*Table14[[#This Row],[A]]*(Table14[[#This Row],[Ti2]]-Table14[[#This Row],[Ti]]))</f>
        <v>0</v>
      </c>
      <c r="J68">
        <v>0</v>
      </c>
      <c r="K68">
        <v>0</v>
      </c>
      <c r="L68">
        <f>3.14*4</f>
        <v>12.56</v>
      </c>
    </row>
    <row r="69" spans="1:12" ht="15.75" thickBot="1" x14ac:dyDescent="0.3">
      <c r="A69" s="87"/>
      <c r="B69" s="88" t="s">
        <v>185</v>
      </c>
      <c r="C69" s="21">
        <v>2.7143999999999999</v>
      </c>
      <c r="D69" s="6">
        <f t="shared" si="1"/>
        <v>10</v>
      </c>
      <c r="E69" s="6">
        <v>22.5</v>
      </c>
      <c r="F69" s="6"/>
      <c r="G69" s="15">
        <f>ABS(Table14[[#This Row],[U]]*Table14[[#This Row],[A]]*(Table14[[#This Row],[Ti2]]-Table14[[#This Row],[Ti]]))</f>
        <v>610.74</v>
      </c>
      <c r="J69">
        <v>0</v>
      </c>
      <c r="K69">
        <v>0</v>
      </c>
      <c r="L69">
        <f>2.5*4</f>
        <v>10</v>
      </c>
    </row>
    <row r="70" spans="1:12" ht="15.75" thickBot="1" x14ac:dyDescent="0.3">
      <c r="A70" s="87" t="s">
        <v>461</v>
      </c>
      <c r="B70" s="88" t="s">
        <v>65</v>
      </c>
      <c r="C70" s="21">
        <v>2.7143999999999999</v>
      </c>
      <c r="D70" s="6">
        <f t="shared" si="1"/>
        <v>28.400000000000002</v>
      </c>
      <c r="E70" s="6">
        <v>22.5</v>
      </c>
      <c r="F70" s="6">
        <v>28</v>
      </c>
      <c r="G70" s="15">
        <f>ABS(Table14[[#This Row],[U]]*Table14[[#This Row],[A]]*(Table14[[#This Row],[Ti2]]-Table14[[#This Row],[Ti]]))</f>
        <v>423.98928000000001</v>
      </c>
      <c r="J70">
        <v>1.2</v>
      </c>
      <c r="K70">
        <v>2.4</v>
      </c>
      <c r="L70">
        <f>8*4</f>
        <v>32</v>
      </c>
    </row>
    <row r="71" spans="1:12" ht="15.75" thickBot="1" x14ac:dyDescent="0.3">
      <c r="A71" s="87"/>
      <c r="B71" s="88" t="s">
        <v>461</v>
      </c>
      <c r="C71" s="21">
        <v>2.7143999999999999</v>
      </c>
      <c r="D71" s="6">
        <f t="shared" si="1"/>
        <v>19.440000000000001</v>
      </c>
      <c r="E71" s="6">
        <v>22.5</v>
      </c>
      <c r="F71" s="6">
        <v>22.5</v>
      </c>
      <c r="G71" s="15">
        <f>ABS(Table14[[#This Row],[U]]*Table14[[#This Row],[A]]*(Table14[[#This Row],[Ti2]]-Table14[[#This Row],[Ti]]))</f>
        <v>0</v>
      </c>
      <c r="J71">
        <v>0</v>
      </c>
      <c r="K71">
        <v>0</v>
      </c>
      <c r="L71">
        <f>4.86*4</f>
        <v>19.440000000000001</v>
      </c>
    </row>
    <row r="72" spans="1:12" ht="15.75" thickBot="1" x14ac:dyDescent="0.3">
      <c r="A72" s="87" t="s">
        <v>461</v>
      </c>
      <c r="B72" s="88" t="s">
        <v>65</v>
      </c>
      <c r="C72" s="21">
        <v>2.7143999999999999</v>
      </c>
      <c r="D72" s="6">
        <f t="shared" si="1"/>
        <v>8.9600000000000009</v>
      </c>
      <c r="E72" s="6">
        <v>22.5</v>
      </c>
      <c r="F72" s="6">
        <v>28</v>
      </c>
      <c r="G72" s="15">
        <f>ABS(Table14[[#This Row],[U]]*Table14[[#This Row],[A]]*(Table14[[#This Row],[Ti2]]-Table14[[#This Row],[Ti]]))</f>
        <v>133.76563200000001</v>
      </c>
      <c r="J72">
        <v>1.2</v>
      </c>
      <c r="K72">
        <v>2.4</v>
      </c>
      <c r="L72">
        <f>3.14*4</f>
        <v>12.56</v>
      </c>
    </row>
    <row r="73" spans="1:12" ht="15.75" thickBot="1" x14ac:dyDescent="0.3">
      <c r="A73" s="87"/>
      <c r="B73" s="88" t="s">
        <v>462</v>
      </c>
      <c r="C73" s="21">
        <v>2.7143999999999999</v>
      </c>
      <c r="D73" s="6">
        <f t="shared" si="1"/>
        <v>9.92</v>
      </c>
      <c r="E73" s="6">
        <v>22.5</v>
      </c>
      <c r="F73" s="6">
        <v>22.5</v>
      </c>
      <c r="G73" s="15">
        <f>ABS(Table14[[#This Row],[U]]*Table14[[#This Row],[A]]*(Table14[[#This Row],[Ti2]]-Table14[[#This Row],[Ti]]))</f>
        <v>0</v>
      </c>
      <c r="J73">
        <v>0</v>
      </c>
      <c r="K73">
        <v>0</v>
      </c>
      <c r="L73">
        <f>2.48*4</f>
        <v>9.92</v>
      </c>
    </row>
    <row r="74" spans="1:12" ht="15.75" thickBot="1" x14ac:dyDescent="0.3">
      <c r="A74" s="87"/>
      <c r="B74" s="88" t="s">
        <v>463</v>
      </c>
      <c r="C74" s="21">
        <v>2.7143999999999999</v>
      </c>
      <c r="D74" s="6">
        <f t="shared" si="1"/>
        <v>9.52</v>
      </c>
      <c r="E74" s="6">
        <v>22.5</v>
      </c>
      <c r="F74" s="6">
        <v>22.5</v>
      </c>
      <c r="G74" s="15">
        <f>ABS(Table14[[#This Row],[U]]*Table14[[#This Row],[A]]*(Table14[[#This Row],[Ti2]]-Table14[[#This Row],[Ti]]))</f>
        <v>0</v>
      </c>
      <c r="J74">
        <v>0</v>
      </c>
      <c r="K74">
        <v>0</v>
      </c>
      <c r="L74">
        <f>2.38*4</f>
        <v>9.52</v>
      </c>
    </row>
    <row r="75" spans="1:12" ht="15.75" thickBot="1" x14ac:dyDescent="0.3">
      <c r="A75" s="87" t="s">
        <v>462</v>
      </c>
      <c r="B75" s="88" t="s">
        <v>185</v>
      </c>
      <c r="C75" s="21">
        <v>2.7143999999999999</v>
      </c>
      <c r="D75" s="6">
        <f t="shared" si="1"/>
        <v>19.2</v>
      </c>
      <c r="E75" s="6">
        <v>22.5</v>
      </c>
      <c r="F75" s="6"/>
      <c r="G75" s="15">
        <f>ABS(Table14[[#This Row],[U]]*Table14[[#This Row],[A]]*(Table14[[#This Row],[Ti2]]-Table14[[#This Row],[Ti]]))</f>
        <v>1172.6207999999999</v>
      </c>
      <c r="J75">
        <v>0</v>
      </c>
      <c r="K75">
        <v>0</v>
      </c>
      <c r="L75">
        <f>4.8*4</f>
        <v>19.2</v>
      </c>
    </row>
    <row r="76" spans="1:12" ht="15.75" thickBot="1" x14ac:dyDescent="0.3">
      <c r="A76" s="87"/>
      <c r="B76" s="88" t="s">
        <v>463</v>
      </c>
      <c r="C76" s="21">
        <v>2.7143999999999999</v>
      </c>
      <c r="D76" s="6">
        <f>L76-K76-J76</f>
        <v>17.599999999999998</v>
      </c>
      <c r="E76" s="6">
        <v>22.5</v>
      </c>
      <c r="F76" s="6">
        <v>22.5</v>
      </c>
      <c r="G76" s="15">
        <f>ABS(Table14[[#This Row],[U]]*Table14[[#This Row],[A]]*(Table14[[#This Row],[Ti2]]-Table14[[#This Row],[Ti]]))</f>
        <v>0</v>
      </c>
      <c r="J76">
        <v>0</v>
      </c>
      <c r="K76">
        <v>1.6</v>
      </c>
      <c r="L76">
        <f>4.8*4</f>
        <v>19.2</v>
      </c>
    </row>
    <row r="77" spans="1:12" ht="15.75" thickBot="1" x14ac:dyDescent="0.3">
      <c r="A77" s="87" t="s">
        <v>185</v>
      </c>
      <c r="B77" s="88" t="s">
        <v>65</v>
      </c>
      <c r="C77" s="21">
        <v>2.7143999999999999</v>
      </c>
      <c r="D77" s="6">
        <f t="shared" ref="D77:D84" si="2">L77-K77-J77</f>
        <v>19.2</v>
      </c>
      <c r="E77" s="6"/>
      <c r="F77" s="6">
        <v>28</v>
      </c>
      <c r="G77" s="15">
        <f>ABS(Table14[[#This Row],[U]]*Table14[[#This Row],[A]]*(Table14[[#This Row],[Ti2]]-Table14[[#This Row],[Ti]]))</f>
        <v>1459.2614399999998</v>
      </c>
      <c r="J77">
        <v>0</v>
      </c>
      <c r="K77">
        <v>0</v>
      </c>
      <c r="L77">
        <f>4.8*4</f>
        <v>19.2</v>
      </c>
    </row>
    <row r="78" spans="1:12" ht="15.75" thickBot="1" x14ac:dyDescent="0.3">
      <c r="A78" s="87"/>
      <c r="B78" s="88" t="s">
        <v>464</v>
      </c>
      <c r="C78" s="21">
        <v>2.7143999999999999</v>
      </c>
      <c r="D78" s="6">
        <f t="shared" si="2"/>
        <v>10</v>
      </c>
      <c r="E78" s="6"/>
      <c r="F78" s="6">
        <v>22.5</v>
      </c>
      <c r="G78" s="15">
        <f>ABS(Table14[[#This Row],[U]]*Table14[[#This Row],[A]]*(Table14[[#This Row],[Ti2]]-Table14[[#This Row],[Ti]]))</f>
        <v>610.74</v>
      </c>
      <c r="J78">
        <v>0</v>
      </c>
      <c r="K78">
        <v>0</v>
      </c>
      <c r="L78">
        <f>2.5*4</f>
        <v>10</v>
      </c>
    </row>
    <row r="79" spans="1:12" ht="15.75" thickBot="1" x14ac:dyDescent="0.3">
      <c r="A79" s="87" t="s">
        <v>463</v>
      </c>
      <c r="B79" s="88" t="s">
        <v>65</v>
      </c>
      <c r="C79" s="21">
        <v>2.7143999999999999</v>
      </c>
      <c r="D79" s="6">
        <f t="shared" si="2"/>
        <v>16.399999999999999</v>
      </c>
      <c r="E79" s="6">
        <v>22.5</v>
      </c>
      <c r="F79" s="6">
        <v>28</v>
      </c>
      <c r="G79" s="15">
        <f>ABS(Table14[[#This Row],[U]]*Table14[[#This Row],[A]]*(Table14[[#This Row],[Ti2]]-Table14[[#This Row],[Ti]]))</f>
        <v>244.83887999999996</v>
      </c>
      <c r="J79">
        <v>1.2</v>
      </c>
      <c r="K79">
        <v>1.6</v>
      </c>
      <c r="L79">
        <f>4.8*4</f>
        <v>19.2</v>
      </c>
    </row>
    <row r="80" spans="1:12" ht="15.75" thickBot="1" x14ac:dyDescent="0.3">
      <c r="A80" s="87"/>
      <c r="B80" s="88" t="s">
        <v>465</v>
      </c>
      <c r="C80" s="21">
        <v>2.7143999999999999</v>
      </c>
      <c r="D80" s="6">
        <f t="shared" si="2"/>
        <v>9.52</v>
      </c>
      <c r="E80" s="6">
        <v>22.5</v>
      </c>
      <c r="F80" s="6">
        <v>22.5</v>
      </c>
      <c r="G80" s="15">
        <f>ABS(Table14[[#This Row],[U]]*Table14[[#This Row],[A]]*(Table14[[#This Row],[Ti2]]-Table14[[#This Row],[Ti]]))</f>
        <v>0</v>
      </c>
      <c r="J80">
        <v>0</v>
      </c>
      <c r="K80">
        <v>0</v>
      </c>
      <c r="L80">
        <f>2.38*4</f>
        <v>9.52</v>
      </c>
    </row>
    <row r="81" spans="1:12" ht="15.75" thickBot="1" x14ac:dyDescent="0.3">
      <c r="A81" s="87" t="s">
        <v>464</v>
      </c>
      <c r="B81" s="88" t="s">
        <v>65</v>
      </c>
      <c r="C81" s="21">
        <v>2.7143999999999999</v>
      </c>
      <c r="D81" s="6">
        <f t="shared" si="2"/>
        <v>18.64</v>
      </c>
      <c r="E81" s="6">
        <v>22.5</v>
      </c>
      <c r="F81" s="6">
        <v>28</v>
      </c>
      <c r="G81" s="15">
        <f>ABS(Table14[[#This Row],[U]]*Table14[[#This Row],[A]]*(Table14[[#This Row],[Ti2]]-Table14[[#This Row],[Ti]]))</f>
        <v>278.28028799999998</v>
      </c>
      <c r="J81">
        <v>1.2</v>
      </c>
      <c r="K81">
        <v>1.6</v>
      </c>
      <c r="L81">
        <f>5.36*4</f>
        <v>21.44</v>
      </c>
    </row>
    <row r="82" spans="1:12" ht="15.75" thickBot="1" x14ac:dyDescent="0.3">
      <c r="A82" s="87"/>
      <c r="B82" s="88" t="s">
        <v>464</v>
      </c>
      <c r="C82" s="21">
        <v>2.7143999999999999</v>
      </c>
      <c r="D82" s="6">
        <f t="shared" si="2"/>
        <v>19.2</v>
      </c>
      <c r="E82" s="6">
        <v>22.5</v>
      </c>
      <c r="F82" s="6">
        <v>22.5</v>
      </c>
      <c r="G82" s="15">
        <f>ABS(Table14[[#This Row],[U]]*Table14[[#This Row],[A]]*(Table14[[#This Row],[Ti2]]-Table14[[#This Row],[Ti]]))</f>
        <v>0</v>
      </c>
      <c r="J82">
        <v>0</v>
      </c>
      <c r="K82">
        <v>0</v>
      </c>
      <c r="L82">
        <f>4.8*4</f>
        <v>19.2</v>
      </c>
    </row>
    <row r="83" spans="1:12" ht="15.75" thickBot="1" x14ac:dyDescent="0.3">
      <c r="A83" s="87"/>
      <c r="B83" s="88" t="s">
        <v>465</v>
      </c>
      <c r="C83" s="21">
        <v>2.7143999999999999</v>
      </c>
      <c r="D83" s="6">
        <f t="shared" si="2"/>
        <v>12</v>
      </c>
      <c r="E83" s="6">
        <v>22.5</v>
      </c>
      <c r="F83" s="6">
        <v>22.5</v>
      </c>
      <c r="G83" s="15">
        <f>ABS(Table14[[#This Row],[U]]*Table14[[#This Row],[A]]*(Table14[[#This Row],[Ti2]]-Table14[[#This Row],[Ti]]))</f>
        <v>0</v>
      </c>
      <c r="J83">
        <v>0</v>
      </c>
      <c r="K83">
        <v>0</v>
      </c>
      <c r="L83">
        <f>3*4</f>
        <v>12</v>
      </c>
    </row>
    <row r="84" spans="1:12" ht="15.75" thickBot="1" x14ac:dyDescent="0.3">
      <c r="A84" s="87" t="s">
        <v>465</v>
      </c>
      <c r="B84" s="88" t="s">
        <v>465</v>
      </c>
      <c r="C84" s="21">
        <v>2.7143999999999999</v>
      </c>
      <c r="D84" s="6">
        <f t="shared" si="2"/>
        <v>19.2</v>
      </c>
      <c r="E84" s="6">
        <v>22.5</v>
      </c>
      <c r="F84" s="6">
        <v>22.5</v>
      </c>
      <c r="G84" s="15">
        <f>ABS(Table14[[#This Row],[U]]*Table14[[#This Row],[A]]*(Table14[[#This Row],[Ti2]]-Table14[[#This Row],[Ti]]))</f>
        <v>0</v>
      </c>
      <c r="J84">
        <v>0</v>
      </c>
      <c r="K84">
        <v>0</v>
      </c>
      <c r="L84">
        <f>4.8*4</f>
        <v>19.2</v>
      </c>
    </row>
    <row r="85" spans="1:12" ht="15.75" thickBot="1" x14ac:dyDescent="0.3">
      <c r="A85" s="87"/>
      <c r="B85" s="88" t="s">
        <v>65</v>
      </c>
      <c r="C85" s="21">
        <v>2.7143999999999999</v>
      </c>
      <c r="D85" s="6">
        <f>L85-K85-J85</f>
        <v>9.2000000000000011</v>
      </c>
      <c r="E85" s="6">
        <v>22.5</v>
      </c>
      <c r="F85" s="6">
        <v>28</v>
      </c>
      <c r="G85" s="15">
        <f>ABS(Table14[[#This Row],[U]]*Table14[[#This Row],[A]]*(Table14[[#This Row],[Ti2]]-Table14[[#This Row],[Ti]]))</f>
        <v>137.34864000000002</v>
      </c>
      <c r="J85">
        <v>1.2</v>
      </c>
      <c r="K85">
        <v>1.6</v>
      </c>
      <c r="L85">
        <f>3*4</f>
        <v>12</v>
      </c>
    </row>
    <row r="86" spans="1:12" ht="15.75" thickBot="1" x14ac:dyDescent="0.3">
      <c r="A86" s="87" t="s">
        <v>464</v>
      </c>
      <c r="B86" s="88" t="s">
        <v>65</v>
      </c>
      <c r="C86" s="21">
        <v>2.7143999999999999</v>
      </c>
      <c r="D86" s="6">
        <f t="shared" ref="D86:D101" si="3">L86-K86-J86</f>
        <v>28.64</v>
      </c>
      <c r="E86" s="6">
        <v>22.5</v>
      </c>
      <c r="F86" s="6">
        <v>28</v>
      </c>
      <c r="G86" s="15">
        <f>ABS(Table14[[#This Row],[U]]*Table14[[#This Row],[A]]*(Table14[[#This Row],[Ti2]]-Table14[[#This Row],[Ti]]))</f>
        <v>427.57228799999996</v>
      </c>
      <c r="J86">
        <v>1.2</v>
      </c>
      <c r="K86">
        <v>1.6</v>
      </c>
      <c r="L86">
        <f>7.86*4</f>
        <v>31.44</v>
      </c>
    </row>
    <row r="87" spans="1:12" ht="15.75" thickBot="1" x14ac:dyDescent="0.3">
      <c r="A87" s="87"/>
      <c r="B87" s="88" t="s">
        <v>465</v>
      </c>
      <c r="C87" s="21">
        <v>2.7143999999999999</v>
      </c>
      <c r="D87" s="6">
        <f t="shared" si="3"/>
        <v>12</v>
      </c>
      <c r="E87" s="6">
        <v>22.5</v>
      </c>
      <c r="F87" s="6">
        <v>22.5</v>
      </c>
      <c r="G87" s="15">
        <f>ABS(Table14[[#This Row],[U]]*Table14[[#This Row],[A]]*(Table14[[#This Row],[Ti2]]-Table14[[#This Row],[Ti]]))</f>
        <v>0</v>
      </c>
      <c r="J87">
        <v>0</v>
      </c>
      <c r="K87">
        <v>0</v>
      </c>
      <c r="L87">
        <f>3*4</f>
        <v>12</v>
      </c>
    </row>
    <row r="88" spans="1:12" ht="15.75" thickBot="1" x14ac:dyDescent="0.3">
      <c r="A88" s="87" t="s">
        <v>465</v>
      </c>
      <c r="B88" s="88" t="s">
        <v>65</v>
      </c>
      <c r="C88" s="21">
        <v>2.7143999999999999</v>
      </c>
      <c r="D88" s="6">
        <f t="shared" si="3"/>
        <v>28.64</v>
      </c>
      <c r="E88" s="6">
        <v>22.5</v>
      </c>
      <c r="F88" s="6">
        <v>28</v>
      </c>
      <c r="G88" s="15">
        <f>ABS(Table14[[#This Row],[U]]*Table14[[#This Row],[A]]*(Table14[[#This Row],[Ti2]]-Table14[[#This Row],[Ti]]))</f>
        <v>427.57228799999996</v>
      </c>
      <c r="J88">
        <v>1.2</v>
      </c>
      <c r="K88">
        <v>1.6</v>
      </c>
      <c r="L88">
        <f>7.86*4</f>
        <v>31.44</v>
      </c>
    </row>
    <row r="89" spans="1:12" ht="15.75" thickBot="1" x14ac:dyDescent="0.3">
      <c r="A89" s="87" t="s">
        <v>77</v>
      </c>
      <c r="B89" s="88" t="s">
        <v>76</v>
      </c>
      <c r="C89" s="21">
        <v>2.7143999999999999</v>
      </c>
      <c r="D89" s="6">
        <f t="shared" si="3"/>
        <v>12</v>
      </c>
      <c r="E89" s="6">
        <v>22.5</v>
      </c>
      <c r="F89" s="6">
        <v>22.5</v>
      </c>
      <c r="G89" s="15">
        <f>ABS(Table14[[#This Row],[U]]*Table14[[#This Row],[A]]*(Table14[[#This Row],[Ti2]]-Table14[[#This Row],[Ti]]))</f>
        <v>0</v>
      </c>
      <c r="J89">
        <v>0</v>
      </c>
      <c r="K89">
        <v>0</v>
      </c>
      <c r="L89">
        <f>3*4</f>
        <v>12</v>
      </c>
    </row>
    <row r="90" spans="1:12" ht="15.75" thickBot="1" x14ac:dyDescent="0.3">
      <c r="A90" s="87"/>
      <c r="B90" s="88" t="s">
        <v>65</v>
      </c>
      <c r="C90" s="21">
        <v>2.7143999999999999</v>
      </c>
      <c r="D90" s="6">
        <f t="shared" si="3"/>
        <v>25.8</v>
      </c>
      <c r="E90" s="6">
        <v>22.5</v>
      </c>
      <c r="F90" s="6">
        <v>28</v>
      </c>
      <c r="G90" s="15">
        <f>ABS(Table14[[#This Row],[U]]*Table14[[#This Row],[A]]*(Table14[[#This Row],[Ti2]]-Table14[[#This Row],[Ti]]))</f>
        <v>385.17336</v>
      </c>
      <c r="K90">
        <v>1.8</v>
      </c>
      <c r="L90">
        <f>6.9*4</f>
        <v>27.6</v>
      </c>
    </row>
    <row r="91" spans="1:12" ht="15.75" thickBot="1" x14ac:dyDescent="0.3">
      <c r="A91" s="87" t="s">
        <v>76</v>
      </c>
      <c r="B91" s="88" t="s">
        <v>65</v>
      </c>
      <c r="C91" s="21">
        <v>2.7143999999999999</v>
      </c>
      <c r="D91" s="6">
        <f t="shared" si="3"/>
        <v>13.799999999999999</v>
      </c>
      <c r="E91" s="6">
        <v>22.5</v>
      </c>
      <c r="F91" s="6">
        <v>28</v>
      </c>
      <c r="G91" s="15">
        <f>ABS(Table14[[#This Row],[U]]*Table14[[#This Row],[A]]*(Table14[[#This Row],[Ti2]]-Table14[[#This Row],[Ti]]))</f>
        <v>206.02296000000001</v>
      </c>
      <c r="K91">
        <v>1.8</v>
      </c>
      <c r="L91">
        <f>1.95*2*4</f>
        <v>15.6</v>
      </c>
    </row>
    <row r="92" spans="1:12" ht="15.75" thickBot="1" x14ac:dyDescent="0.3">
      <c r="A92" s="87"/>
      <c r="B92" s="88" t="s">
        <v>73</v>
      </c>
      <c r="C92" s="21">
        <v>2.7143999999999999</v>
      </c>
      <c r="D92" s="6">
        <f t="shared" si="3"/>
        <v>12</v>
      </c>
      <c r="E92" s="6">
        <v>22.5</v>
      </c>
      <c r="F92" s="6">
        <v>22.5</v>
      </c>
      <c r="G92" s="15">
        <f>ABS(Table14[[#This Row],[U]]*Table14[[#This Row],[A]]*(Table14[[#This Row],[Ti2]]-Table14[[#This Row],[Ti]]))</f>
        <v>0</v>
      </c>
      <c r="K92">
        <v>0</v>
      </c>
      <c r="L92">
        <f>3*4</f>
        <v>12</v>
      </c>
    </row>
    <row r="93" spans="1:12" ht="15.75" thickBot="1" x14ac:dyDescent="0.3">
      <c r="A93" s="87" t="s">
        <v>73</v>
      </c>
      <c r="B93" s="88" t="s">
        <v>65</v>
      </c>
      <c r="C93" s="21">
        <v>2.7143999999999999</v>
      </c>
      <c r="D93" s="6">
        <f t="shared" si="3"/>
        <v>13.799999999999999</v>
      </c>
      <c r="E93" s="6">
        <v>22.5</v>
      </c>
      <c r="F93" s="6">
        <v>28</v>
      </c>
      <c r="G93" s="15">
        <f>ABS(Table14[[#This Row],[U]]*Table14[[#This Row],[A]]*(Table14[[#This Row],[Ti2]]-Table14[[#This Row],[Ti]]))</f>
        <v>206.02296000000001</v>
      </c>
      <c r="K93">
        <v>1.8</v>
      </c>
      <c r="L93">
        <f>1.95*2*4</f>
        <v>15.6</v>
      </c>
    </row>
    <row r="94" spans="1:12" ht="15.75" thickBot="1" x14ac:dyDescent="0.3">
      <c r="A94" s="87" t="s">
        <v>371</v>
      </c>
      <c r="B94" s="88" t="s">
        <v>373</v>
      </c>
      <c r="C94" s="21">
        <v>2.7143999999999999</v>
      </c>
      <c r="D94" s="6">
        <f t="shared" si="3"/>
        <v>10.399999999999999</v>
      </c>
      <c r="E94" s="6">
        <v>22.5</v>
      </c>
      <c r="F94" s="6">
        <v>22.5</v>
      </c>
      <c r="G94" s="15">
        <f>ABS(Table14[[#This Row],[U]]*Table14[[#This Row],[A]]*(Table14[[#This Row],[Ti2]]-Table14[[#This Row],[Ti]]))</f>
        <v>0</v>
      </c>
      <c r="J94">
        <v>0</v>
      </c>
      <c r="K94">
        <v>1.8</v>
      </c>
      <c r="L94">
        <f>3.05*4</f>
        <v>12.2</v>
      </c>
    </row>
    <row r="95" spans="1:12" ht="15.75" thickBot="1" x14ac:dyDescent="0.3">
      <c r="A95" s="87"/>
      <c r="B95" s="88" t="s">
        <v>374</v>
      </c>
      <c r="C95" s="21">
        <v>2.7143999999999999</v>
      </c>
      <c r="D95" s="6">
        <f t="shared" si="3"/>
        <v>12.2</v>
      </c>
      <c r="E95" s="6">
        <v>22.5</v>
      </c>
      <c r="F95" s="6">
        <v>22.5</v>
      </c>
      <c r="G95" s="15">
        <f>ABS(Table14[[#This Row],[U]]*Table14[[#This Row],[A]]*(Table14[[#This Row],[Ti2]]-Table14[[#This Row],[Ti]]))</f>
        <v>0</v>
      </c>
      <c r="J95">
        <v>0</v>
      </c>
      <c r="K95">
        <v>0</v>
      </c>
      <c r="L95">
        <f>3.05*4</f>
        <v>12.2</v>
      </c>
    </row>
    <row r="96" spans="1:12" ht="15.75" thickBot="1" x14ac:dyDescent="0.3">
      <c r="A96" s="87"/>
      <c r="B96" s="88" t="s">
        <v>65</v>
      </c>
      <c r="C96" s="21">
        <v>2.7143999999999999</v>
      </c>
      <c r="D96" s="6">
        <f t="shared" si="3"/>
        <v>63</v>
      </c>
      <c r="E96" s="6">
        <v>22.5</v>
      </c>
      <c r="F96" s="6">
        <v>28</v>
      </c>
      <c r="G96" s="15">
        <f>ABS(Table14[[#This Row],[U]]*Table14[[#This Row],[A]]*(Table14[[#This Row],[Ti2]]-Table14[[#This Row],[Ti]]))</f>
        <v>940.53959999999995</v>
      </c>
      <c r="J96">
        <v>7.2</v>
      </c>
      <c r="K96">
        <v>1.8</v>
      </c>
      <c r="L96">
        <f>18*4</f>
        <v>72</v>
      </c>
    </row>
    <row r="97" spans="1:12" ht="15.75" thickBot="1" x14ac:dyDescent="0.3">
      <c r="A97" s="87" t="s">
        <v>373</v>
      </c>
      <c r="B97" s="88" t="s">
        <v>374</v>
      </c>
      <c r="C97" s="21">
        <v>2.7143999999999999</v>
      </c>
      <c r="D97" s="6">
        <f t="shared" si="3"/>
        <v>19.2</v>
      </c>
      <c r="E97" s="6">
        <v>22.5</v>
      </c>
      <c r="F97" s="6">
        <v>22.5</v>
      </c>
      <c r="G97" s="15">
        <f>ABS(Table14[[#This Row],[U]]*Table14[[#This Row],[A]]*(Table14[[#This Row],[Ti2]]-Table14[[#This Row],[Ti]]))</f>
        <v>0</v>
      </c>
      <c r="J97">
        <v>0</v>
      </c>
      <c r="K97">
        <v>0</v>
      </c>
      <c r="L97">
        <f>4.8*4</f>
        <v>19.2</v>
      </c>
    </row>
    <row r="98" spans="1:12" ht="15.75" thickBot="1" x14ac:dyDescent="0.3">
      <c r="A98" s="87"/>
      <c r="B98" s="88" t="s">
        <v>65</v>
      </c>
      <c r="C98" s="21">
        <v>2.7143999999999999</v>
      </c>
      <c r="D98" s="6">
        <f t="shared" si="3"/>
        <v>16.8</v>
      </c>
      <c r="E98" s="6">
        <v>22.5</v>
      </c>
      <c r="F98" s="6">
        <v>28</v>
      </c>
      <c r="G98" s="15">
        <f>ABS(Table14[[#This Row],[U]]*Table14[[#This Row],[A]]*(Table14[[#This Row],[Ti2]]-Table14[[#This Row],[Ti]]))</f>
        <v>250.81056000000001</v>
      </c>
      <c r="J98">
        <v>2.4</v>
      </c>
      <c r="K98">
        <v>0</v>
      </c>
      <c r="L98">
        <f>4.8*4</f>
        <v>19.2</v>
      </c>
    </row>
    <row r="99" spans="1:12" ht="15.75" thickBot="1" x14ac:dyDescent="0.3">
      <c r="A99" s="87"/>
      <c r="B99" s="88" t="s">
        <v>59</v>
      </c>
      <c r="C99" s="21">
        <v>2.7143999999999999</v>
      </c>
      <c r="D99" s="6">
        <f t="shared" si="3"/>
        <v>12</v>
      </c>
      <c r="E99" s="6">
        <v>22.5</v>
      </c>
      <c r="F99" s="6">
        <v>24</v>
      </c>
      <c r="G99" s="15">
        <f>ABS(Table14[[#This Row],[U]]*Table14[[#This Row],[A]]*(Table14[[#This Row],[Ti2]]-Table14[[#This Row],[Ti]]))</f>
        <v>48.859200000000001</v>
      </c>
      <c r="J99">
        <v>0</v>
      </c>
      <c r="K99">
        <v>0</v>
      </c>
      <c r="L99">
        <f>3*4</f>
        <v>12</v>
      </c>
    </row>
    <row r="100" spans="1:12" ht="15.75" thickBot="1" x14ac:dyDescent="0.3">
      <c r="A100" s="87" t="s">
        <v>374</v>
      </c>
      <c r="B100" s="88" t="s">
        <v>65</v>
      </c>
      <c r="C100" s="21">
        <v>2.7143999999999999</v>
      </c>
      <c r="D100" s="6">
        <f t="shared" si="3"/>
        <v>14.999999999999998</v>
      </c>
      <c r="E100" s="6">
        <v>22.5</v>
      </c>
      <c r="F100" s="6">
        <v>28</v>
      </c>
      <c r="G100" s="15">
        <f>ABS(Table14[[#This Row],[U]]*Table14[[#This Row],[A]]*(Table14[[#This Row],[Ti2]]-Table14[[#This Row],[Ti]]))</f>
        <v>223.93799999999996</v>
      </c>
      <c r="J100">
        <v>2.4</v>
      </c>
      <c r="K100">
        <v>1.8</v>
      </c>
      <c r="L100">
        <f>4.8*4</f>
        <v>19.2</v>
      </c>
    </row>
    <row r="101" spans="1:12" ht="15.75" thickBot="1" x14ac:dyDescent="0.3">
      <c r="A101" s="87"/>
      <c r="B101" s="88" t="s">
        <v>58</v>
      </c>
      <c r="C101" s="21">
        <v>2.7143999999999999</v>
      </c>
      <c r="D101" s="6">
        <f t="shared" si="3"/>
        <v>12</v>
      </c>
      <c r="E101" s="6">
        <v>22.5</v>
      </c>
      <c r="F101" s="6">
        <v>24</v>
      </c>
      <c r="G101" s="15">
        <f>ABS(Table14[[#This Row],[U]]*Table14[[#This Row],[A]]*(Table14[[#This Row],[Ti2]]-Table14[[#This Row],[Ti]]))</f>
        <v>48.859200000000001</v>
      </c>
      <c r="J101">
        <v>0</v>
      </c>
      <c r="K101">
        <v>0</v>
      </c>
      <c r="L101">
        <f>3*4</f>
        <v>12</v>
      </c>
    </row>
    <row r="102" spans="1:12" ht="15.75" thickBot="1" x14ac:dyDescent="0.3">
      <c r="A102" s="87" t="s">
        <v>59</v>
      </c>
      <c r="B102" s="88" t="s">
        <v>65</v>
      </c>
      <c r="C102" s="21">
        <v>2.7143999999999999</v>
      </c>
      <c r="D102" s="6">
        <f>L102-K102-J102</f>
        <v>33</v>
      </c>
      <c r="E102" s="6">
        <v>24</v>
      </c>
      <c r="F102" s="6">
        <v>28</v>
      </c>
      <c r="G102" s="15">
        <f>ABS(Table14[[#This Row],[U]]*Table14[[#This Row],[A]]*(Table14[[#This Row],[Ti2]]-Table14[[#This Row],[Ti]]))</f>
        <v>358.30079999999998</v>
      </c>
      <c r="J102">
        <v>1.2</v>
      </c>
      <c r="K102">
        <v>1.8</v>
      </c>
      <c r="L102">
        <f>9*4</f>
        <v>36</v>
      </c>
    </row>
    <row r="103" spans="1:12" ht="15.75" thickBot="1" x14ac:dyDescent="0.3">
      <c r="A103" s="87"/>
      <c r="B103" s="88" t="s">
        <v>58</v>
      </c>
      <c r="C103" s="21">
        <v>2.7143999999999999</v>
      </c>
      <c r="D103" s="6">
        <f t="shared" ref="D103:D127" si="4">L103-K103-J103</f>
        <v>24</v>
      </c>
      <c r="E103" s="6">
        <v>24</v>
      </c>
      <c r="F103" s="6">
        <v>24</v>
      </c>
      <c r="G103" s="15">
        <f>ABS(Table14[[#This Row],[U]]*Table14[[#This Row],[A]]*(Table14[[#This Row],[Ti2]]-Table14[[#This Row],[Ti]]))</f>
        <v>0</v>
      </c>
      <c r="J103">
        <v>0</v>
      </c>
      <c r="K103">
        <v>0</v>
      </c>
      <c r="L103">
        <f>6*4</f>
        <v>24</v>
      </c>
    </row>
    <row r="104" spans="1:12" ht="15.75" thickBot="1" x14ac:dyDescent="0.3">
      <c r="A104" s="87" t="s">
        <v>58</v>
      </c>
      <c r="B104" s="88" t="s">
        <v>65</v>
      </c>
      <c r="C104" s="21">
        <v>2.7143999999999999</v>
      </c>
      <c r="D104" s="6">
        <f t="shared" si="4"/>
        <v>33</v>
      </c>
      <c r="E104" s="6">
        <v>24</v>
      </c>
      <c r="F104" s="6">
        <v>28</v>
      </c>
      <c r="G104" s="15">
        <f>ABS(Table14[[#This Row],[U]]*Table14[[#This Row],[A]]*(Table14[[#This Row],[Ti2]]-Table14[[#This Row],[Ti]]))</f>
        <v>358.30079999999998</v>
      </c>
      <c r="J104">
        <v>1.2</v>
      </c>
      <c r="K104">
        <v>1.8</v>
      </c>
      <c r="L104">
        <f>9*4</f>
        <v>36</v>
      </c>
    </row>
    <row r="105" spans="1:12" ht="15.75" thickBot="1" x14ac:dyDescent="0.3">
      <c r="A105" s="87" t="s">
        <v>463</v>
      </c>
      <c r="B105" s="88" t="s">
        <v>65</v>
      </c>
      <c r="C105" s="21">
        <v>2.7143999999999999</v>
      </c>
      <c r="D105" s="6">
        <f t="shared" si="4"/>
        <v>23.84</v>
      </c>
      <c r="E105" s="6">
        <v>22.5</v>
      </c>
      <c r="F105" s="6">
        <v>28</v>
      </c>
      <c r="G105" s="15">
        <f>ABS(Table14[[#This Row],[U]]*Table14[[#This Row],[A]]*(Table14[[#This Row],[Ti2]]-Table14[[#This Row],[Ti]]))</f>
        <v>355.91212800000005</v>
      </c>
      <c r="J105">
        <v>1.4</v>
      </c>
      <c r="K105">
        <v>1.8</v>
      </c>
      <c r="L105">
        <f>6.76*4</f>
        <v>27.04</v>
      </c>
    </row>
    <row r="106" spans="1:12" ht="15.75" thickBot="1" x14ac:dyDescent="0.3">
      <c r="A106" s="87"/>
      <c r="B106" s="88" t="s">
        <v>462</v>
      </c>
      <c r="C106" s="21">
        <v>2.7143999999999999</v>
      </c>
      <c r="D106" s="6">
        <f t="shared" si="4"/>
        <v>13.84</v>
      </c>
      <c r="E106" s="6">
        <v>22.5</v>
      </c>
      <c r="F106" s="6">
        <v>22.5</v>
      </c>
      <c r="G106" s="15">
        <f>ABS(Table14[[#This Row],[U]]*Table14[[#This Row],[A]]*(Table14[[#This Row],[Ti2]]-Table14[[#This Row],[Ti]]))</f>
        <v>0</v>
      </c>
      <c r="J106">
        <v>0</v>
      </c>
      <c r="K106">
        <v>1.8</v>
      </c>
      <c r="L106">
        <f>3.91*4</f>
        <v>15.64</v>
      </c>
    </row>
    <row r="107" spans="1:12" ht="15.75" thickBot="1" x14ac:dyDescent="0.3">
      <c r="A107" s="87" t="s">
        <v>462</v>
      </c>
      <c r="B107" s="88" t="s">
        <v>65</v>
      </c>
      <c r="C107" s="21">
        <v>2.7143999999999999</v>
      </c>
      <c r="D107" s="6">
        <f t="shared" si="4"/>
        <v>25.2</v>
      </c>
      <c r="E107" s="6">
        <v>22.5</v>
      </c>
      <c r="F107" s="6">
        <v>28</v>
      </c>
      <c r="G107" s="15">
        <f>ABS(Table14[[#This Row],[U]]*Table14[[#This Row],[A]]*(Table14[[#This Row],[Ti2]]-Table14[[#This Row],[Ti]]))</f>
        <v>376.21583999999996</v>
      </c>
      <c r="J107">
        <v>0</v>
      </c>
      <c r="K107">
        <v>0</v>
      </c>
      <c r="L107">
        <f>6.3*4</f>
        <v>25.2</v>
      </c>
    </row>
    <row r="108" spans="1:12" ht="15.75" thickBot="1" x14ac:dyDescent="0.3">
      <c r="A108" s="87"/>
      <c r="B108" s="88" t="s">
        <v>36</v>
      </c>
      <c r="C108" s="21">
        <v>2.7143999999999999</v>
      </c>
      <c r="D108" s="6">
        <f t="shared" si="4"/>
        <v>15.64</v>
      </c>
      <c r="E108" s="6">
        <v>22.5</v>
      </c>
      <c r="F108" s="6">
        <v>22.5</v>
      </c>
      <c r="G108" s="15">
        <f>ABS(Table14[[#This Row],[U]]*Table14[[#This Row],[A]]*(Table14[[#This Row],[Ti2]]-Table14[[#This Row],[Ti]]))</f>
        <v>0</v>
      </c>
      <c r="J108">
        <v>0</v>
      </c>
      <c r="K108">
        <v>0</v>
      </c>
      <c r="L108">
        <f>3.91*4</f>
        <v>15.64</v>
      </c>
    </row>
    <row r="109" spans="1:12" ht="15.75" thickBot="1" x14ac:dyDescent="0.3">
      <c r="A109" s="87" t="s">
        <v>36</v>
      </c>
      <c r="B109" s="88" t="s">
        <v>107</v>
      </c>
      <c r="C109" s="21">
        <v>2.7143999999999999</v>
      </c>
      <c r="D109" s="6">
        <f t="shared" si="4"/>
        <v>11.799999999999999</v>
      </c>
      <c r="E109" s="6">
        <v>22.5</v>
      </c>
      <c r="F109" s="6">
        <v>24</v>
      </c>
      <c r="G109" s="15">
        <f>ABS(Table14[[#This Row],[U]]*Table14[[#This Row],[A]]*(Table14[[#This Row],[Ti2]]-Table14[[#This Row],[Ti]]))</f>
        <v>48.044879999999992</v>
      </c>
      <c r="J109">
        <v>0</v>
      </c>
      <c r="K109">
        <v>1.8</v>
      </c>
      <c r="L109">
        <f>3.4*4</f>
        <v>13.6</v>
      </c>
    </row>
    <row r="110" spans="1:12" ht="15.75" thickBot="1" x14ac:dyDescent="0.3">
      <c r="A110" s="87"/>
      <c r="B110" s="88" t="s">
        <v>65</v>
      </c>
      <c r="C110" s="21">
        <v>2.7143999999999999</v>
      </c>
      <c r="D110" s="6">
        <f t="shared" si="4"/>
        <v>25.599999999999998</v>
      </c>
      <c r="E110" s="6">
        <v>22.5</v>
      </c>
      <c r="F110" s="6">
        <v>28</v>
      </c>
      <c r="G110" s="15">
        <f>ABS(Table14[[#This Row],[U]]*Table14[[#This Row],[A]]*(Table14[[#This Row],[Ti2]]-Table14[[#This Row],[Ti]]))</f>
        <v>382.18751999999995</v>
      </c>
      <c r="J110">
        <v>0</v>
      </c>
      <c r="K110">
        <v>1.8</v>
      </c>
      <c r="L110">
        <f>6.85*4</f>
        <v>27.4</v>
      </c>
    </row>
    <row r="111" spans="1:12" ht="15.75" thickBot="1" x14ac:dyDescent="0.3">
      <c r="A111" s="87" t="s">
        <v>466</v>
      </c>
      <c r="B111" s="88" t="s">
        <v>65</v>
      </c>
      <c r="C111" s="21">
        <v>2.7143999999999999</v>
      </c>
      <c r="D111" s="6">
        <f t="shared" si="4"/>
        <v>44</v>
      </c>
      <c r="E111" s="6">
        <v>22.5</v>
      </c>
      <c r="F111" s="6">
        <v>28</v>
      </c>
      <c r="G111" s="15">
        <f>ABS(Table14[[#This Row],[U]]*Table14[[#This Row],[A]]*(Table14[[#This Row],[Ti2]]-Table14[[#This Row],[Ti]]))</f>
        <v>656.88480000000004</v>
      </c>
      <c r="J111">
        <v>0</v>
      </c>
      <c r="K111">
        <f>1.2*2</f>
        <v>2.4</v>
      </c>
      <c r="L111">
        <f>11.6*4</f>
        <v>46.4</v>
      </c>
    </row>
    <row r="112" spans="1:12" ht="15.75" thickBot="1" x14ac:dyDescent="0.3">
      <c r="A112" s="87"/>
      <c r="B112" s="88" t="s">
        <v>467</v>
      </c>
      <c r="C112" s="21">
        <v>2.7143999999999999</v>
      </c>
      <c r="D112" s="6">
        <f t="shared" si="4"/>
        <v>11.799999999999999</v>
      </c>
      <c r="E112" s="6">
        <v>22.5</v>
      </c>
      <c r="F112" s="6">
        <v>24</v>
      </c>
      <c r="G112" s="15">
        <f>ABS(Table14[[#This Row],[U]]*Table14[[#This Row],[A]]*(Table14[[#This Row],[Ti2]]-Table14[[#This Row],[Ti]]))</f>
        <v>48.044879999999992</v>
      </c>
      <c r="J112">
        <v>0</v>
      </c>
      <c r="K112">
        <v>1.8</v>
      </c>
      <c r="L112">
        <f>3.4*4</f>
        <v>13.6</v>
      </c>
    </row>
    <row r="113" spans="1:12" ht="15.75" thickBot="1" x14ac:dyDescent="0.3">
      <c r="A113" s="87" t="s">
        <v>31</v>
      </c>
      <c r="B113" s="88" t="s">
        <v>65</v>
      </c>
      <c r="C113" s="21">
        <v>2.7143999999999999</v>
      </c>
      <c r="D113" s="6">
        <f t="shared" si="4"/>
        <v>24.12</v>
      </c>
      <c r="E113" s="6">
        <v>24</v>
      </c>
      <c r="F113" s="6">
        <v>28</v>
      </c>
      <c r="G113" s="15">
        <f>ABS(Table14[[#This Row],[U]]*Table14[[#This Row],[A]]*(Table14[[#This Row],[Ti2]]-Table14[[#This Row],[Ti]]))</f>
        <v>261.885312</v>
      </c>
      <c r="J113">
        <v>0</v>
      </c>
      <c r="K113">
        <v>4</v>
      </c>
      <c r="L113">
        <f>7.03*4</f>
        <v>28.12</v>
      </c>
    </row>
    <row r="114" spans="1:12" ht="15.75" thickBot="1" x14ac:dyDescent="0.3">
      <c r="A114" s="87"/>
      <c r="B114" s="88" t="s">
        <v>116</v>
      </c>
      <c r="C114" s="21">
        <v>2.7143999999999999</v>
      </c>
      <c r="D114" s="6">
        <f t="shared" si="4"/>
        <v>28.599999999999998</v>
      </c>
      <c r="E114" s="6">
        <v>24</v>
      </c>
      <c r="F114" s="6">
        <v>22.5</v>
      </c>
      <c r="G114" s="15">
        <f>ABS(Table14[[#This Row],[U]]*Table14[[#This Row],[A]]*(Table14[[#This Row],[Ti2]]-Table14[[#This Row],[Ti]]))</f>
        <v>116.44775999999999</v>
      </c>
      <c r="J114">
        <v>2.8</v>
      </c>
      <c r="K114">
        <f>1.2*2</f>
        <v>2.4</v>
      </c>
      <c r="L114">
        <f>8.45*4</f>
        <v>33.799999999999997</v>
      </c>
    </row>
    <row r="115" spans="1:12" ht="15.75" thickBot="1" x14ac:dyDescent="0.3">
      <c r="A115" s="87" t="s">
        <v>116</v>
      </c>
      <c r="B115" s="88" t="s">
        <v>65</v>
      </c>
      <c r="C115" s="21">
        <v>2.7143999999999999</v>
      </c>
      <c r="D115" s="6">
        <f t="shared" si="4"/>
        <v>98.440000000000012</v>
      </c>
      <c r="E115" s="6">
        <v>22.5</v>
      </c>
      <c r="F115" s="6">
        <v>28</v>
      </c>
      <c r="G115" s="15">
        <f>ABS(Table14[[#This Row],[U]]*Table14[[#This Row],[A]]*(Table14[[#This Row],[Ti2]]-Table14[[#This Row],[Ti]]))</f>
        <v>1469.6304480000003</v>
      </c>
      <c r="J115">
        <v>0</v>
      </c>
      <c r="K115">
        <v>6.6</v>
      </c>
      <c r="L115">
        <f>26.26*4</f>
        <v>105.04</v>
      </c>
    </row>
    <row r="116" spans="1:12" ht="15.75" thickBot="1" x14ac:dyDescent="0.3">
      <c r="A116" s="87"/>
      <c r="B116" s="88" t="s">
        <v>468</v>
      </c>
      <c r="C116" s="21">
        <v>2.7143999999999999</v>
      </c>
      <c r="D116" s="6">
        <f t="shared" si="4"/>
        <v>21.72</v>
      </c>
      <c r="E116" s="6">
        <v>22.5</v>
      </c>
      <c r="F116" s="6">
        <v>22.5</v>
      </c>
      <c r="G116" s="15">
        <f>ABS(Table14[[#This Row],[U]]*Table14[[#This Row],[A]]*(Table14[[#This Row],[Ti2]]-Table14[[#This Row],[Ti]]))</f>
        <v>0</v>
      </c>
      <c r="J116">
        <v>0</v>
      </c>
      <c r="K116">
        <v>1.8</v>
      </c>
      <c r="L116">
        <f>5.88*4</f>
        <v>23.52</v>
      </c>
    </row>
    <row r="117" spans="1:12" ht="15.75" thickBot="1" x14ac:dyDescent="0.3">
      <c r="A117" s="87"/>
      <c r="B117" s="88" t="s">
        <v>117</v>
      </c>
      <c r="C117" s="21">
        <v>2.7143999999999999</v>
      </c>
      <c r="D117" s="6">
        <f t="shared" si="4"/>
        <v>20.799999999999997</v>
      </c>
      <c r="E117" s="6">
        <v>22.5</v>
      </c>
      <c r="F117" s="6">
        <v>22.5</v>
      </c>
      <c r="G117" s="15">
        <f>ABS(Table14[[#This Row],[U]]*Table14[[#This Row],[A]]*(Table14[[#This Row],[Ti2]]-Table14[[#This Row],[Ti]]))</f>
        <v>0</v>
      </c>
      <c r="J117">
        <v>2.8</v>
      </c>
      <c r="K117">
        <v>1.8</v>
      </c>
      <c r="L117">
        <f>6.35*4</f>
        <v>25.4</v>
      </c>
    </row>
    <row r="118" spans="1:12" ht="15.75" thickBot="1" x14ac:dyDescent="0.3">
      <c r="A118" s="87"/>
      <c r="B118" s="88" t="s">
        <v>473</v>
      </c>
      <c r="C118" s="21">
        <v>2.7143999999999999</v>
      </c>
      <c r="D118" s="6">
        <f t="shared" si="4"/>
        <v>12.12</v>
      </c>
      <c r="E118" s="6">
        <v>22.5</v>
      </c>
      <c r="F118" s="6">
        <v>24</v>
      </c>
      <c r="G118" s="15">
        <f>ABS(Table14[[#This Row],[U]]*Table14[[#This Row],[A]]*(Table14[[#This Row],[Ti2]]-Table14[[#This Row],[Ti]]))</f>
        <v>49.347791999999998</v>
      </c>
      <c r="J118">
        <v>0</v>
      </c>
      <c r="K118">
        <v>0</v>
      </c>
      <c r="L118">
        <f>3.03*4</f>
        <v>12.12</v>
      </c>
    </row>
    <row r="119" spans="1:12" ht="15.75" thickBot="1" x14ac:dyDescent="0.3">
      <c r="A119" s="87"/>
      <c r="B119" s="88" t="s">
        <v>469</v>
      </c>
      <c r="C119" s="21">
        <v>2.7143999999999999</v>
      </c>
      <c r="D119" s="6">
        <f t="shared" si="4"/>
        <v>6.12</v>
      </c>
      <c r="E119" s="6">
        <v>22.5</v>
      </c>
      <c r="F119" s="6">
        <v>24</v>
      </c>
      <c r="G119" s="15">
        <f>ABS(Table14[[#This Row],[U]]*Table14[[#This Row],[A]]*(Table14[[#This Row],[Ti2]]-Table14[[#This Row],[Ti]]))</f>
        <v>24.918191999999998</v>
      </c>
      <c r="J119">
        <v>0</v>
      </c>
      <c r="K119">
        <f>0.6*2</f>
        <v>1.2</v>
      </c>
      <c r="L119">
        <f>1.83*4</f>
        <v>7.32</v>
      </c>
    </row>
    <row r="120" spans="1:12" ht="15.75" thickBot="1" x14ac:dyDescent="0.3">
      <c r="A120" s="87"/>
      <c r="B120" s="88" t="s">
        <v>470</v>
      </c>
      <c r="C120" s="21">
        <v>2.7143999999999999</v>
      </c>
      <c r="D120" s="6">
        <f t="shared" si="4"/>
        <v>16.760000000000002</v>
      </c>
      <c r="E120" s="6">
        <v>22.5</v>
      </c>
      <c r="F120" s="6">
        <v>24</v>
      </c>
      <c r="G120" s="15">
        <f>ABS(Table14[[#This Row],[U]]*Table14[[#This Row],[A]]*(Table14[[#This Row],[Ti2]]-Table14[[#This Row],[Ti]]))</f>
        <v>68.240015999999997</v>
      </c>
      <c r="J120">
        <v>0</v>
      </c>
      <c r="K120">
        <v>1.2</v>
      </c>
      <c r="L120">
        <f>4.49*4</f>
        <v>17.96</v>
      </c>
    </row>
    <row r="121" spans="1:12" ht="15.75" thickBot="1" x14ac:dyDescent="0.3">
      <c r="A121" s="87"/>
      <c r="B121" s="88" t="s">
        <v>471</v>
      </c>
      <c r="C121" s="21">
        <v>2.7143999999999999</v>
      </c>
      <c r="D121" s="6">
        <f t="shared" si="4"/>
        <v>8</v>
      </c>
      <c r="E121" s="6">
        <v>22.5</v>
      </c>
      <c r="F121" s="6">
        <v>24</v>
      </c>
      <c r="G121" s="15">
        <f>ABS(Table14[[#This Row],[U]]*Table14[[#This Row],[A]]*(Table14[[#This Row],[Ti2]]-Table14[[#This Row],[Ti]]))</f>
        <v>32.572800000000001</v>
      </c>
      <c r="J121">
        <v>0</v>
      </c>
      <c r="K121">
        <v>0</v>
      </c>
      <c r="L121">
        <f>2*4</f>
        <v>8</v>
      </c>
    </row>
    <row r="122" spans="1:12" ht="15.75" thickBot="1" x14ac:dyDescent="0.3">
      <c r="A122" s="87" t="s">
        <v>468</v>
      </c>
      <c r="B122" s="88" t="s">
        <v>65</v>
      </c>
      <c r="C122" s="21">
        <v>2.7143999999999999</v>
      </c>
      <c r="D122" s="6">
        <f t="shared" si="4"/>
        <v>12.92</v>
      </c>
      <c r="E122" s="6">
        <v>22.5</v>
      </c>
      <c r="F122" s="6">
        <v>28</v>
      </c>
      <c r="G122" s="15">
        <f>ABS(Table14[[#This Row],[U]]*Table14[[#This Row],[A]]*(Table14[[#This Row],[Ti2]]-Table14[[#This Row],[Ti]]))</f>
        <v>192.88526400000001</v>
      </c>
      <c r="J122">
        <v>0</v>
      </c>
      <c r="K122">
        <v>0</v>
      </c>
      <c r="L122">
        <f>3.23*4</f>
        <v>12.92</v>
      </c>
    </row>
    <row r="123" spans="1:12" ht="15.75" thickBot="1" x14ac:dyDescent="0.3">
      <c r="A123" s="87"/>
      <c r="B123" s="88" t="s">
        <v>469</v>
      </c>
      <c r="C123" s="21">
        <v>2.7143999999999999</v>
      </c>
      <c r="D123" s="6">
        <f t="shared" si="4"/>
        <v>5.04</v>
      </c>
      <c r="E123" s="6">
        <v>22.5</v>
      </c>
      <c r="F123" s="6">
        <v>24</v>
      </c>
      <c r="G123" s="15">
        <f>ABS(Table14[[#This Row],[U]]*Table14[[#This Row],[A]]*(Table14[[#This Row],[Ti2]]-Table14[[#This Row],[Ti]]))</f>
        <v>20.520864</v>
      </c>
      <c r="J123">
        <v>0</v>
      </c>
      <c r="K123">
        <v>0</v>
      </c>
      <c r="L123">
        <f>1.26*4</f>
        <v>5.04</v>
      </c>
    </row>
    <row r="124" spans="1:12" ht="15.75" thickBot="1" x14ac:dyDescent="0.3">
      <c r="A124" s="87" t="s">
        <v>469</v>
      </c>
      <c r="B124" s="88" t="s">
        <v>470</v>
      </c>
      <c r="C124" s="21">
        <v>2.7143999999999999</v>
      </c>
      <c r="D124" s="6">
        <f t="shared" si="4"/>
        <v>5.08</v>
      </c>
      <c r="E124" s="6">
        <v>24</v>
      </c>
      <c r="F124" s="6">
        <v>24</v>
      </c>
      <c r="G124" s="15">
        <f>ABS(Table14[[#This Row],[U]]*Table14[[#This Row],[A]]*(Table14[[#This Row],[Ti2]]-Table14[[#This Row],[Ti]]))</f>
        <v>0</v>
      </c>
      <c r="J124">
        <v>0</v>
      </c>
      <c r="K124">
        <v>0</v>
      </c>
      <c r="L124">
        <f>1.27*4</f>
        <v>5.08</v>
      </c>
    </row>
    <row r="125" spans="1:12" ht="15.75" thickBot="1" x14ac:dyDescent="0.3">
      <c r="A125" s="87"/>
      <c r="B125" s="88" t="s">
        <v>65</v>
      </c>
      <c r="C125" s="21">
        <v>2.7143999999999999</v>
      </c>
      <c r="D125" s="6">
        <f t="shared" si="4"/>
        <v>6.8</v>
      </c>
      <c r="E125" s="6">
        <v>24</v>
      </c>
      <c r="F125" s="6">
        <v>28</v>
      </c>
      <c r="G125" s="15">
        <f>ABS(Table14[[#This Row],[U]]*Table14[[#This Row],[A]]*(Table14[[#This Row],[Ti2]]-Table14[[#This Row],[Ti]]))</f>
        <v>73.831679999999992</v>
      </c>
      <c r="J125">
        <v>0</v>
      </c>
      <c r="K125">
        <v>0</v>
      </c>
      <c r="L125">
        <f>1.7*4</f>
        <v>6.8</v>
      </c>
    </row>
    <row r="126" spans="1:12" ht="15.75" thickBot="1" x14ac:dyDescent="0.3">
      <c r="A126" s="87" t="s">
        <v>470</v>
      </c>
      <c r="B126" s="88" t="s">
        <v>65</v>
      </c>
      <c r="C126" s="21">
        <v>2.7143999999999999</v>
      </c>
      <c r="D126" s="6">
        <f t="shared" si="4"/>
        <v>5.4</v>
      </c>
      <c r="E126" s="6">
        <v>24</v>
      </c>
      <c r="F126" s="6">
        <v>28</v>
      </c>
      <c r="G126" s="15">
        <f>ABS(Table14[[#This Row],[U]]*Table14[[#This Row],[A]]*(Table14[[#This Row],[Ti2]]-Table14[[#This Row],[Ti]]))</f>
        <v>58.631039999999999</v>
      </c>
      <c r="J126">
        <v>0</v>
      </c>
      <c r="K126">
        <v>0</v>
      </c>
      <c r="L126">
        <f>1.35*4</f>
        <v>5.4</v>
      </c>
    </row>
    <row r="127" spans="1:12" ht="15.75" thickBot="1" x14ac:dyDescent="0.3">
      <c r="A127" s="89" t="s">
        <v>472</v>
      </c>
      <c r="B127" s="90" t="s">
        <v>473</v>
      </c>
      <c r="C127" s="6">
        <v>2.7143999999999999</v>
      </c>
      <c r="D127" s="21">
        <f t="shared" si="4"/>
        <v>4.92</v>
      </c>
      <c r="E127" s="21">
        <v>22.5</v>
      </c>
      <c r="F127" s="21">
        <v>24</v>
      </c>
      <c r="G127" s="22">
        <f>ABS(Table14[[#This Row],[U]]*Table14[[#This Row],[A]]*(Table14[[#This Row],[Ti2]]-Table14[[#This Row],[Ti]]))</f>
        <v>20.032271999999999</v>
      </c>
      <c r="J127">
        <v>0</v>
      </c>
      <c r="K127">
        <v>1.6</v>
      </c>
      <c r="L127">
        <f>1.63*4</f>
        <v>6.52</v>
      </c>
    </row>
    <row r="128" spans="1:12" x14ac:dyDescent="0.25">
      <c r="F128" t="s">
        <v>336</v>
      </c>
      <c r="G128">
        <f>SUM(Table14[Q])</f>
        <v>36547.38734400001</v>
      </c>
    </row>
    <row r="131" spans="1:12" x14ac:dyDescent="0.25">
      <c r="A131" s="83" t="s">
        <v>476</v>
      </c>
    </row>
    <row r="132" spans="1:12" ht="15.75" thickBot="1" x14ac:dyDescent="0.3">
      <c r="A132" s="85" t="s">
        <v>0</v>
      </c>
      <c r="B132" s="86" t="s">
        <v>435</v>
      </c>
      <c r="C132" s="36" t="s">
        <v>2</v>
      </c>
      <c r="D132" s="36" t="s">
        <v>436</v>
      </c>
      <c r="E132" s="36" t="s">
        <v>7</v>
      </c>
      <c r="F132" s="36" t="s">
        <v>480</v>
      </c>
      <c r="G132" s="24" t="s">
        <v>437</v>
      </c>
      <c r="J132" t="s">
        <v>474</v>
      </c>
      <c r="K132" t="s">
        <v>475</v>
      </c>
      <c r="L132" t="s">
        <v>98</v>
      </c>
    </row>
    <row r="133" spans="1:12" ht="15.75" thickBot="1" x14ac:dyDescent="0.3">
      <c r="A133" s="87" t="s">
        <v>477</v>
      </c>
      <c r="B133" s="88" t="s">
        <v>65</v>
      </c>
      <c r="C133" s="6">
        <v>2.7143999999999999</v>
      </c>
      <c r="D133" s="6">
        <f>L133-K133-J133</f>
        <v>16.400000000000002</v>
      </c>
      <c r="E133" s="6">
        <v>22.5</v>
      </c>
      <c r="F133" s="6">
        <v>28</v>
      </c>
      <c r="G133" s="15">
        <f>ABS(C133*D133*(F133-E133))</f>
        <v>244.83888000000005</v>
      </c>
      <c r="J133">
        <v>0</v>
      </c>
      <c r="K133">
        <f>1.2*2</f>
        <v>2.4</v>
      </c>
      <c r="L133">
        <f>4.7*4</f>
        <v>18.8</v>
      </c>
    </row>
    <row r="134" spans="1:12" ht="15.75" thickBot="1" x14ac:dyDescent="0.3">
      <c r="A134" s="87"/>
      <c r="B134" s="88" t="s">
        <v>478</v>
      </c>
      <c r="C134" s="6">
        <v>2.7143999999999999</v>
      </c>
      <c r="D134" s="6">
        <f t="shared" ref="D134:D197" si="5">L134-K134-J134</f>
        <v>13.4</v>
      </c>
      <c r="E134" s="6">
        <v>22.5</v>
      </c>
      <c r="F134" s="6">
        <v>24</v>
      </c>
      <c r="G134" s="15">
        <f t="shared" ref="G134:G197" si="6">ABS(C134*D134*(F134-E134))</f>
        <v>54.559439999999995</v>
      </c>
      <c r="J134">
        <v>0</v>
      </c>
      <c r="K134">
        <f>0.7*2</f>
        <v>1.4</v>
      </c>
      <c r="L134">
        <f>3.7*4</f>
        <v>14.8</v>
      </c>
    </row>
    <row r="135" spans="1:12" ht="15.75" thickBot="1" x14ac:dyDescent="0.3">
      <c r="A135" s="87" t="s">
        <v>478</v>
      </c>
      <c r="B135" s="88" t="s">
        <v>65</v>
      </c>
      <c r="C135" s="6">
        <v>2.7143999999999999</v>
      </c>
      <c r="D135" s="6">
        <f t="shared" si="5"/>
        <v>5.4</v>
      </c>
      <c r="E135" s="6">
        <v>24</v>
      </c>
      <c r="F135" s="6">
        <v>28</v>
      </c>
      <c r="G135" s="15">
        <f t="shared" si="6"/>
        <v>58.631039999999999</v>
      </c>
      <c r="J135">
        <v>0</v>
      </c>
      <c r="K135">
        <v>0</v>
      </c>
      <c r="L135">
        <f>1.35*4</f>
        <v>5.4</v>
      </c>
    </row>
    <row r="136" spans="1:12" ht="15.75" thickBot="1" x14ac:dyDescent="0.3">
      <c r="A136" s="87" t="s">
        <v>477</v>
      </c>
      <c r="B136" s="88" t="s">
        <v>65</v>
      </c>
      <c r="C136" s="6">
        <v>2.7143999999999999</v>
      </c>
      <c r="D136" s="6">
        <f t="shared" si="5"/>
        <v>42.4</v>
      </c>
      <c r="E136" s="6">
        <v>22.5</v>
      </c>
      <c r="F136" s="6">
        <v>28</v>
      </c>
      <c r="G136" s="15">
        <f t="shared" si="6"/>
        <v>632.99807999999996</v>
      </c>
      <c r="J136">
        <v>0</v>
      </c>
      <c r="K136">
        <v>2.4</v>
      </c>
      <c r="L136">
        <f>11.2*4</f>
        <v>44.8</v>
      </c>
    </row>
    <row r="137" spans="1:12" ht="15.75" thickBot="1" x14ac:dyDescent="0.3">
      <c r="A137" s="87"/>
      <c r="B137" s="88" t="s">
        <v>478</v>
      </c>
      <c r="C137" s="6">
        <v>2.7143999999999999</v>
      </c>
      <c r="D137" s="6">
        <f t="shared" si="5"/>
        <v>13.4</v>
      </c>
      <c r="E137" s="6">
        <v>22.5</v>
      </c>
      <c r="F137" s="6">
        <v>24</v>
      </c>
      <c r="G137" s="15">
        <f t="shared" si="6"/>
        <v>54.559439999999995</v>
      </c>
      <c r="J137">
        <v>0</v>
      </c>
      <c r="K137">
        <f>0.7*2</f>
        <v>1.4</v>
      </c>
      <c r="L137">
        <f>3.7*4</f>
        <v>14.8</v>
      </c>
    </row>
    <row r="138" spans="1:12" ht="15.75" thickBot="1" x14ac:dyDescent="0.3">
      <c r="A138" s="87" t="s">
        <v>478</v>
      </c>
      <c r="B138" s="88" t="s">
        <v>65</v>
      </c>
      <c r="C138" s="6">
        <v>2.7143999999999999</v>
      </c>
      <c r="D138" s="6">
        <f t="shared" si="5"/>
        <v>5.4</v>
      </c>
      <c r="E138" s="6">
        <v>24</v>
      </c>
      <c r="F138" s="6">
        <v>28</v>
      </c>
      <c r="G138" s="15">
        <f t="shared" si="6"/>
        <v>58.631039999999999</v>
      </c>
      <c r="J138">
        <v>0</v>
      </c>
      <c r="K138">
        <v>0</v>
      </c>
      <c r="L138">
        <f>1.35*4</f>
        <v>5.4</v>
      </c>
    </row>
    <row r="139" spans="1:12" ht="15.75" thickBot="1" x14ac:dyDescent="0.3">
      <c r="A139" s="87" t="s">
        <v>477</v>
      </c>
      <c r="B139" s="88" t="s">
        <v>65</v>
      </c>
      <c r="C139" s="6">
        <v>2.7143999999999999</v>
      </c>
      <c r="D139" s="6">
        <f t="shared" si="5"/>
        <v>42.2</v>
      </c>
      <c r="E139" s="6">
        <v>22.5</v>
      </c>
      <c r="F139" s="6">
        <v>28</v>
      </c>
      <c r="G139" s="15">
        <f t="shared" si="6"/>
        <v>630.01224000000002</v>
      </c>
      <c r="J139">
        <v>0</v>
      </c>
      <c r="K139">
        <v>2.4</v>
      </c>
      <c r="L139">
        <f>11.15*4</f>
        <v>44.6</v>
      </c>
    </row>
    <row r="140" spans="1:12" ht="15.75" thickBot="1" x14ac:dyDescent="0.3">
      <c r="A140" s="87"/>
      <c r="B140" s="88" t="s">
        <v>478</v>
      </c>
      <c r="C140" s="6">
        <v>2.7143999999999999</v>
      </c>
      <c r="D140" s="6">
        <f t="shared" si="5"/>
        <v>13.4</v>
      </c>
      <c r="E140" s="6">
        <v>22.5</v>
      </c>
      <c r="F140" s="6">
        <v>24</v>
      </c>
      <c r="G140" s="15">
        <f t="shared" si="6"/>
        <v>54.559439999999995</v>
      </c>
      <c r="J140">
        <v>0</v>
      </c>
      <c r="K140">
        <f>0.7*2</f>
        <v>1.4</v>
      </c>
      <c r="L140">
        <f>3.7*4</f>
        <v>14.8</v>
      </c>
    </row>
    <row r="141" spans="1:12" ht="15.75" thickBot="1" x14ac:dyDescent="0.3">
      <c r="A141" s="87" t="s">
        <v>478</v>
      </c>
      <c r="B141" s="88" t="s">
        <v>65</v>
      </c>
      <c r="C141" s="6">
        <v>2.7143999999999999</v>
      </c>
      <c r="D141" s="6">
        <f t="shared" si="5"/>
        <v>5.4</v>
      </c>
      <c r="E141" s="6">
        <v>24</v>
      </c>
      <c r="F141" s="6">
        <v>28</v>
      </c>
      <c r="G141" s="15">
        <f t="shared" si="6"/>
        <v>58.631039999999999</v>
      </c>
      <c r="J141">
        <v>0</v>
      </c>
      <c r="K141">
        <v>0</v>
      </c>
      <c r="L141">
        <f>1.35*4</f>
        <v>5.4</v>
      </c>
    </row>
    <row r="142" spans="1:12" ht="15.75" thickBot="1" x14ac:dyDescent="0.3">
      <c r="A142" s="87" t="s">
        <v>477</v>
      </c>
      <c r="B142" s="88" t="s">
        <v>65</v>
      </c>
      <c r="C142" s="6">
        <v>2.7143999999999999</v>
      </c>
      <c r="D142" s="6">
        <f t="shared" si="5"/>
        <v>16.400000000000002</v>
      </c>
      <c r="E142" s="6">
        <v>22.5</v>
      </c>
      <c r="F142" s="6">
        <v>28</v>
      </c>
      <c r="G142" s="15">
        <f t="shared" si="6"/>
        <v>244.83888000000005</v>
      </c>
      <c r="J142">
        <v>0</v>
      </c>
      <c r="K142">
        <v>2.4</v>
      </c>
      <c r="L142">
        <f>4.7*4</f>
        <v>18.8</v>
      </c>
    </row>
    <row r="143" spans="1:12" ht="15.75" thickBot="1" x14ac:dyDescent="0.3">
      <c r="A143" s="87"/>
      <c r="B143" s="88" t="s">
        <v>478</v>
      </c>
      <c r="C143" s="6">
        <v>2.7143999999999999</v>
      </c>
      <c r="D143" s="6">
        <f t="shared" si="5"/>
        <v>13.4</v>
      </c>
      <c r="E143" s="6">
        <v>22.5</v>
      </c>
      <c r="F143" s="6">
        <v>24</v>
      </c>
      <c r="G143" s="15">
        <f t="shared" si="6"/>
        <v>54.559439999999995</v>
      </c>
      <c r="J143">
        <v>0</v>
      </c>
      <c r="K143">
        <f>0.7*2</f>
        <v>1.4</v>
      </c>
      <c r="L143">
        <f>3.7*4</f>
        <v>14.8</v>
      </c>
    </row>
    <row r="144" spans="1:12" ht="15.75" thickBot="1" x14ac:dyDescent="0.3">
      <c r="A144" s="87" t="s">
        <v>478</v>
      </c>
      <c r="B144" s="88" t="s">
        <v>65</v>
      </c>
      <c r="C144" s="6">
        <v>2.7143999999999999</v>
      </c>
      <c r="D144" s="6">
        <f t="shared" si="5"/>
        <v>5.4</v>
      </c>
      <c r="E144" s="6">
        <v>24</v>
      </c>
      <c r="F144" s="6">
        <v>28</v>
      </c>
      <c r="G144" s="15">
        <f t="shared" si="6"/>
        <v>58.631039999999999</v>
      </c>
      <c r="J144">
        <v>0</v>
      </c>
      <c r="K144">
        <v>0</v>
      </c>
      <c r="L144">
        <f>1.35*4</f>
        <v>5.4</v>
      </c>
    </row>
    <row r="145" spans="1:12" ht="15.75" thickBot="1" x14ac:dyDescent="0.3">
      <c r="A145" s="87" t="s">
        <v>67</v>
      </c>
      <c r="B145" s="88" t="s">
        <v>65</v>
      </c>
      <c r="C145" s="6">
        <v>2.7143999999999999</v>
      </c>
      <c r="D145" s="6">
        <f t="shared" si="5"/>
        <v>0</v>
      </c>
      <c r="E145" s="6">
        <v>22.2</v>
      </c>
      <c r="F145" s="6">
        <v>28</v>
      </c>
      <c r="G145" s="15">
        <f t="shared" si="6"/>
        <v>0</v>
      </c>
    </row>
    <row r="146" spans="1:12" ht="15.75" thickBot="1" x14ac:dyDescent="0.3">
      <c r="A146" s="87"/>
      <c r="B146" s="88" t="s">
        <v>89</v>
      </c>
      <c r="C146" s="6">
        <v>2.7143999999999999</v>
      </c>
      <c r="D146" s="6">
        <f t="shared" si="5"/>
        <v>0</v>
      </c>
      <c r="E146" s="6">
        <v>22.5</v>
      </c>
      <c r="F146" s="6">
        <v>24</v>
      </c>
      <c r="G146" s="15">
        <f t="shared" si="6"/>
        <v>0</v>
      </c>
    </row>
    <row r="147" spans="1:12" ht="15.75" thickBot="1" x14ac:dyDescent="0.3">
      <c r="A147" s="87" t="s">
        <v>89</v>
      </c>
      <c r="B147" s="88" t="s">
        <v>65</v>
      </c>
      <c r="C147" s="6">
        <v>2.7143999999999999</v>
      </c>
      <c r="D147" s="6">
        <f t="shared" si="5"/>
        <v>5.4</v>
      </c>
      <c r="E147" s="6">
        <v>24</v>
      </c>
      <c r="F147" s="6">
        <v>28</v>
      </c>
      <c r="G147" s="15">
        <f t="shared" si="6"/>
        <v>58.631039999999999</v>
      </c>
      <c r="J147">
        <v>0</v>
      </c>
      <c r="K147">
        <v>0</v>
      </c>
      <c r="L147">
        <f>1.35*4</f>
        <v>5.4</v>
      </c>
    </row>
    <row r="148" spans="1:12" ht="15.75" thickBot="1" x14ac:dyDescent="0.3">
      <c r="A148" s="87" t="s">
        <v>71</v>
      </c>
      <c r="B148" s="88" t="s">
        <v>65</v>
      </c>
      <c r="C148" s="6">
        <v>2.7143999999999999</v>
      </c>
      <c r="D148" s="6">
        <f t="shared" si="5"/>
        <v>4.4000000000000004</v>
      </c>
      <c r="E148" s="6">
        <v>22.5</v>
      </c>
      <c r="F148" s="6">
        <v>28</v>
      </c>
      <c r="G148" s="15">
        <f t="shared" si="6"/>
        <v>65.688479999999998</v>
      </c>
      <c r="J148">
        <v>0</v>
      </c>
      <c r="K148">
        <v>2.4</v>
      </c>
      <c r="L148">
        <f>1.7*4</f>
        <v>6.8</v>
      </c>
    </row>
    <row r="149" spans="1:12" ht="15.75" thickBot="1" x14ac:dyDescent="0.3">
      <c r="A149" s="87"/>
      <c r="B149" s="88" t="s">
        <v>479</v>
      </c>
      <c r="C149" s="6">
        <v>2.7143999999999999</v>
      </c>
      <c r="D149" s="6">
        <f t="shared" si="5"/>
        <v>13.4</v>
      </c>
      <c r="E149" s="6">
        <v>22.5</v>
      </c>
      <c r="F149" s="6">
        <v>24</v>
      </c>
      <c r="G149" s="15">
        <f t="shared" si="6"/>
        <v>54.559439999999995</v>
      </c>
      <c r="J149">
        <v>0</v>
      </c>
      <c r="K149">
        <v>1.4</v>
      </c>
      <c r="L149">
        <f>3.7*4</f>
        <v>14.8</v>
      </c>
    </row>
    <row r="150" spans="1:12" ht="15.75" thickBot="1" x14ac:dyDescent="0.3">
      <c r="A150" s="87"/>
      <c r="B150" s="88" t="s">
        <v>218</v>
      </c>
      <c r="C150" s="6">
        <v>2.7143999999999999</v>
      </c>
      <c r="D150" s="6">
        <f t="shared" si="5"/>
        <v>3</v>
      </c>
      <c r="E150" s="6">
        <v>22.5</v>
      </c>
      <c r="F150" s="6">
        <v>24</v>
      </c>
      <c r="G150" s="15">
        <f t="shared" si="6"/>
        <v>12.2148</v>
      </c>
      <c r="J150">
        <v>0</v>
      </c>
      <c r="K150">
        <v>0</v>
      </c>
      <c r="L150">
        <f>0.75*4</f>
        <v>3</v>
      </c>
    </row>
    <row r="151" spans="1:12" ht="15.75" thickBot="1" x14ac:dyDescent="0.3">
      <c r="A151" s="87" t="s">
        <v>479</v>
      </c>
      <c r="B151" s="88" t="s">
        <v>65</v>
      </c>
      <c r="C151" s="6">
        <v>2.7143999999999999</v>
      </c>
      <c r="D151" s="6">
        <f t="shared" si="5"/>
        <v>5.4</v>
      </c>
      <c r="E151" s="6">
        <v>24</v>
      </c>
      <c r="F151" s="6">
        <v>28</v>
      </c>
      <c r="G151" s="15">
        <f t="shared" si="6"/>
        <v>58.631039999999999</v>
      </c>
      <c r="J151">
        <v>0</v>
      </c>
      <c r="K151">
        <v>0</v>
      </c>
      <c r="L151">
        <f>1.35*4</f>
        <v>5.4</v>
      </c>
    </row>
    <row r="152" spans="1:12" ht="15.75" thickBot="1" x14ac:dyDescent="0.3">
      <c r="A152" s="87" t="s">
        <v>71</v>
      </c>
      <c r="B152" s="88" t="s">
        <v>65</v>
      </c>
      <c r="C152" s="6">
        <v>2.7143999999999999</v>
      </c>
      <c r="D152" s="6">
        <f t="shared" si="5"/>
        <v>28.400000000000002</v>
      </c>
      <c r="E152" s="6">
        <v>22.5</v>
      </c>
      <c r="F152" s="6">
        <v>28</v>
      </c>
      <c r="G152" s="15">
        <f t="shared" si="6"/>
        <v>423.98928000000001</v>
      </c>
      <c r="J152">
        <v>0</v>
      </c>
      <c r="K152">
        <v>2.4</v>
      </c>
      <c r="L152">
        <f>7.7*4</f>
        <v>30.8</v>
      </c>
    </row>
    <row r="153" spans="1:12" ht="15.75" thickBot="1" x14ac:dyDescent="0.3">
      <c r="A153" s="87"/>
      <c r="B153" s="88" t="s">
        <v>479</v>
      </c>
      <c r="C153" s="6">
        <v>2.7143999999999999</v>
      </c>
      <c r="D153" s="6">
        <f t="shared" si="5"/>
        <v>13.4</v>
      </c>
      <c r="E153" s="6">
        <v>22.5</v>
      </c>
      <c r="F153" s="6">
        <v>24</v>
      </c>
      <c r="G153" s="15">
        <f t="shared" si="6"/>
        <v>54.559439999999995</v>
      </c>
      <c r="J153">
        <v>0</v>
      </c>
      <c r="K153">
        <v>1.4</v>
      </c>
      <c r="L153">
        <f>3.7*4</f>
        <v>14.8</v>
      </c>
    </row>
    <row r="154" spans="1:12" ht="15.75" thickBot="1" x14ac:dyDescent="0.3">
      <c r="A154" s="87" t="s">
        <v>479</v>
      </c>
      <c r="B154" s="88" t="s">
        <v>65</v>
      </c>
      <c r="C154" s="6">
        <v>2.7143999999999999</v>
      </c>
      <c r="D154" s="6">
        <f t="shared" si="5"/>
        <v>5.4</v>
      </c>
      <c r="E154" s="6">
        <v>24</v>
      </c>
      <c r="F154" s="6">
        <v>28</v>
      </c>
      <c r="G154" s="15">
        <f t="shared" si="6"/>
        <v>58.631039999999999</v>
      </c>
      <c r="J154">
        <v>0</v>
      </c>
      <c r="K154">
        <v>0</v>
      </c>
      <c r="L154">
        <f>1.35*4</f>
        <v>5.4</v>
      </c>
    </row>
    <row r="155" spans="1:12" ht="15.75" thickBot="1" x14ac:dyDescent="0.3">
      <c r="A155" s="87" t="s">
        <v>174</v>
      </c>
      <c r="B155" s="88" t="s">
        <v>65</v>
      </c>
      <c r="C155" s="6">
        <v>2.7143999999999999</v>
      </c>
      <c r="D155" s="6">
        <f t="shared" si="5"/>
        <v>63.600000000000009</v>
      </c>
      <c r="E155" s="6">
        <v>22.5</v>
      </c>
      <c r="F155" s="6">
        <v>28</v>
      </c>
      <c r="G155" s="15">
        <f t="shared" si="6"/>
        <v>949.49712000000022</v>
      </c>
      <c r="J155">
        <v>0</v>
      </c>
      <c r="K155">
        <v>1.8</v>
      </c>
      <c r="L155">
        <f>16.35*4</f>
        <v>65.400000000000006</v>
      </c>
    </row>
    <row r="156" spans="1:12" ht="15.75" thickBot="1" x14ac:dyDescent="0.3">
      <c r="A156" s="87"/>
      <c r="B156" s="88" t="s">
        <v>213</v>
      </c>
      <c r="C156" s="6">
        <v>2.7143999999999999</v>
      </c>
      <c r="D156" s="6">
        <f t="shared" si="5"/>
        <v>13.4</v>
      </c>
      <c r="E156" s="6">
        <v>22.5</v>
      </c>
      <c r="F156" s="6">
        <v>24</v>
      </c>
      <c r="G156" s="15">
        <f t="shared" si="6"/>
        <v>54.559439999999995</v>
      </c>
      <c r="J156">
        <v>0</v>
      </c>
      <c r="K156">
        <v>1.4</v>
      </c>
      <c r="L156">
        <f>3.7*4</f>
        <v>14.8</v>
      </c>
    </row>
    <row r="157" spans="1:12" ht="15.75" thickBot="1" x14ac:dyDescent="0.3">
      <c r="A157" s="87" t="s">
        <v>213</v>
      </c>
      <c r="B157" s="88" t="s">
        <v>65</v>
      </c>
      <c r="C157" s="6">
        <v>2.7143999999999999</v>
      </c>
      <c r="D157" s="6">
        <f t="shared" si="5"/>
        <v>14.8</v>
      </c>
      <c r="E157" s="6">
        <v>24</v>
      </c>
      <c r="F157" s="6">
        <v>28</v>
      </c>
      <c r="G157" s="15">
        <f t="shared" si="6"/>
        <v>160.69247999999999</v>
      </c>
      <c r="J157">
        <v>0</v>
      </c>
      <c r="K157">
        <v>0</v>
      </c>
      <c r="L157">
        <f>3.7*4</f>
        <v>14.8</v>
      </c>
    </row>
    <row r="158" spans="1:12" ht="15.75" thickBot="1" x14ac:dyDescent="0.3">
      <c r="A158" s="87" t="s">
        <v>175</v>
      </c>
      <c r="B158" s="88" t="s">
        <v>65</v>
      </c>
      <c r="C158" s="6">
        <v>2.7143999999999999</v>
      </c>
      <c r="D158" s="6">
        <f t="shared" si="5"/>
        <v>51.800000000000004</v>
      </c>
      <c r="E158" s="6">
        <v>22.5</v>
      </c>
      <c r="F158" s="6">
        <v>28</v>
      </c>
      <c r="G158" s="15">
        <f t="shared" si="6"/>
        <v>773.33255999999994</v>
      </c>
      <c r="J158">
        <v>0</v>
      </c>
      <c r="K158">
        <f>0.6*2*2</f>
        <v>2.4</v>
      </c>
      <c r="L158">
        <f>13.55*4</f>
        <v>54.2</v>
      </c>
    </row>
    <row r="159" spans="1:12" ht="15.75" thickBot="1" x14ac:dyDescent="0.3">
      <c r="A159" s="87" t="s">
        <v>177</v>
      </c>
      <c r="B159" s="88" t="s">
        <v>65</v>
      </c>
      <c r="C159" s="6">
        <v>2.7143999999999999</v>
      </c>
      <c r="D159" s="6">
        <f t="shared" si="5"/>
        <v>29.76</v>
      </c>
      <c r="E159" s="6">
        <v>24</v>
      </c>
      <c r="F159" s="6">
        <v>28</v>
      </c>
      <c r="G159" s="15">
        <f t="shared" si="6"/>
        <v>323.12217600000002</v>
      </c>
      <c r="J159">
        <v>0</v>
      </c>
      <c r="K159">
        <v>1.2</v>
      </c>
      <c r="L159">
        <f>7.74*4</f>
        <v>30.96</v>
      </c>
    </row>
    <row r="160" spans="1:12" ht="15.75" thickBot="1" x14ac:dyDescent="0.3">
      <c r="A160" s="87" t="s">
        <v>178</v>
      </c>
      <c r="B160" s="88" t="s">
        <v>65</v>
      </c>
      <c r="C160" s="6">
        <v>2.7143999999999999</v>
      </c>
      <c r="D160" s="6">
        <f t="shared" si="5"/>
        <v>11.440000000000001</v>
      </c>
      <c r="E160" s="6">
        <v>24</v>
      </c>
      <c r="F160" s="6">
        <v>28</v>
      </c>
      <c r="G160" s="15">
        <f t="shared" si="6"/>
        <v>124.21094400000001</v>
      </c>
      <c r="J160">
        <v>0</v>
      </c>
      <c r="K160">
        <v>1.2</v>
      </c>
      <c r="L160">
        <f>3.16*4</f>
        <v>12.64</v>
      </c>
    </row>
    <row r="161" spans="1:12" ht="15.75" thickBot="1" x14ac:dyDescent="0.3">
      <c r="A161" s="87" t="s">
        <v>205</v>
      </c>
      <c r="B161" s="88" t="s">
        <v>65</v>
      </c>
      <c r="C161" s="6">
        <v>2.7143999999999999</v>
      </c>
      <c r="D161" s="6">
        <f t="shared" si="5"/>
        <v>18.720000000000002</v>
      </c>
      <c r="E161" s="6">
        <v>24</v>
      </c>
      <c r="F161" s="6">
        <v>28</v>
      </c>
      <c r="G161" s="15">
        <f t="shared" si="6"/>
        <v>203.25427200000001</v>
      </c>
      <c r="J161">
        <v>0</v>
      </c>
      <c r="K161">
        <v>1.2</v>
      </c>
      <c r="L161">
        <f>4.98*4</f>
        <v>19.920000000000002</v>
      </c>
    </row>
    <row r="162" spans="1:12" ht="15.75" thickBot="1" x14ac:dyDescent="0.3">
      <c r="A162" s="87" t="s">
        <v>71</v>
      </c>
      <c r="B162" s="88" t="s">
        <v>65</v>
      </c>
      <c r="C162" s="6">
        <v>2.7143999999999999</v>
      </c>
      <c r="D162" s="6">
        <f t="shared" si="5"/>
        <v>28.200000000000003</v>
      </c>
      <c r="E162" s="6">
        <v>22.5</v>
      </c>
      <c r="F162" s="6">
        <v>28</v>
      </c>
      <c r="G162" s="15">
        <f t="shared" si="6"/>
        <v>421.00344000000001</v>
      </c>
      <c r="J162">
        <v>0</v>
      </c>
      <c r="K162">
        <v>2.4</v>
      </c>
      <c r="L162">
        <f>7.65*4</f>
        <v>30.6</v>
      </c>
    </row>
    <row r="163" spans="1:12" ht="15.75" thickBot="1" x14ac:dyDescent="0.3">
      <c r="A163" s="87"/>
      <c r="B163" s="88" t="s">
        <v>479</v>
      </c>
      <c r="C163" s="6">
        <v>2.7143999999999999</v>
      </c>
      <c r="D163" s="6">
        <f t="shared" si="5"/>
        <v>13.4</v>
      </c>
      <c r="E163" s="6">
        <v>22.5</v>
      </c>
      <c r="F163" s="6">
        <v>24</v>
      </c>
      <c r="G163" s="15">
        <f t="shared" si="6"/>
        <v>54.559439999999995</v>
      </c>
      <c r="J163">
        <v>0</v>
      </c>
      <c r="K163">
        <v>1.4</v>
      </c>
      <c r="L163">
        <f>3.7*4</f>
        <v>14.8</v>
      </c>
    </row>
    <row r="164" spans="1:12" ht="15.75" thickBot="1" x14ac:dyDescent="0.3">
      <c r="A164" s="87" t="s">
        <v>479</v>
      </c>
      <c r="B164" s="88" t="s">
        <v>65</v>
      </c>
      <c r="C164" s="6">
        <v>2.7143999999999999</v>
      </c>
      <c r="D164" s="6">
        <f t="shared" si="5"/>
        <v>5.4</v>
      </c>
      <c r="E164" s="6">
        <v>24</v>
      </c>
      <c r="F164" s="6">
        <v>28</v>
      </c>
      <c r="G164" s="15">
        <f t="shared" si="6"/>
        <v>58.631039999999999</v>
      </c>
      <c r="J164">
        <v>0</v>
      </c>
      <c r="K164">
        <v>0</v>
      </c>
      <c r="L164">
        <f>1.35*4</f>
        <v>5.4</v>
      </c>
    </row>
    <row r="165" spans="1:12" ht="15.75" thickBot="1" x14ac:dyDescent="0.3">
      <c r="A165" s="87" t="s">
        <v>71</v>
      </c>
      <c r="B165" s="88" t="s">
        <v>65</v>
      </c>
      <c r="C165" s="6">
        <v>2.7143999999999999</v>
      </c>
      <c r="D165" s="6">
        <f t="shared" si="5"/>
        <v>4.4000000000000004</v>
      </c>
      <c r="E165" s="6">
        <v>22.5</v>
      </c>
      <c r="F165" s="6">
        <v>28</v>
      </c>
      <c r="G165" s="15">
        <f t="shared" si="6"/>
        <v>65.688479999999998</v>
      </c>
      <c r="J165">
        <v>0</v>
      </c>
      <c r="K165">
        <v>2.4</v>
      </c>
      <c r="L165">
        <f>1.7*4</f>
        <v>6.8</v>
      </c>
    </row>
    <row r="166" spans="1:12" ht="15.75" thickBot="1" x14ac:dyDescent="0.3">
      <c r="A166" s="87"/>
      <c r="B166" s="88" t="s">
        <v>479</v>
      </c>
      <c r="C166" s="6">
        <v>2.7143999999999999</v>
      </c>
      <c r="D166" s="6">
        <f t="shared" si="5"/>
        <v>13.4</v>
      </c>
      <c r="E166" s="6">
        <v>22.5</v>
      </c>
      <c r="F166" s="6">
        <v>24</v>
      </c>
      <c r="G166" s="15">
        <f t="shared" si="6"/>
        <v>54.559439999999995</v>
      </c>
      <c r="J166">
        <v>0</v>
      </c>
      <c r="K166">
        <v>1.4</v>
      </c>
      <c r="L166">
        <f>3.7*4</f>
        <v>14.8</v>
      </c>
    </row>
    <row r="167" spans="1:12" ht="15.75" thickBot="1" x14ac:dyDescent="0.3">
      <c r="A167" s="87" t="s">
        <v>479</v>
      </c>
      <c r="B167" s="88" t="s">
        <v>65</v>
      </c>
      <c r="C167" s="6">
        <v>2.7143999999999999</v>
      </c>
      <c r="D167" s="6">
        <f t="shared" si="5"/>
        <v>5.4</v>
      </c>
      <c r="E167" s="6">
        <v>24</v>
      </c>
      <c r="F167" s="6">
        <v>28</v>
      </c>
      <c r="G167" s="15">
        <f t="shared" si="6"/>
        <v>58.631039999999999</v>
      </c>
      <c r="J167">
        <v>0</v>
      </c>
      <c r="K167">
        <v>0</v>
      </c>
      <c r="L167">
        <f>1.35*4</f>
        <v>5.4</v>
      </c>
    </row>
    <row r="168" spans="1:12" ht="15.75" thickBot="1" x14ac:dyDescent="0.3">
      <c r="A168" s="87" t="s">
        <v>67</v>
      </c>
      <c r="B168" s="88" t="s">
        <v>65</v>
      </c>
      <c r="C168" s="6">
        <v>2.7143999999999999</v>
      </c>
      <c r="D168" s="6">
        <f t="shared" si="5"/>
        <v>0</v>
      </c>
      <c r="E168" s="6">
        <v>22.5</v>
      </c>
      <c r="F168" s="6">
        <v>28</v>
      </c>
      <c r="G168" s="15">
        <f t="shared" si="6"/>
        <v>0</v>
      </c>
    </row>
    <row r="169" spans="1:12" ht="15.75" thickBot="1" x14ac:dyDescent="0.3">
      <c r="A169" s="87"/>
      <c r="B169" s="88" t="s">
        <v>89</v>
      </c>
      <c r="C169" s="6">
        <v>2.7143999999999999</v>
      </c>
      <c r="D169" s="6">
        <f t="shared" si="5"/>
        <v>0</v>
      </c>
      <c r="E169" s="6">
        <v>22.5</v>
      </c>
      <c r="F169" s="6">
        <v>24</v>
      </c>
      <c r="G169" s="15">
        <f t="shared" si="6"/>
        <v>0</v>
      </c>
    </row>
    <row r="170" spans="1:12" ht="15.75" thickBot="1" x14ac:dyDescent="0.3">
      <c r="A170" s="87" t="s">
        <v>89</v>
      </c>
      <c r="B170" s="88" t="s">
        <v>65</v>
      </c>
      <c r="C170" s="6">
        <v>2.7143999999999999</v>
      </c>
      <c r="D170" s="6">
        <f t="shared" si="5"/>
        <v>5.4</v>
      </c>
      <c r="E170" s="6">
        <v>24</v>
      </c>
      <c r="F170" s="6">
        <v>28</v>
      </c>
      <c r="G170" s="15">
        <f t="shared" si="6"/>
        <v>58.631039999999999</v>
      </c>
      <c r="L170">
        <f>1.35*4</f>
        <v>5.4</v>
      </c>
    </row>
    <row r="171" spans="1:12" ht="15.75" thickBot="1" x14ac:dyDescent="0.3">
      <c r="A171" s="87" t="s">
        <v>182</v>
      </c>
      <c r="B171" s="88" t="s">
        <v>218</v>
      </c>
      <c r="C171" s="6">
        <v>2.7143999999999999</v>
      </c>
      <c r="D171" s="6">
        <f t="shared" si="5"/>
        <v>12</v>
      </c>
      <c r="E171" s="6">
        <v>22.5</v>
      </c>
      <c r="F171" s="6">
        <v>24</v>
      </c>
      <c r="G171" s="15">
        <f t="shared" si="6"/>
        <v>48.859200000000001</v>
      </c>
      <c r="J171">
        <v>0</v>
      </c>
      <c r="K171">
        <v>0</v>
      </c>
      <c r="L171">
        <f>3*4</f>
        <v>12</v>
      </c>
    </row>
    <row r="172" spans="1:12" ht="15.75" thickBot="1" x14ac:dyDescent="0.3">
      <c r="A172" s="87"/>
      <c r="B172" s="88" t="s">
        <v>65</v>
      </c>
      <c r="C172" s="6">
        <v>2.7143999999999999</v>
      </c>
      <c r="D172" s="6">
        <f t="shared" si="5"/>
        <v>10.4</v>
      </c>
      <c r="E172" s="6">
        <v>22.5</v>
      </c>
      <c r="F172" s="6">
        <v>28</v>
      </c>
      <c r="G172" s="15">
        <f t="shared" si="6"/>
        <v>155.26367999999999</v>
      </c>
      <c r="J172">
        <v>0</v>
      </c>
      <c r="K172">
        <v>1.6</v>
      </c>
      <c r="L172">
        <f>3*4</f>
        <v>12</v>
      </c>
    </row>
    <row r="173" spans="1:12" ht="15.75" thickBot="1" x14ac:dyDescent="0.3">
      <c r="A173" s="87" t="s">
        <v>143</v>
      </c>
      <c r="B173" s="88" t="s">
        <v>65</v>
      </c>
      <c r="C173" s="6">
        <v>2.7143999999999999</v>
      </c>
      <c r="D173" s="6">
        <f t="shared" si="5"/>
        <v>10.199999999999999</v>
      </c>
      <c r="E173" s="6">
        <v>22.5</v>
      </c>
      <c r="F173" s="6">
        <v>28</v>
      </c>
      <c r="G173" s="15">
        <f t="shared" si="6"/>
        <v>152.27784</v>
      </c>
      <c r="J173">
        <v>0</v>
      </c>
      <c r="K173">
        <v>1.8</v>
      </c>
      <c r="L173">
        <f>3*4</f>
        <v>12</v>
      </c>
    </row>
    <row r="174" spans="1:12" ht="15.75" thickBot="1" x14ac:dyDescent="0.3">
      <c r="A174" s="87"/>
      <c r="B174" s="88" t="s">
        <v>218</v>
      </c>
      <c r="C174" s="6">
        <v>2.7143999999999999</v>
      </c>
      <c r="D174" s="6">
        <f t="shared" si="5"/>
        <v>9.6000000000000014</v>
      </c>
      <c r="E174" s="6">
        <v>22.5</v>
      </c>
      <c r="F174" s="6">
        <v>24</v>
      </c>
      <c r="G174" s="15">
        <f t="shared" si="6"/>
        <v>39.087360000000004</v>
      </c>
      <c r="J174">
        <v>0</v>
      </c>
      <c r="K174">
        <v>1.2</v>
      </c>
      <c r="L174">
        <f>2.7*4</f>
        <v>10.8</v>
      </c>
    </row>
    <row r="175" spans="1:12" ht="15.75" thickBot="1" x14ac:dyDescent="0.3">
      <c r="A175" s="87" t="s">
        <v>142</v>
      </c>
      <c r="B175" s="88" t="s">
        <v>65</v>
      </c>
      <c r="C175" s="6">
        <v>2.7143999999999999</v>
      </c>
      <c r="D175" s="6">
        <f t="shared" si="5"/>
        <v>22</v>
      </c>
      <c r="E175" s="6">
        <v>22.5</v>
      </c>
      <c r="F175" s="6">
        <v>28</v>
      </c>
      <c r="G175" s="15">
        <f t="shared" si="6"/>
        <v>328.44240000000002</v>
      </c>
      <c r="J175">
        <v>0</v>
      </c>
      <c r="K175">
        <v>2</v>
      </c>
      <c r="L175">
        <f>6*4</f>
        <v>24</v>
      </c>
    </row>
    <row r="176" spans="1:12" ht="15.75" thickBot="1" x14ac:dyDescent="0.3">
      <c r="A176" s="87" t="s">
        <v>141</v>
      </c>
      <c r="B176" s="88" t="s">
        <v>65</v>
      </c>
      <c r="C176" s="6">
        <v>2.7143999999999999</v>
      </c>
      <c r="D176" s="6">
        <f t="shared" si="5"/>
        <v>13.2</v>
      </c>
      <c r="E176" s="6">
        <v>22.5</v>
      </c>
      <c r="F176" s="6">
        <v>28</v>
      </c>
      <c r="G176" s="15">
        <f t="shared" si="6"/>
        <v>197.06543999999997</v>
      </c>
      <c r="J176">
        <v>0</v>
      </c>
      <c r="K176">
        <v>1.8</v>
      </c>
      <c r="L176">
        <f>3.75*4</f>
        <v>15</v>
      </c>
    </row>
    <row r="177" spans="1:12" ht="15.75" thickBot="1" x14ac:dyDescent="0.3">
      <c r="A177" s="87"/>
      <c r="B177" s="88" t="s">
        <v>227</v>
      </c>
      <c r="C177" s="6">
        <v>2.7143999999999999</v>
      </c>
      <c r="D177" s="6">
        <f t="shared" si="5"/>
        <v>12</v>
      </c>
      <c r="E177" s="6">
        <v>22.5</v>
      </c>
      <c r="F177" s="6">
        <v>24</v>
      </c>
      <c r="G177" s="15">
        <f t="shared" si="6"/>
        <v>48.859200000000001</v>
      </c>
      <c r="J177">
        <v>0</v>
      </c>
      <c r="K177">
        <v>0</v>
      </c>
      <c r="L177">
        <f>3*4</f>
        <v>12</v>
      </c>
    </row>
    <row r="178" spans="1:12" ht="15.75" thickBot="1" x14ac:dyDescent="0.3">
      <c r="A178" s="87"/>
      <c r="B178" s="88" t="s">
        <v>226</v>
      </c>
      <c r="C178" s="6">
        <v>2.7143999999999999</v>
      </c>
      <c r="D178" s="6">
        <f t="shared" si="5"/>
        <v>10.4</v>
      </c>
      <c r="E178" s="6">
        <v>22.5</v>
      </c>
      <c r="F178" s="6">
        <v>24</v>
      </c>
      <c r="G178" s="15">
        <f t="shared" si="6"/>
        <v>42.344639999999998</v>
      </c>
      <c r="J178">
        <v>0</v>
      </c>
      <c r="K178">
        <v>1.2</v>
      </c>
      <c r="L178">
        <f>2.9*4</f>
        <v>11.6</v>
      </c>
    </row>
    <row r="179" spans="1:12" ht="15.75" thickBot="1" x14ac:dyDescent="0.3">
      <c r="A179" s="87"/>
      <c r="B179" s="88" t="s">
        <v>140</v>
      </c>
      <c r="C179" s="6">
        <v>2.7143999999999999</v>
      </c>
      <c r="D179" s="6">
        <f t="shared" si="5"/>
        <v>15.32</v>
      </c>
      <c r="E179" s="6">
        <v>22.5</v>
      </c>
      <c r="F179" s="6">
        <v>22</v>
      </c>
      <c r="G179" s="15">
        <f t="shared" si="6"/>
        <v>20.792304000000001</v>
      </c>
      <c r="J179">
        <v>0</v>
      </c>
      <c r="K179">
        <v>0</v>
      </c>
      <c r="L179">
        <f>3.83*4</f>
        <v>15.32</v>
      </c>
    </row>
    <row r="180" spans="1:12" ht="15.75" thickBot="1" x14ac:dyDescent="0.3">
      <c r="A180" s="87" t="s">
        <v>481</v>
      </c>
      <c r="B180" s="88" t="s">
        <v>482</v>
      </c>
      <c r="C180" s="6">
        <v>2.7143999999999999</v>
      </c>
      <c r="D180" s="6">
        <f t="shared" si="5"/>
        <v>13.4</v>
      </c>
      <c r="E180" s="6">
        <v>22.5</v>
      </c>
      <c r="F180" s="6">
        <v>24</v>
      </c>
      <c r="G180" s="15">
        <f t="shared" si="6"/>
        <v>54.559439999999995</v>
      </c>
      <c r="J180">
        <v>0</v>
      </c>
      <c r="K180">
        <v>1.4</v>
      </c>
      <c r="L180">
        <f>3.7*4</f>
        <v>14.8</v>
      </c>
    </row>
    <row r="181" spans="1:12" ht="15.75" thickBot="1" x14ac:dyDescent="0.3">
      <c r="A181" s="87"/>
      <c r="B181" s="88" t="s">
        <v>65</v>
      </c>
      <c r="C181" s="6">
        <v>2.7143999999999999</v>
      </c>
      <c r="D181" s="6">
        <f t="shared" si="5"/>
        <v>51.52</v>
      </c>
      <c r="E181" s="6">
        <v>22.5</v>
      </c>
      <c r="F181" s="6">
        <v>28</v>
      </c>
      <c r="G181" s="15">
        <f t="shared" si="6"/>
        <v>769.15238399999998</v>
      </c>
      <c r="J181">
        <v>0</v>
      </c>
      <c r="K181">
        <v>2.4</v>
      </c>
      <c r="L181">
        <f>13.48*4</f>
        <v>53.92</v>
      </c>
    </row>
    <row r="182" spans="1:12" ht="15.75" thickBot="1" x14ac:dyDescent="0.3">
      <c r="A182" s="87" t="s">
        <v>482</v>
      </c>
      <c r="B182" s="88" t="s">
        <v>65</v>
      </c>
      <c r="C182" s="6">
        <v>2.7143999999999999</v>
      </c>
      <c r="D182" s="6">
        <f t="shared" si="5"/>
        <v>5.4</v>
      </c>
      <c r="E182" s="6">
        <v>24</v>
      </c>
      <c r="F182" s="6">
        <v>28</v>
      </c>
      <c r="G182" s="15">
        <f t="shared" si="6"/>
        <v>58.631039999999999</v>
      </c>
      <c r="J182">
        <v>0</v>
      </c>
      <c r="K182">
        <v>0</v>
      </c>
      <c r="L182">
        <f>1.35*4</f>
        <v>5.4</v>
      </c>
    </row>
    <row r="183" spans="1:12" ht="15.75" thickBot="1" x14ac:dyDescent="0.3">
      <c r="A183" s="87" t="s">
        <v>481</v>
      </c>
      <c r="B183" s="88" t="s">
        <v>482</v>
      </c>
      <c r="C183" s="6">
        <v>2.7143999999999999</v>
      </c>
      <c r="D183" s="6">
        <f t="shared" si="5"/>
        <v>13.4</v>
      </c>
      <c r="E183" s="6">
        <v>22.5</v>
      </c>
      <c r="F183" s="6">
        <v>24</v>
      </c>
      <c r="G183" s="15">
        <f t="shared" si="6"/>
        <v>54.559439999999995</v>
      </c>
      <c r="J183">
        <v>0</v>
      </c>
      <c r="K183">
        <v>1.4</v>
      </c>
      <c r="L183">
        <f>3.7*4</f>
        <v>14.8</v>
      </c>
    </row>
    <row r="184" spans="1:12" ht="15.75" thickBot="1" x14ac:dyDescent="0.3">
      <c r="A184" s="87"/>
      <c r="B184" s="88" t="s">
        <v>65</v>
      </c>
      <c r="C184" s="6">
        <v>2.7143999999999999</v>
      </c>
      <c r="D184" s="6">
        <f t="shared" si="5"/>
        <v>54.68</v>
      </c>
      <c r="E184" s="6">
        <v>22.5</v>
      </c>
      <c r="F184" s="6">
        <v>28</v>
      </c>
      <c r="G184" s="15">
        <f t="shared" si="6"/>
        <v>816.32865600000002</v>
      </c>
      <c r="J184">
        <v>0</v>
      </c>
      <c r="K184">
        <v>2.4</v>
      </c>
      <c r="L184">
        <f>14.27*4</f>
        <v>57.08</v>
      </c>
    </row>
    <row r="185" spans="1:12" ht="15.75" thickBot="1" x14ac:dyDescent="0.3">
      <c r="A185" s="87" t="s">
        <v>482</v>
      </c>
      <c r="B185" s="88" t="s">
        <v>65</v>
      </c>
      <c r="C185" s="6">
        <v>2.7143999999999999</v>
      </c>
      <c r="D185" s="6">
        <f t="shared" si="5"/>
        <v>5.4</v>
      </c>
      <c r="E185" s="6">
        <v>24</v>
      </c>
      <c r="F185" s="6">
        <v>28</v>
      </c>
      <c r="G185" s="15">
        <f t="shared" si="6"/>
        <v>58.631039999999999</v>
      </c>
      <c r="J185">
        <v>0</v>
      </c>
      <c r="K185">
        <v>0</v>
      </c>
      <c r="L185">
        <f>1.35*4</f>
        <v>5.4</v>
      </c>
    </row>
    <row r="186" spans="1:12" ht="15.75" thickBot="1" x14ac:dyDescent="0.3">
      <c r="A186" s="87" t="s">
        <v>185</v>
      </c>
      <c r="B186" s="88" t="s">
        <v>65</v>
      </c>
      <c r="C186" s="6">
        <v>2.7143999999999999</v>
      </c>
      <c r="D186" s="6">
        <f t="shared" si="5"/>
        <v>36.159999999999997</v>
      </c>
      <c r="E186" s="6">
        <v>22.5</v>
      </c>
      <c r="F186" s="6">
        <v>28</v>
      </c>
      <c r="G186" s="15">
        <f t="shared" si="6"/>
        <v>539.8398719999999</v>
      </c>
      <c r="J186">
        <v>0</v>
      </c>
      <c r="L186">
        <f>9.04*4</f>
        <v>36.159999999999997</v>
      </c>
    </row>
    <row r="187" spans="1:12" ht="15.75" thickBot="1" x14ac:dyDescent="0.3">
      <c r="A187" s="87" t="s">
        <v>481</v>
      </c>
      <c r="B187" s="88" t="s">
        <v>482</v>
      </c>
      <c r="C187" s="6">
        <v>2.7143999999999999</v>
      </c>
      <c r="D187" s="6">
        <f t="shared" si="5"/>
        <v>13.4</v>
      </c>
      <c r="E187" s="6">
        <v>22.5</v>
      </c>
      <c r="F187" s="6">
        <v>24</v>
      </c>
      <c r="G187" s="15">
        <f t="shared" si="6"/>
        <v>54.559439999999995</v>
      </c>
      <c r="J187">
        <v>0</v>
      </c>
      <c r="K187">
        <v>1.4</v>
      </c>
      <c r="L187">
        <f>3.7*4</f>
        <v>14.8</v>
      </c>
    </row>
    <row r="188" spans="1:12" ht="15.75" thickBot="1" x14ac:dyDescent="0.3">
      <c r="A188" s="87"/>
      <c r="B188" s="88" t="s">
        <v>65</v>
      </c>
      <c r="C188" s="6">
        <v>2.7143999999999999</v>
      </c>
      <c r="D188" s="6">
        <f t="shared" si="5"/>
        <v>47</v>
      </c>
      <c r="E188" s="6">
        <v>22.5</v>
      </c>
      <c r="F188" s="6">
        <v>28</v>
      </c>
      <c r="G188" s="15">
        <f t="shared" si="6"/>
        <v>701.67239999999993</v>
      </c>
      <c r="J188">
        <v>0</v>
      </c>
      <c r="K188">
        <v>1.6</v>
      </c>
      <c r="L188">
        <f>12.15*4</f>
        <v>48.6</v>
      </c>
    </row>
    <row r="189" spans="1:12" ht="15.75" thickBot="1" x14ac:dyDescent="0.3">
      <c r="A189" s="87" t="s">
        <v>482</v>
      </c>
      <c r="B189" s="88" t="s">
        <v>65</v>
      </c>
      <c r="C189" s="6">
        <v>2.7143999999999999</v>
      </c>
      <c r="D189" s="6">
        <f t="shared" si="5"/>
        <v>5.4</v>
      </c>
      <c r="E189" s="6">
        <v>24</v>
      </c>
      <c r="F189" s="6">
        <v>28</v>
      </c>
      <c r="G189" s="15">
        <f t="shared" si="6"/>
        <v>58.631039999999999</v>
      </c>
      <c r="J189">
        <v>0</v>
      </c>
      <c r="K189">
        <v>0</v>
      </c>
      <c r="L189">
        <f>1.35*4</f>
        <v>5.4</v>
      </c>
    </row>
    <row r="190" spans="1:12" ht="15.75" thickBot="1" x14ac:dyDescent="0.3">
      <c r="A190" s="87" t="s">
        <v>481</v>
      </c>
      <c r="B190" s="88" t="s">
        <v>482</v>
      </c>
      <c r="C190" s="6">
        <v>2.7143999999999999</v>
      </c>
      <c r="D190" s="6">
        <f t="shared" si="5"/>
        <v>13.4</v>
      </c>
      <c r="E190" s="6">
        <v>22.5</v>
      </c>
      <c r="F190" s="6">
        <v>24</v>
      </c>
      <c r="G190" s="15">
        <f t="shared" si="6"/>
        <v>54.559439999999995</v>
      </c>
      <c r="J190">
        <v>0</v>
      </c>
      <c r="K190">
        <v>1.4</v>
      </c>
      <c r="L190">
        <f>3.7*4</f>
        <v>14.8</v>
      </c>
    </row>
    <row r="191" spans="1:12" ht="15.75" thickBot="1" x14ac:dyDescent="0.3">
      <c r="A191" s="87"/>
      <c r="B191" s="88" t="s">
        <v>65</v>
      </c>
      <c r="C191" s="6">
        <v>2.7143999999999999</v>
      </c>
      <c r="D191" s="6">
        <f t="shared" si="5"/>
        <v>56.08</v>
      </c>
      <c r="E191" s="6">
        <v>22.5</v>
      </c>
      <c r="F191" s="6">
        <v>28</v>
      </c>
      <c r="G191" s="15">
        <f t="shared" si="6"/>
        <v>837.22953599999994</v>
      </c>
      <c r="J191">
        <v>0</v>
      </c>
      <c r="K191">
        <v>2.4</v>
      </c>
      <c r="L191">
        <f>14.62*4</f>
        <v>58.48</v>
      </c>
    </row>
    <row r="192" spans="1:12" ht="15.75" thickBot="1" x14ac:dyDescent="0.3">
      <c r="A192" s="87" t="s">
        <v>482</v>
      </c>
      <c r="B192" s="88" t="s">
        <v>65</v>
      </c>
      <c r="C192" s="6">
        <v>2.7143999999999999</v>
      </c>
      <c r="D192" s="6">
        <f t="shared" si="5"/>
        <v>5.4</v>
      </c>
      <c r="E192" s="6">
        <v>24</v>
      </c>
      <c r="F192" s="6">
        <v>28</v>
      </c>
      <c r="G192" s="15">
        <f t="shared" si="6"/>
        <v>58.631039999999999</v>
      </c>
      <c r="J192">
        <v>0</v>
      </c>
      <c r="K192">
        <v>0</v>
      </c>
      <c r="L192">
        <f>1.35*4</f>
        <v>5.4</v>
      </c>
    </row>
    <row r="193" spans="1:12" ht="15.75" thickBot="1" x14ac:dyDescent="0.3">
      <c r="A193" s="87" t="s">
        <v>71</v>
      </c>
      <c r="B193" s="88" t="s">
        <v>65</v>
      </c>
      <c r="C193" s="6">
        <v>2.7143999999999999</v>
      </c>
      <c r="D193" s="6">
        <f t="shared" si="5"/>
        <v>4.4000000000000004</v>
      </c>
      <c r="E193" s="6">
        <v>22.5</v>
      </c>
      <c r="F193" s="6">
        <v>28</v>
      </c>
      <c r="G193" s="15">
        <f t="shared" si="6"/>
        <v>65.688479999999998</v>
      </c>
      <c r="J193">
        <v>0</v>
      </c>
      <c r="K193">
        <v>2.4</v>
      </c>
      <c r="L193">
        <f>1.7*4</f>
        <v>6.8</v>
      </c>
    </row>
    <row r="194" spans="1:12" ht="15.75" thickBot="1" x14ac:dyDescent="0.3">
      <c r="A194" s="87"/>
      <c r="B194" s="88" t="s">
        <v>479</v>
      </c>
      <c r="C194" s="6">
        <v>2.7143999999999999</v>
      </c>
      <c r="D194" s="6">
        <f t="shared" si="5"/>
        <v>13.4</v>
      </c>
      <c r="E194" s="6">
        <v>22.5</v>
      </c>
      <c r="F194" s="6">
        <v>24</v>
      </c>
      <c r="G194" s="15">
        <f t="shared" si="6"/>
        <v>54.559439999999995</v>
      </c>
      <c r="J194">
        <v>0</v>
      </c>
      <c r="K194">
        <v>1.4</v>
      </c>
      <c r="L194">
        <f>3.7*4</f>
        <v>14.8</v>
      </c>
    </row>
    <row r="195" spans="1:12" ht="15.75" thickBot="1" x14ac:dyDescent="0.3">
      <c r="A195" s="87" t="s">
        <v>479</v>
      </c>
      <c r="B195" s="88" t="s">
        <v>65</v>
      </c>
      <c r="C195" s="6">
        <v>2.7143999999999999</v>
      </c>
      <c r="D195" s="6">
        <f t="shared" si="5"/>
        <v>5.4</v>
      </c>
      <c r="E195" s="6">
        <v>24</v>
      </c>
      <c r="F195" s="6">
        <v>28</v>
      </c>
      <c r="G195" s="15">
        <f t="shared" si="6"/>
        <v>58.631039999999999</v>
      </c>
      <c r="J195">
        <v>0</v>
      </c>
      <c r="K195">
        <v>0</v>
      </c>
      <c r="L195">
        <f>1.35*4</f>
        <v>5.4</v>
      </c>
    </row>
    <row r="196" spans="1:12" ht="15.75" thickBot="1" x14ac:dyDescent="0.3">
      <c r="A196" s="87" t="s">
        <v>71</v>
      </c>
      <c r="B196" s="88" t="s">
        <v>65</v>
      </c>
      <c r="C196" s="6">
        <v>2.7143999999999999</v>
      </c>
      <c r="D196" s="6">
        <f t="shared" si="5"/>
        <v>4.4000000000000004</v>
      </c>
      <c r="E196" s="6">
        <v>22.5</v>
      </c>
      <c r="F196" s="6">
        <v>28</v>
      </c>
      <c r="G196" s="15">
        <f t="shared" si="6"/>
        <v>65.688479999999998</v>
      </c>
      <c r="J196">
        <v>0</v>
      </c>
      <c r="K196">
        <v>2.4</v>
      </c>
      <c r="L196">
        <f>1.7*4</f>
        <v>6.8</v>
      </c>
    </row>
    <row r="197" spans="1:12" ht="15.75" thickBot="1" x14ac:dyDescent="0.3">
      <c r="A197" s="87"/>
      <c r="B197" s="88" t="s">
        <v>479</v>
      </c>
      <c r="C197" s="6">
        <v>2.7143999999999999</v>
      </c>
      <c r="D197" s="6">
        <f t="shared" si="5"/>
        <v>13.4</v>
      </c>
      <c r="E197" s="6">
        <v>22.5</v>
      </c>
      <c r="F197" s="6">
        <v>24</v>
      </c>
      <c r="G197" s="15">
        <f t="shared" si="6"/>
        <v>54.559439999999995</v>
      </c>
      <c r="J197">
        <v>0</v>
      </c>
      <c r="K197">
        <v>1.4</v>
      </c>
      <c r="L197">
        <f>3.7*4</f>
        <v>14.8</v>
      </c>
    </row>
    <row r="198" spans="1:12" ht="15.75" thickBot="1" x14ac:dyDescent="0.3">
      <c r="A198" s="87" t="s">
        <v>479</v>
      </c>
      <c r="B198" s="88" t="s">
        <v>65</v>
      </c>
      <c r="C198" s="6">
        <v>2.7143999999999999</v>
      </c>
      <c r="D198" s="6">
        <f t="shared" ref="D198:D235" si="7">L198-K198-J198</f>
        <v>5.4</v>
      </c>
      <c r="E198" s="6">
        <v>24</v>
      </c>
      <c r="F198" s="6">
        <v>28</v>
      </c>
      <c r="G198" s="15">
        <f t="shared" ref="G198:G235" si="8">ABS(C198*D198*(F198-E198))</f>
        <v>58.631039999999999</v>
      </c>
      <c r="J198">
        <v>0</v>
      </c>
      <c r="K198">
        <v>0</v>
      </c>
      <c r="L198">
        <f>1.35*4</f>
        <v>5.4</v>
      </c>
    </row>
    <row r="199" spans="1:12" ht="15.75" thickBot="1" x14ac:dyDescent="0.3">
      <c r="A199" s="87" t="s">
        <v>71</v>
      </c>
      <c r="B199" s="88" t="s">
        <v>65</v>
      </c>
      <c r="C199" s="6">
        <v>2.7143999999999999</v>
      </c>
      <c r="D199" s="6">
        <f t="shared" si="7"/>
        <v>4.4000000000000004</v>
      </c>
      <c r="E199" s="6">
        <v>22.5</v>
      </c>
      <c r="F199" s="6">
        <v>28</v>
      </c>
      <c r="G199" s="15">
        <f t="shared" si="8"/>
        <v>65.688479999999998</v>
      </c>
      <c r="J199">
        <v>0</v>
      </c>
      <c r="K199">
        <v>2.4</v>
      </c>
      <c r="L199">
        <f>1.7*4</f>
        <v>6.8</v>
      </c>
    </row>
    <row r="200" spans="1:12" ht="15.75" thickBot="1" x14ac:dyDescent="0.3">
      <c r="A200" s="87"/>
      <c r="B200" s="88" t="s">
        <v>479</v>
      </c>
      <c r="C200" s="6">
        <v>2.7143999999999999</v>
      </c>
      <c r="D200" s="6">
        <f t="shared" si="7"/>
        <v>13.4</v>
      </c>
      <c r="E200" s="6">
        <v>22.5</v>
      </c>
      <c r="F200" s="6">
        <v>24</v>
      </c>
      <c r="G200" s="15">
        <f t="shared" si="8"/>
        <v>54.559439999999995</v>
      </c>
      <c r="J200">
        <v>0</v>
      </c>
      <c r="K200">
        <v>1.4</v>
      </c>
      <c r="L200">
        <f>3.7*4</f>
        <v>14.8</v>
      </c>
    </row>
    <row r="201" spans="1:12" ht="15.75" thickBot="1" x14ac:dyDescent="0.3">
      <c r="A201" s="87" t="s">
        <v>479</v>
      </c>
      <c r="B201" s="88" t="s">
        <v>65</v>
      </c>
      <c r="C201" s="6">
        <v>2.7143999999999999</v>
      </c>
      <c r="D201" s="6">
        <f t="shared" si="7"/>
        <v>5.4</v>
      </c>
      <c r="E201" s="6">
        <v>24</v>
      </c>
      <c r="F201" s="6">
        <v>28</v>
      </c>
      <c r="G201" s="15">
        <f t="shared" si="8"/>
        <v>58.631039999999999</v>
      </c>
      <c r="J201">
        <v>0</v>
      </c>
      <c r="K201">
        <v>0</v>
      </c>
      <c r="L201">
        <f>1.35*4</f>
        <v>5.4</v>
      </c>
    </row>
    <row r="202" spans="1:12" ht="15.75" thickBot="1" x14ac:dyDescent="0.3">
      <c r="A202" s="87" t="s">
        <v>71</v>
      </c>
      <c r="B202" s="88" t="s">
        <v>65</v>
      </c>
      <c r="C202" s="6">
        <v>2.7143999999999999</v>
      </c>
      <c r="D202" s="6">
        <f t="shared" si="7"/>
        <v>4.4000000000000004</v>
      </c>
      <c r="E202" s="6">
        <v>22.5</v>
      </c>
      <c r="F202" s="6">
        <v>28</v>
      </c>
      <c r="G202" s="15">
        <f t="shared" si="8"/>
        <v>65.688479999999998</v>
      </c>
      <c r="J202">
        <v>0</v>
      </c>
      <c r="K202">
        <v>2.4</v>
      </c>
      <c r="L202">
        <f>1.7*4</f>
        <v>6.8</v>
      </c>
    </row>
    <row r="203" spans="1:12" ht="15.75" thickBot="1" x14ac:dyDescent="0.3">
      <c r="A203" s="87"/>
      <c r="B203" s="88" t="s">
        <v>479</v>
      </c>
      <c r="C203" s="6">
        <v>2.7143999999999999</v>
      </c>
      <c r="D203" s="6">
        <f t="shared" si="7"/>
        <v>13.4</v>
      </c>
      <c r="E203" s="6">
        <v>22.5</v>
      </c>
      <c r="F203" s="6">
        <v>24</v>
      </c>
      <c r="G203" s="15">
        <f t="shared" si="8"/>
        <v>54.559439999999995</v>
      </c>
      <c r="J203">
        <v>0</v>
      </c>
      <c r="K203">
        <v>1.4</v>
      </c>
      <c r="L203">
        <f>3.7*4</f>
        <v>14.8</v>
      </c>
    </row>
    <row r="204" spans="1:12" ht="15.75" thickBot="1" x14ac:dyDescent="0.3">
      <c r="A204" s="87" t="s">
        <v>479</v>
      </c>
      <c r="B204" s="88" t="s">
        <v>65</v>
      </c>
      <c r="C204" s="6">
        <v>2.7143999999999999</v>
      </c>
      <c r="D204" s="6">
        <f t="shared" si="7"/>
        <v>5.4</v>
      </c>
      <c r="E204" s="6">
        <v>24</v>
      </c>
      <c r="F204" s="6">
        <v>28</v>
      </c>
      <c r="G204" s="15">
        <f t="shared" si="8"/>
        <v>58.631039999999999</v>
      </c>
      <c r="J204">
        <v>0</v>
      </c>
      <c r="K204">
        <v>0</v>
      </c>
      <c r="L204">
        <f>1.35*4</f>
        <v>5.4</v>
      </c>
    </row>
    <row r="205" spans="1:12" ht="15.75" thickBot="1" x14ac:dyDescent="0.3">
      <c r="A205" s="87" t="s">
        <v>140</v>
      </c>
      <c r="B205" s="88" t="s">
        <v>227</v>
      </c>
      <c r="C205" s="6">
        <v>2.7143999999999999</v>
      </c>
      <c r="D205" s="6">
        <f t="shared" si="7"/>
        <v>6.2</v>
      </c>
      <c r="E205" s="6">
        <v>22</v>
      </c>
      <c r="F205" s="6">
        <v>24</v>
      </c>
      <c r="G205" s="15">
        <f t="shared" si="8"/>
        <v>33.658560000000001</v>
      </c>
      <c r="J205">
        <v>0</v>
      </c>
      <c r="K205">
        <v>0</v>
      </c>
      <c r="L205">
        <f>1.55*4</f>
        <v>6.2</v>
      </c>
    </row>
    <row r="206" spans="1:12" ht="15.75" thickBot="1" x14ac:dyDescent="0.3">
      <c r="A206" s="87"/>
      <c r="B206" s="88" t="s">
        <v>483</v>
      </c>
      <c r="C206" s="6">
        <v>2.7143999999999999</v>
      </c>
      <c r="D206" s="6">
        <f t="shared" si="7"/>
        <v>6.6000000000000005</v>
      </c>
      <c r="E206" s="6">
        <v>22</v>
      </c>
      <c r="F206" s="6">
        <v>22.5</v>
      </c>
      <c r="G206" s="15">
        <f t="shared" si="8"/>
        <v>8.9575200000000006</v>
      </c>
      <c r="J206">
        <v>0</v>
      </c>
      <c r="K206">
        <v>1.8</v>
      </c>
      <c r="L206">
        <f>2.1*4</f>
        <v>8.4</v>
      </c>
    </row>
    <row r="207" spans="1:12" ht="15.75" thickBot="1" x14ac:dyDescent="0.3">
      <c r="A207" s="87"/>
      <c r="B207" s="88" t="s">
        <v>65</v>
      </c>
      <c r="C207" s="6">
        <v>2.7143999999999999</v>
      </c>
      <c r="D207" s="6">
        <f t="shared" si="7"/>
        <v>30.599999999999998</v>
      </c>
      <c r="E207" s="6">
        <v>22</v>
      </c>
      <c r="F207" s="6">
        <v>28</v>
      </c>
      <c r="G207" s="15">
        <f t="shared" si="8"/>
        <v>498.36383999999998</v>
      </c>
      <c r="J207">
        <v>0</v>
      </c>
      <c r="K207">
        <v>3.2</v>
      </c>
      <c r="L207">
        <f>8.45*4</f>
        <v>33.799999999999997</v>
      </c>
    </row>
    <row r="208" spans="1:12" ht="15.75" thickBot="1" x14ac:dyDescent="0.3">
      <c r="A208" s="87" t="s">
        <v>483</v>
      </c>
      <c r="B208" s="88" t="s">
        <v>227</v>
      </c>
      <c r="C208" s="6">
        <v>2.7143999999999999</v>
      </c>
      <c r="D208" s="6">
        <f t="shared" si="7"/>
        <v>12</v>
      </c>
      <c r="E208" s="6">
        <v>22.5</v>
      </c>
      <c r="F208" s="6">
        <v>24</v>
      </c>
      <c r="G208" s="15">
        <f t="shared" si="8"/>
        <v>48.859200000000001</v>
      </c>
      <c r="J208">
        <v>0</v>
      </c>
      <c r="K208">
        <v>0</v>
      </c>
      <c r="L208">
        <f>3*4</f>
        <v>12</v>
      </c>
    </row>
    <row r="209" spans="1:12" ht="15.75" thickBot="1" x14ac:dyDescent="0.3">
      <c r="A209" s="87"/>
      <c r="B209" s="88" t="s">
        <v>65</v>
      </c>
      <c r="C209" s="6">
        <v>2.7143999999999999</v>
      </c>
      <c r="D209" s="6">
        <f t="shared" si="7"/>
        <v>11.2</v>
      </c>
      <c r="E209" s="6">
        <v>22.5</v>
      </c>
      <c r="F209" s="6">
        <v>28</v>
      </c>
      <c r="G209" s="15">
        <f t="shared" si="8"/>
        <v>167.20703999999998</v>
      </c>
      <c r="J209">
        <v>0.8</v>
      </c>
      <c r="K209">
        <v>0</v>
      </c>
      <c r="L209">
        <f>3*4</f>
        <v>12</v>
      </c>
    </row>
    <row r="210" spans="1:12" ht="15.75" thickBot="1" x14ac:dyDescent="0.3">
      <c r="A210" s="87" t="s">
        <v>193</v>
      </c>
      <c r="B210" s="88" t="s">
        <v>65</v>
      </c>
      <c r="C210" s="6">
        <v>2.7143999999999999</v>
      </c>
      <c r="D210" s="6">
        <f t="shared" si="7"/>
        <v>38.999999999999993</v>
      </c>
      <c r="E210" s="6">
        <v>22.5</v>
      </c>
      <c r="F210" s="6">
        <v>28</v>
      </c>
      <c r="G210" s="15">
        <f t="shared" si="8"/>
        <v>582.23879999999986</v>
      </c>
      <c r="J210">
        <v>1.6</v>
      </c>
      <c r="K210">
        <v>5.2</v>
      </c>
      <c r="L210">
        <f>11.45*4</f>
        <v>45.8</v>
      </c>
    </row>
    <row r="211" spans="1:12" ht="15.75" thickBot="1" x14ac:dyDescent="0.3">
      <c r="A211" s="87" t="s">
        <v>194</v>
      </c>
      <c r="B211" s="88" t="s">
        <v>65</v>
      </c>
      <c r="C211" s="6">
        <v>2.7143999999999999</v>
      </c>
      <c r="D211" s="6">
        <f t="shared" si="7"/>
        <v>15.6</v>
      </c>
      <c r="E211" s="6">
        <v>22.5</v>
      </c>
      <c r="F211" s="6">
        <v>28</v>
      </c>
      <c r="G211" s="15">
        <f t="shared" si="8"/>
        <v>232.89551999999998</v>
      </c>
      <c r="J211">
        <v>2.4</v>
      </c>
      <c r="K211">
        <v>0</v>
      </c>
      <c r="L211">
        <f>4.5*4</f>
        <v>18</v>
      </c>
    </row>
    <row r="212" spans="1:12" ht="15.75" thickBot="1" x14ac:dyDescent="0.3">
      <c r="A212" s="87" t="s">
        <v>484</v>
      </c>
      <c r="B212" s="88" t="s">
        <v>65</v>
      </c>
      <c r="C212" s="6">
        <v>2.7143999999999999</v>
      </c>
      <c r="D212" s="6">
        <f t="shared" si="7"/>
        <v>15.92</v>
      </c>
      <c r="E212" s="6">
        <v>22.5</v>
      </c>
      <c r="F212" s="6">
        <v>28</v>
      </c>
      <c r="G212" s="15">
        <f t="shared" si="8"/>
        <v>237.672864</v>
      </c>
      <c r="J212">
        <v>2.4</v>
      </c>
      <c r="K212">
        <v>0</v>
      </c>
      <c r="L212">
        <f>4.58*4</f>
        <v>18.32</v>
      </c>
    </row>
    <row r="213" spans="1:12" ht="15.75" thickBot="1" x14ac:dyDescent="0.3">
      <c r="A213" s="87" t="s">
        <v>485</v>
      </c>
      <c r="B213" s="88" t="s">
        <v>65</v>
      </c>
      <c r="C213" s="6">
        <v>2.7143999999999999</v>
      </c>
      <c r="D213" s="6">
        <f t="shared" si="7"/>
        <v>9</v>
      </c>
      <c r="E213" s="6">
        <v>22.5</v>
      </c>
      <c r="F213" s="6">
        <v>28</v>
      </c>
      <c r="G213" s="15">
        <f t="shared" si="8"/>
        <v>134.36279999999999</v>
      </c>
      <c r="J213">
        <v>0.8</v>
      </c>
      <c r="K213">
        <v>1.6</v>
      </c>
      <c r="L213">
        <f>2.85*4</f>
        <v>11.4</v>
      </c>
    </row>
    <row r="214" spans="1:12" ht="15.75" thickBot="1" x14ac:dyDescent="0.3">
      <c r="A214" s="87"/>
      <c r="B214" s="88" t="s">
        <v>486</v>
      </c>
      <c r="C214" s="6">
        <v>2.7143999999999999</v>
      </c>
      <c r="D214" s="6">
        <f t="shared" si="7"/>
        <v>15.6</v>
      </c>
      <c r="E214" s="6">
        <v>22.5</v>
      </c>
      <c r="F214" s="6">
        <v>22</v>
      </c>
      <c r="G214" s="15">
        <f t="shared" si="8"/>
        <v>21.172319999999999</v>
      </c>
      <c r="J214">
        <v>0</v>
      </c>
      <c r="K214">
        <v>0</v>
      </c>
      <c r="L214">
        <f>3.9*4</f>
        <v>15.6</v>
      </c>
    </row>
    <row r="215" spans="1:12" ht="15.75" thickBot="1" x14ac:dyDescent="0.3">
      <c r="A215" s="87" t="s">
        <v>438</v>
      </c>
      <c r="B215" s="88" t="s">
        <v>65</v>
      </c>
      <c r="C215" s="6">
        <v>2.7143999999999999</v>
      </c>
      <c r="D215" s="6">
        <f t="shared" si="7"/>
        <v>48</v>
      </c>
      <c r="E215" s="6">
        <v>22.5</v>
      </c>
      <c r="F215" s="6">
        <v>28</v>
      </c>
      <c r="G215" s="15">
        <f t="shared" si="8"/>
        <v>716.60159999999996</v>
      </c>
      <c r="J215">
        <v>0</v>
      </c>
      <c r="K215">
        <v>0</v>
      </c>
      <c r="L215">
        <f>12*4</f>
        <v>48</v>
      </c>
    </row>
    <row r="216" spans="1:12" ht="15.75" thickBot="1" x14ac:dyDescent="0.3">
      <c r="A216" s="87"/>
      <c r="B216" s="88" t="s">
        <v>486</v>
      </c>
      <c r="C216" s="6">
        <v>2.7143999999999999</v>
      </c>
      <c r="D216" s="6">
        <f t="shared" si="7"/>
        <v>5.4</v>
      </c>
      <c r="E216" s="6">
        <v>22.5</v>
      </c>
      <c r="F216" s="6">
        <v>22</v>
      </c>
      <c r="G216" s="15">
        <f t="shared" si="8"/>
        <v>7.3288799999999998</v>
      </c>
      <c r="J216">
        <v>1.4</v>
      </c>
      <c r="K216">
        <v>1.8</v>
      </c>
      <c r="L216">
        <f>2.15*4</f>
        <v>8.6</v>
      </c>
    </row>
    <row r="217" spans="1:12" ht="15.75" thickBot="1" x14ac:dyDescent="0.3">
      <c r="A217" s="87" t="s">
        <v>487</v>
      </c>
      <c r="B217" s="88" t="s">
        <v>65</v>
      </c>
      <c r="C217" s="6">
        <v>2.7143999999999999</v>
      </c>
      <c r="D217" s="6">
        <f t="shared" si="7"/>
        <v>48.800000000000004</v>
      </c>
      <c r="E217" s="6">
        <v>22</v>
      </c>
      <c r="F217" s="6">
        <v>28</v>
      </c>
      <c r="G217" s="15">
        <f t="shared" si="8"/>
        <v>794.77632000000017</v>
      </c>
      <c r="J217">
        <v>1.4</v>
      </c>
      <c r="K217">
        <v>1.8</v>
      </c>
      <c r="L217">
        <f>13*4</f>
        <v>52</v>
      </c>
    </row>
    <row r="218" spans="1:12" ht="15.75" thickBot="1" x14ac:dyDescent="0.3">
      <c r="A218" s="87" t="s">
        <v>128</v>
      </c>
      <c r="B218" s="88" t="s">
        <v>65</v>
      </c>
      <c r="C218" s="6">
        <v>2.7143999999999999</v>
      </c>
      <c r="D218" s="6">
        <f t="shared" si="7"/>
        <v>52.720000000000006</v>
      </c>
      <c r="E218" s="6">
        <v>22.5</v>
      </c>
      <c r="F218" s="6">
        <v>28</v>
      </c>
      <c r="G218" s="15">
        <f t="shared" si="8"/>
        <v>787.06742400000007</v>
      </c>
      <c r="J218">
        <v>3.8</v>
      </c>
      <c r="K218">
        <v>2</v>
      </c>
      <c r="L218">
        <f>14.63*4</f>
        <v>58.52</v>
      </c>
    </row>
    <row r="219" spans="1:12" ht="15.75" thickBot="1" x14ac:dyDescent="0.3">
      <c r="A219" s="87"/>
      <c r="B219" s="88" t="s">
        <v>488</v>
      </c>
      <c r="C219" s="6">
        <v>2.7143999999999999</v>
      </c>
      <c r="D219" s="6">
        <f t="shared" si="7"/>
        <v>17</v>
      </c>
      <c r="E219" s="6">
        <v>22.5</v>
      </c>
      <c r="F219" s="6">
        <v>24</v>
      </c>
      <c r="G219" s="15">
        <f t="shared" si="8"/>
        <v>69.217199999999991</v>
      </c>
      <c r="J219">
        <v>0</v>
      </c>
      <c r="K219">
        <v>0.6</v>
      </c>
      <c r="L219">
        <f>4.4*4</f>
        <v>17.600000000000001</v>
      </c>
    </row>
    <row r="220" spans="1:12" ht="15.75" thickBot="1" x14ac:dyDescent="0.3">
      <c r="A220" s="87"/>
      <c r="B220" s="88" t="s">
        <v>129</v>
      </c>
      <c r="C220" s="6">
        <v>2.7143999999999999</v>
      </c>
      <c r="D220" s="6">
        <f t="shared" si="7"/>
        <v>24.12</v>
      </c>
      <c r="E220" s="6">
        <v>22.5</v>
      </c>
      <c r="F220" s="6">
        <v>24</v>
      </c>
      <c r="G220" s="15">
        <f t="shared" si="8"/>
        <v>98.206992</v>
      </c>
      <c r="J220">
        <v>0</v>
      </c>
      <c r="K220">
        <v>1.8</v>
      </c>
      <c r="L220">
        <f>6.48*4</f>
        <v>25.92</v>
      </c>
    </row>
    <row r="221" spans="1:12" ht="15.75" thickBot="1" x14ac:dyDescent="0.3">
      <c r="A221" s="87" t="s">
        <v>129</v>
      </c>
      <c r="B221" s="88" t="s">
        <v>130</v>
      </c>
      <c r="C221" s="6">
        <v>2.7143999999999999</v>
      </c>
      <c r="D221" s="6">
        <f t="shared" si="7"/>
        <v>12</v>
      </c>
      <c r="E221" s="6">
        <v>24</v>
      </c>
      <c r="F221" s="6">
        <v>22.5</v>
      </c>
      <c r="G221" s="15">
        <f t="shared" si="8"/>
        <v>48.859200000000001</v>
      </c>
      <c r="J221">
        <v>0</v>
      </c>
      <c r="K221">
        <v>0</v>
      </c>
      <c r="L221">
        <f>3*4</f>
        <v>12</v>
      </c>
    </row>
    <row r="222" spans="1:12" ht="15.75" thickBot="1" x14ac:dyDescent="0.3">
      <c r="A222" s="87" t="s">
        <v>130</v>
      </c>
      <c r="B222" s="88" t="s">
        <v>65</v>
      </c>
      <c r="C222" s="6">
        <v>2.7143999999999999</v>
      </c>
      <c r="D222" s="6">
        <f t="shared" si="7"/>
        <v>24.6</v>
      </c>
      <c r="E222" s="6">
        <v>22.5</v>
      </c>
      <c r="F222" s="6">
        <v>28</v>
      </c>
      <c r="G222" s="15">
        <f t="shared" si="8"/>
        <v>367.25832000000003</v>
      </c>
      <c r="J222">
        <v>0</v>
      </c>
      <c r="K222">
        <v>3.2</v>
      </c>
      <c r="L222">
        <f>6.95*4</f>
        <v>27.8</v>
      </c>
    </row>
    <row r="223" spans="1:12" ht="15.75" thickBot="1" x14ac:dyDescent="0.3">
      <c r="A223" s="87"/>
      <c r="B223" s="88" t="s">
        <v>156</v>
      </c>
      <c r="C223" s="6">
        <v>2.7143999999999999</v>
      </c>
      <c r="D223" s="6">
        <f t="shared" si="7"/>
        <v>11.96</v>
      </c>
      <c r="E223" s="6">
        <v>22.5</v>
      </c>
      <c r="F223" s="6">
        <v>24</v>
      </c>
      <c r="G223" s="15">
        <f t="shared" si="8"/>
        <v>48.696336000000002</v>
      </c>
      <c r="J223">
        <v>0</v>
      </c>
      <c r="K223">
        <v>1.2</v>
      </c>
      <c r="L223">
        <f>3.29*4</f>
        <v>13.16</v>
      </c>
    </row>
    <row r="224" spans="1:12" ht="15.75" thickBot="1" x14ac:dyDescent="0.3">
      <c r="A224" s="87" t="s">
        <v>417</v>
      </c>
      <c r="B224" s="88" t="s">
        <v>65</v>
      </c>
      <c r="C224" s="6">
        <v>2.7143999999999999</v>
      </c>
      <c r="D224" s="6">
        <f t="shared" si="7"/>
        <v>36.199999999999996</v>
      </c>
      <c r="E224" s="6">
        <v>22</v>
      </c>
      <c r="F224" s="6">
        <v>28</v>
      </c>
      <c r="G224" s="15">
        <f t="shared" si="8"/>
        <v>589.56767999999988</v>
      </c>
      <c r="J224">
        <v>0</v>
      </c>
      <c r="K224">
        <v>3.2</v>
      </c>
      <c r="L224">
        <f>9.85*4</f>
        <v>39.4</v>
      </c>
    </row>
    <row r="225" spans="1:12" ht="15.75" thickBot="1" x14ac:dyDescent="0.3">
      <c r="A225" s="87"/>
      <c r="B225" s="88" t="s">
        <v>483</v>
      </c>
      <c r="C225" s="6">
        <v>2.7143999999999999</v>
      </c>
      <c r="D225" s="6">
        <f t="shared" si="7"/>
        <v>7.2</v>
      </c>
      <c r="E225" s="6">
        <v>22</v>
      </c>
      <c r="F225" s="6">
        <v>22.5</v>
      </c>
      <c r="G225" s="15">
        <f t="shared" si="8"/>
        <v>9.7718399999999992</v>
      </c>
      <c r="J225">
        <v>0</v>
      </c>
      <c r="K225">
        <v>1.8</v>
      </c>
      <c r="L225">
        <f>2.25*4</f>
        <v>9</v>
      </c>
    </row>
    <row r="226" spans="1:12" ht="15.75" thickBot="1" x14ac:dyDescent="0.3">
      <c r="A226" s="87" t="s">
        <v>483</v>
      </c>
      <c r="B226" s="88" t="s">
        <v>489</v>
      </c>
      <c r="C226" s="6">
        <v>2.7143999999999999</v>
      </c>
      <c r="D226" s="6">
        <f t="shared" si="7"/>
        <v>9</v>
      </c>
      <c r="E226" s="6">
        <v>22.5</v>
      </c>
      <c r="F226" s="6">
        <v>24</v>
      </c>
      <c r="G226" s="15">
        <f t="shared" si="8"/>
        <v>36.644400000000005</v>
      </c>
      <c r="J226">
        <v>0</v>
      </c>
      <c r="K226">
        <v>0</v>
      </c>
      <c r="L226">
        <f>2.25*4</f>
        <v>9</v>
      </c>
    </row>
    <row r="227" spans="1:12" ht="15.75" thickBot="1" x14ac:dyDescent="0.3">
      <c r="A227" s="87"/>
      <c r="B227" s="88" t="s">
        <v>65</v>
      </c>
      <c r="C227" s="6">
        <v>2.7143999999999999</v>
      </c>
      <c r="D227" s="6">
        <f t="shared" si="7"/>
        <v>10.719999999999999</v>
      </c>
      <c r="E227" s="6">
        <v>22.5</v>
      </c>
      <c r="F227" s="6">
        <v>28</v>
      </c>
      <c r="G227" s="15">
        <f t="shared" si="8"/>
        <v>160.04102399999999</v>
      </c>
      <c r="J227">
        <v>0.8</v>
      </c>
      <c r="K227">
        <v>0</v>
      </c>
      <c r="L227">
        <f>2.88*4</f>
        <v>11.52</v>
      </c>
    </row>
    <row r="228" spans="1:12" ht="15.75" thickBot="1" x14ac:dyDescent="0.3">
      <c r="A228" s="87" t="s">
        <v>489</v>
      </c>
      <c r="B228" s="88" t="s">
        <v>65</v>
      </c>
      <c r="C228" s="6">
        <v>2.7143999999999999</v>
      </c>
      <c r="D228" s="6">
        <f t="shared" si="7"/>
        <v>7</v>
      </c>
      <c r="E228" s="6">
        <v>24</v>
      </c>
      <c r="F228" s="6">
        <v>28</v>
      </c>
      <c r="G228" s="15">
        <f t="shared" si="8"/>
        <v>76.003199999999993</v>
      </c>
      <c r="J228">
        <v>0</v>
      </c>
      <c r="K228">
        <v>2</v>
      </c>
      <c r="L228">
        <f>2.25*4</f>
        <v>9</v>
      </c>
    </row>
    <row r="229" spans="1:12" ht="15.75" thickBot="1" x14ac:dyDescent="0.3">
      <c r="A229" s="87" t="s">
        <v>490</v>
      </c>
      <c r="B229" s="88" t="s">
        <v>65</v>
      </c>
      <c r="C229" s="6">
        <v>2.7143999999999999</v>
      </c>
      <c r="D229" s="6">
        <f t="shared" si="7"/>
        <v>16.8</v>
      </c>
      <c r="E229" s="6">
        <v>24</v>
      </c>
      <c r="F229" s="6">
        <v>28</v>
      </c>
      <c r="G229" s="15">
        <f t="shared" si="8"/>
        <v>182.40768</v>
      </c>
      <c r="J229">
        <v>0</v>
      </c>
      <c r="K229">
        <v>1.4</v>
      </c>
      <c r="L229">
        <f>4.55*4</f>
        <v>18.2</v>
      </c>
    </row>
    <row r="230" spans="1:12" ht="15.75" thickBot="1" x14ac:dyDescent="0.3">
      <c r="A230" s="87" t="s">
        <v>491</v>
      </c>
      <c r="B230" s="88" t="s">
        <v>65</v>
      </c>
      <c r="C230" s="6">
        <v>2.7143999999999999</v>
      </c>
      <c r="D230" s="6">
        <f t="shared" si="7"/>
        <v>9.92</v>
      </c>
      <c r="E230" s="6">
        <v>24</v>
      </c>
      <c r="F230" s="6">
        <v>28</v>
      </c>
      <c r="G230" s="15">
        <f t="shared" si="8"/>
        <v>107.707392</v>
      </c>
      <c r="J230">
        <v>0</v>
      </c>
      <c r="K230">
        <v>1.6</v>
      </c>
      <c r="L230">
        <f>2.88*4</f>
        <v>11.52</v>
      </c>
    </row>
    <row r="231" spans="1:12" ht="15.75" thickBot="1" x14ac:dyDescent="0.3">
      <c r="A231" s="87" t="s">
        <v>230</v>
      </c>
      <c r="B231" s="88" t="s">
        <v>65</v>
      </c>
      <c r="C231" s="6">
        <v>2.7143999999999999</v>
      </c>
      <c r="D231" s="6">
        <f t="shared" si="7"/>
        <v>22.52</v>
      </c>
      <c r="E231" s="6">
        <v>24</v>
      </c>
      <c r="F231" s="6">
        <v>28</v>
      </c>
      <c r="G231" s="15">
        <f t="shared" si="8"/>
        <v>244.51315199999999</v>
      </c>
      <c r="J231">
        <v>0.8</v>
      </c>
      <c r="K231">
        <v>1.8</v>
      </c>
      <c r="L231">
        <f>6.28*4</f>
        <v>25.12</v>
      </c>
    </row>
    <row r="232" spans="1:12" ht="15.75" thickBot="1" x14ac:dyDescent="0.3">
      <c r="A232" s="87" t="s">
        <v>163</v>
      </c>
      <c r="B232" s="88" t="s">
        <v>132</v>
      </c>
      <c r="C232" s="6">
        <v>2.7143999999999999</v>
      </c>
      <c r="D232" s="6">
        <f t="shared" si="7"/>
        <v>5</v>
      </c>
      <c r="E232" s="6">
        <v>24</v>
      </c>
      <c r="F232" s="6">
        <v>22.5</v>
      </c>
      <c r="G232" s="15">
        <f t="shared" si="8"/>
        <v>20.357999999999997</v>
      </c>
      <c r="J232">
        <v>0</v>
      </c>
      <c r="K232">
        <v>1.2</v>
      </c>
      <c r="L232">
        <f>1.55*4</f>
        <v>6.2</v>
      </c>
    </row>
    <row r="233" spans="1:12" ht="15.75" thickBot="1" x14ac:dyDescent="0.3">
      <c r="A233" s="87" t="s">
        <v>164</v>
      </c>
      <c r="B233" s="88" t="s">
        <v>132</v>
      </c>
      <c r="C233" s="6">
        <v>2.7143999999999999</v>
      </c>
      <c r="D233" s="6">
        <f t="shared" si="7"/>
        <v>5</v>
      </c>
      <c r="E233" s="6">
        <v>24</v>
      </c>
      <c r="F233" s="6">
        <v>22.5</v>
      </c>
      <c r="G233" s="15">
        <f t="shared" si="8"/>
        <v>20.357999999999997</v>
      </c>
      <c r="J233">
        <v>0</v>
      </c>
      <c r="K233">
        <v>1.2</v>
      </c>
      <c r="L233">
        <f>1.55*4</f>
        <v>6.2</v>
      </c>
    </row>
    <row r="234" spans="1:12" ht="15.75" thickBot="1" x14ac:dyDescent="0.3">
      <c r="A234" s="87" t="s">
        <v>165</v>
      </c>
      <c r="B234" s="88" t="s">
        <v>132</v>
      </c>
      <c r="C234" s="6">
        <v>2.7143999999999999</v>
      </c>
      <c r="D234" s="6">
        <f t="shared" si="7"/>
        <v>23</v>
      </c>
      <c r="E234" s="6">
        <v>24</v>
      </c>
      <c r="F234" s="6">
        <v>22.5</v>
      </c>
      <c r="G234" s="15">
        <f t="shared" si="8"/>
        <v>93.646799999999999</v>
      </c>
      <c r="J234">
        <v>0</v>
      </c>
      <c r="K234">
        <v>1.2</v>
      </c>
      <c r="L234">
        <f>6.05*4</f>
        <v>24.2</v>
      </c>
    </row>
    <row r="235" spans="1:12" x14ac:dyDescent="0.25">
      <c r="A235" s="89" t="s">
        <v>132</v>
      </c>
      <c r="B235" s="90" t="s">
        <v>65</v>
      </c>
      <c r="C235" s="21">
        <v>2.7143999999999999</v>
      </c>
      <c r="D235" s="21">
        <f t="shared" si="7"/>
        <v>60.6</v>
      </c>
      <c r="E235" s="21">
        <v>22</v>
      </c>
      <c r="F235" s="21">
        <v>28</v>
      </c>
      <c r="G235" s="22">
        <f t="shared" si="8"/>
        <v>986.95583999999997</v>
      </c>
      <c r="J235">
        <v>0</v>
      </c>
      <c r="K235">
        <v>3.4</v>
      </c>
      <c r="L235">
        <f>16*4</f>
        <v>64</v>
      </c>
    </row>
    <row r="236" spans="1:12" x14ac:dyDescent="0.25">
      <c r="F236" s="1" t="s">
        <v>336</v>
      </c>
      <c r="G236">
        <f>SUM(G133:G235)</f>
        <v>19649.595888000007</v>
      </c>
    </row>
    <row r="238" spans="1:12" ht="15.75" thickBot="1" x14ac:dyDescent="0.3">
      <c r="A238" s="85" t="s">
        <v>0</v>
      </c>
      <c r="B238" s="86" t="s">
        <v>435</v>
      </c>
      <c r="C238" s="36" t="s">
        <v>2</v>
      </c>
      <c r="D238" s="36" t="s">
        <v>436</v>
      </c>
      <c r="E238" s="36" t="s">
        <v>7</v>
      </c>
      <c r="F238" s="36" t="s">
        <v>480</v>
      </c>
      <c r="G238" s="24" t="s">
        <v>437</v>
      </c>
      <c r="J238" t="s">
        <v>474</v>
      </c>
      <c r="K238" t="s">
        <v>475</v>
      </c>
      <c r="L238" t="s">
        <v>98</v>
      </c>
    </row>
    <row r="239" spans="1:12" ht="15.75" thickBot="1" x14ac:dyDescent="0.3">
      <c r="A239" s="87" t="s">
        <v>61</v>
      </c>
      <c r="B239" s="88" t="s">
        <v>65</v>
      </c>
      <c r="C239" s="6">
        <v>2.7143999999999999</v>
      </c>
      <c r="D239" s="6">
        <f>L239-K239-J239</f>
        <v>16.400000000000002</v>
      </c>
      <c r="E239" s="6">
        <v>22.5</v>
      </c>
      <c r="F239" s="6">
        <v>28</v>
      </c>
      <c r="G239" s="15">
        <f>ABS(C239*D239*(F239-E239))</f>
        <v>244.83888000000005</v>
      </c>
      <c r="J239">
        <v>0</v>
      </c>
      <c r="K239">
        <v>2.4</v>
      </c>
      <c r="L239">
        <f>4.7*4</f>
        <v>18.8</v>
      </c>
    </row>
    <row r="240" spans="1:12" ht="15.75" thickBot="1" x14ac:dyDescent="0.3">
      <c r="A240" s="87"/>
      <c r="B240" s="88" t="s">
        <v>492</v>
      </c>
      <c r="C240" s="6">
        <v>2.7143999999999999</v>
      </c>
      <c r="D240" s="6">
        <f t="shared" ref="D240:D302" si="9">L240-K240-J240</f>
        <v>13.4</v>
      </c>
      <c r="E240" s="6">
        <v>22.5</v>
      </c>
      <c r="F240" s="6">
        <v>24</v>
      </c>
      <c r="G240" s="15">
        <f t="shared" ref="G240:G303" si="10">ABS(C240*D240*(F240-E240))</f>
        <v>54.559439999999995</v>
      </c>
      <c r="J240">
        <v>0</v>
      </c>
      <c r="K240">
        <v>1.4</v>
      </c>
      <c r="L240">
        <f>3.7*4</f>
        <v>14.8</v>
      </c>
    </row>
    <row r="241" spans="1:12" ht="15.75" thickBot="1" x14ac:dyDescent="0.3">
      <c r="A241" s="87" t="s">
        <v>492</v>
      </c>
      <c r="B241" s="88" t="s">
        <v>65</v>
      </c>
      <c r="C241" s="6">
        <v>2.7143999999999999</v>
      </c>
      <c r="D241" s="6">
        <f t="shared" si="9"/>
        <v>5.4</v>
      </c>
      <c r="E241" s="6">
        <v>24</v>
      </c>
      <c r="F241" s="6">
        <v>28</v>
      </c>
      <c r="G241" s="15">
        <f t="shared" si="10"/>
        <v>58.631039999999999</v>
      </c>
      <c r="J241">
        <v>0</v>
      </c>
      <c r="K241">
        <v>0</v>
      </c>
      <c r="L241">
        <f>1.35*4</f>
        <v>5.4</v>
      </c>
    </row>
    <row r="242" spans="1:12" ht="15.75" thickBot="1" x14ac:dyDescent="0.3">
      <c r="A242" s="87" t="s">
        <v>61</v>
      </c>
      <c r="B242" s="88" t="s">
        <v>65</v>
      </c>
      <c r="C242" s="6">
        <v>2.7143999999999999</v>
      </c>
      <c r="D242" s="6">
        <f t="shared" si="9"/>
        <v>42.4</v>
      </c>
      <c r="E242" s="6">
        <v>22.5</v>
      </c>
      <c r="F242" s="6">
        <v>28</v>
      </c>
      <c r="G242" s="15">
        <f t="shared" si="10"/>
        <v>632.99807999999996</v>
      </c>
      <c r="J242">
        <v>0</v>
      </c>
      <c r="K242">
        <v>2.4</v>
      </c>
      <c r="L242">
        <f>11.2*4</f>
        <v>44.8</v>
      </c>
    </row>
    <row r="243" spans="1:12" ht="15.75" thickBot="1" x14ac:dyDescent="0.3">
      <c r="A243" s="87"/>
      <c r="B243" s="88" t="s">
        <v>492</v>
      </c>
      <c r="C243" s="6">
        <v>2.7143999999999999</v>
      </c>
      <c r="D243" s="6">
        <f t="shared" si="9"/>
        <v>13.4</v>
      </c>
      <c r="E243" s="6">
        <v>22.5</v>
      </c>
      <c r="F243" s="6">
        <v>24</v>
      </c>
      <c r="G243" s="15">
        <f t="shared" si="10"/>
        <v>54.559439999999995</v>
      </c>
      <c r="J243">
        <v>0</v>
      </c>
      <c r="K243">
        <v>1.4</v>
      </c>
      <c r="L243">
        <f>3.7*4</f>
        <v>14.8</v>
      </c>
    </row>
    <row r="244" spans="1:12" ht="15.75" thickBot="1" x14ac:dyDescent="0.3">
      <c r="A244" s="87" t="s">
        <v>492</v>
      </c>
      <c r="B244" s="88" t="s">
        <v>65</v>
      </c>
      <c r="C244" s="6">
        <v>2.7143999999999999</v>
      </c>
      <c r="D244" s="6">
        <f t="shared" si="9"/>
        <v>5.4</v>
      </c>
      <c r="E244" s="6">
        <v>24</v>
      </c>
      <c r="F244" s="6">
        <v>28</v>
      </c>
      <c r="G244" s="15">
        <f t="shared" si="10"/>
        <v>58.631039999999999</v>
      </c>
      <c r="J244">
        <v>0</v>
      </c>
      <c r="K244">
        <v>0</v>
      </c>
      <c r="L244">
        <f>1.35*4</f>
        <v>5.4</v>
      </c>
    </row>
    <row r="245" spans="1:12" ht="15.75" thickBot="1" x14ac:dyDescent="0.3">
      <c r="A245" s="87" t="s">
        <v>61</v>
      </c>
      <c r="B245" s="88" t="s">
        <v>65</v>
      </c>
      <c r="C245" s="6">
        <v>2.7143999999999999</v>
      </c>
      <c r="D245" s="6">
        <f t="shared" si="9"/>
        <v>42.4</v>
      </c>
      <c r="E245" s="6">
        <v>22.5</v>
      </c>
      <c r="F245" s="6">
        <v>28</v>
      </c>
      <c r="G245" s="15">
        <f t="shared" si="10"/>
        <v>632.99807999999996</v>
      </c>
      <c r="J245">
        <v>0</v>
      </c>
      <c r="K245">
        <v>2.4</v>
      </c>
      <c r="L245">
        <f>11.2*4</f>
        <v>44.8</v>
      </c>
    </row>
    <row r="246" spans="1:12" ht="15.75" thickBot="1" x14ac:dyDescent="0.3">
      <c r="A246" s="87"/>
      <c r="B246" s="88" t="s">
        <v>492</v>
      </c>
      <c r="C246" s="6">
        <v>2.7143999999999999</v>
      </c>
      <c r="D246" s="6">
        <f t="shared" si="9"/>
        <v>13.4</v>
      </c>
      <c r="E246" s="6">
        <v>22.5</v>
      </c>
      <c r="F246" s="6">
        <v>24</v>
      </c>
      <c r="G246" s="15">
        <f t="shared" si="10"/>
        <v>54.559439999999995</v>
      </c>
      <c r="J246">
        <v>0</v>
      </c>
      <c r="K246">
        <v>1.4</v>
      </c>
      <c r="L246">
        <f>3.7*4</f>
        <v>14.8</v>
      </c>
    </row>
    <row r="247" spans="1:12" ht="15.75" thickBot="1" x14ac:dyDescent="0.3">
      <c r="A247" s="87" t="s">
        <v>492</v>
      </c>
      <c r="B247" s="88" t="s">
        <v>65</v>
      </c>
      <c r="C247" s="6">
        <v>2.7143999999999999</v>
      </c>
      <c r="D247" s="6">
        <f t="shared" si="9"/>
        <v>5.4</v>
      </c>
      <c r="E247" s="6">
        <v>24</v>
      </c>
      <c r="F247" s="6">
        <v>28</v>
      </c>
      <c r="G247" s="15">
        <f t="shared" si="10"/>
        <v>58.631039999999999</v>
      </c>
      <c r="J247">
        <v>0</v>
      </c>
      <c r="K247">
        <v>0</v>
      </c>
      <c r="L247">
        <f>1.35*4</f>
        <v>5.4</v>
      </c>
    </row>
    <row r="248" spans="1:12" ht="15.75" thickBot="1" x14ac:dyDescent="0.3">
      <c r="A248" s="87" t="s">
        <v>61</v>
      </c>
      <c r="B248" s="88" t="s">
        <v>65</v>
      </c>
      <c r="C248" s="6">
        <v>2.7143999999999999</v>
      </c>
      <c r="D248" s="6">
        <f t="shared" si="9"/>
        <v>16.400000000000002</v>
      </c>
      <c r="E248" s="6">
        <v>22.5</v>
      </c>
      <c r="F248" s="6">
        <v>28</v>
      </c>
      <c r="G248" s="15">
        <f t="shared" si="10"/>
        <v>244.83888000000005</v>
      </c>
      <c r="J248">
        <v>0</v>
      </c>
      <c r="K248">
        <v>2.4</v>
      </c>
      <c r="L248">
        <f>4.7*4</f>
        <v>18.8</v>
      </c>
    </row>
    <row r="249" spans="1:12" ht="15.75" thickBot="1" x14ac:dyDescent="0.3">
      <c r="A249" s="87"/>
      <c r="B249" s="88" t="s">
        <v>492</v>
      </c>
      <c r="C249" s="6">
        <v>2.7143999999999999</v>
      </c>
      <c r="D249" s="6">
        <f t="shared" si="9"/>
        <v>13.4</v>
      </c>
      <c r="E249" s="6">
        <v>22.5</v>
      </c>
      <c r="F249" s="6">
        <v>24</v>
      </c>
      <c r="G249" s="15">
        <f t="shared" si="10"/>
        <v>54.559439999999995</v>
      </c>
      <c r="J249">
        <v>0</v>
      </c>
      <c r="K249">
        <v>1.4</v>
      </c>
      <c r="L249">
        <f>3.7*4</f>
        <v>14.8</v>
      </c>
    </row>
    <row r="250" spans="1:12" ht="15.75" thickBot="1" x14ac:dyDescent="0.3">
      <c r="A250" s="87" t="s">
        <v>492</v>
      </c>
      <c r="B250" s="88" t="s">
        <v>65</v>
      </c>
      <c r="C250" s="6">
        <v>2.7143999999999999</v>
      </c>
      <c r="D250" s="6">
        <f t="shared" si="9"/>
        <v>5.4</v>
      </c>
      <c r="E250" s="6">
        <v>24</v>
      </c>
      <c r="F250" s="6">
        <v>28</v>
      </c>
      <c r="G250" s="15">
        <f t="shared" si="10"/>
        <v>58.631039999999999</v>
      </c>
      <c r="J250">
        <v>0</v>
      </c>
      <c r="K250">
        <v>0</v>
      </c>
      <c r="L250">
        <f>1.35*4</f>
        <v>5.4</v>
      </c>
    </row>
    <row r="251" spans="1:12" ht="15.75" thickBot="1" x14ac:dyDescent="0.3">
      <c r="A251" s="87" t="s">
        <v>67</v>
      </c>
      <c r="B251" s="88" t="s">
        <v>65</v>
      </c>
      <c r="C251" s="6">
        <v>2.7143999999999999</v>
      </c>
      <c r="D251" s="6">
        <f t="shared" si="9"/>
        <v>0</v>
      </c>
      <c r="E251" s="6">
        <v>22.5</v>
      </c>
      <c r="F251" s="6">
        <v>28</v>
      </c>
      <c r="G251" s="15">
        <f t="shared" si="10"/>
        <v>0</v>
      </c>
    </row>
    <row r="252" spans="1:12" ht="15.75" thickBot="1" x14ac:dyDescent="0.3">
      <c r="A252" s="87"/>
      <c r="B252" s="88" t="s">
        <v>89</v>
      </c>
      <c r="C252" s="6">
        <v>2.7143999999999999</v>
      </c>
      <c r="D252" s="6">
        <f t="shared" si="9"/>
        <v>0</v>
      </c>
      <c r="E252" s="6">
        <v>22.5</v>
      </c>
      <c r="F252" s="6">
        <v>24</v>
      </c>
      <c r="G252" s="15">
        <f t="shared" si="10"/>
        <v>0</v>
      </c>
    </row>
    <row r="253" spans="1:12" ht="15.75" thickBot="1" x14ac:dyDescent="0.3">
      <c r="A253" s="87" t="s">
        <v>89</v>
      </c>
      <c r="B253" s="88" t="s">
        <v>65</v>
      </c>
      <c r="C253" s="6">
        <v>2.7143999999999999</v>
      </c>
      <c r="D253" s="6">
        <f t="shared" si="9"/>
        <v>5.4</v>
      </c>
      <c r="E253" s="6">
        <v>24</v>
      </c>
      <c r="F253" s="6">
        <v>28</v>
      </c>
      <c r="G253" s="15">
        <f t="shared" si="10"/>
        <v>58.631039999999999</v>
      </c>
      <c r="J253">
        <v>0</v>
      </c>
      <c r="K253">
        <v>0</v>
      </c>
      <c r="L253">
        <f>1.35*4</f>
        <v>5.4</v>
      </c>
    </row>
    <row r="254" spans="1:12" ht="15.75" thickBot="1" x14ac:dyDescent="0.3">
      <c r="A254" s="87" t="s">
        <v>71</v>
      </c>
      <c r="B254" s="88" t="s">
        <v>65</v>
      </c>
      <c r="C254" s="6">
        <v>2.7143999999999999</v>
      </c>
      <c r="D254" s="6">
        <f t="shared" si="9"/>
        <v>4.4000000000000004</v>
      </c>
      <c r="E254" s="6">
        <v>22.5</v>
      </c>
      <c r="F254" s="6">
        <v>28</v>
      </c>
      <c r="G254" s="15">
        <f t="shared" si="10"/>
        <v>65.688479999999998</v>
      </c>
      <c r="J254">
        <v>0</v>
      </c>
      <c r="K254">
        <v>2.4</v>
      </c>
      <c r="L254">
        <f>1.7*4</f>
        <v>6.8</v>
      </c>
    </row>
    <row r="255" spans="1:12" ht="15.75" thickBot="1" x14ac:dyDescent="0.3">
      <c r="A255" s="87"/>
      <c r="B255" s="88" t="s">
        <v>479</v>
      </c>
      <c r="C255" s="6">
        <v>2.7143999999999999</v>
      </c>
      <c r="D255" s="6">
        <f t="shared" si="9"/>
        <v>13.4</v>
      </c>
      <c r="E255" s="6">
        <v>22.5</v>
      </c>
      <c r="F255" s="6">
        <v>24</v>
      </c>
      <c r="G255" s="15">
        <f t="shared" si="10"/>
        <v>54.559439999999995</v>
      </c>
      <c r="J255">
        <v>0</v>
      </c>
      <c r="K255">
        <v>1.4</v>
      </c>
      <c r="L255">
        <f>3.7*4</f>
        <v>14.8</v>
      </c>
    </row>
    <row r="256" spans="1:12" ht="15.75" thickBot="1" x14ac:dyDescent="0.3">
      <c r="A256" s="87" t="s">
        <v>479</v>
      </c>
      <c r="B256" s="88" t="s">
        <v>65</v>
      </c>
      <c r="C256" s="6">
        <v>2.7143999999999999</v>
      </c>
      <c r="D256" s="6">
        <f t="shared" si="9"/>
        <v>5.4</v>
      </c>
      <c r="E256" s="6">
        <v>24</v>
      </c>
      <c r="F256" s="6">
        <v>28</v>
      </c>
      <c r="G256" s="15">
        <f t="shared" si="10"/>
        <v>58.631039999999999</v>
      </c>
      <c r="J256">
        <v>0</v>
      </c>
      <c r="K256">
        <v>0</v>
      </c>
      <c r="L256">
        <f>1.35*4</f>
        <v>5.4</v>
      </c>
    </row>
    <row r="257" spans="1:12" ht="15.75" thickBot="1" x14ac:dyDescent="0.3">
      <c r="A257" s="87" t="s">
        <v>71</v>
      </c>
      <c r="B257" s="88" t="s">
        <v>65</v>
      </c>
      <c r="C257" s="6">
        <v>2.7143999999999999</v>
      </c>
      <c r="D257" s="6">
        <f>L257-K257-J257</f>
        <v>30.8</v>
      </c>
      <c r="E257" s="6">
        <v>22.5</v>
      </c>
      <c r="F257" s="6">
        <v>28</v>
      </c>
      <c r="G257" s="15">
        <f t="shared" si="10"/>
        <v>459.81936000000002</v>
      </c>
      <c r="J257">
        <v>0</v>
      </c>
      <c r="K257">
        <v>0</v>
      </c>
      <c r="L257">
        <f>7.7*4</f>
        <v>30.8</v>
      </c>
    </row>
    <row r="258" spans="1:12" ht="15.75" thickBot="1" x14ac:dyDescent="0.3">
      <c r="A258" s="87"/>
      <c r="B258" s="88" t="s">
        <v>479</v>
      </c>
      <c r="C258" s="6">
        <v>2.7143999999999999</v>
      </c>
      <c r="D258" s="6">
        <f t="shared" si="9"/>
        <v>14.8</v>
      </c>
      <c r="E258" s="6">
        <v>22.5</v>
      </c>
      <c r="F258" s="6">
        <v>24</v>
      </c>
      <c r="G258" s="15">
        <f t="shared" si="10"/>
        <v>60.259679999999996</v>
      </c>
      <c r="J258">
        <v>0</v>
      </c>
      <c r="K258">
        <v>0</v>
      </c>
      <c r="L258">
        <f>3.7*4</f>
        <v>14.8</v>
      </c>
    </row>
    <row r="259" spans="1:12" ht="15.75" thickBot="1" x14ac:dyDescent="0.3">
      <c r="A259" s="87" t="s">
        <v>479</v>
      </c>
      <c r="B259" s="88" t="s">
        <v>65</v>
      </c>
      <c r="C259" s="6">
        <v>2.7143999999999999</v>
      </c>
      <c r="D259" s="6">
        <f t="shared" si="9"/>
        <v>5.4</v>
      </c>
      <c r="E259" s="6">
        <v>24</v>
      </c>
      <c r="F259" s="6">
        <v>28</v>
      </c>
      <c r="G259" s="15">
        <f t="shared" si="10"/>
        <v>58.631039999999999</v>
      </c>
      <c r="J259">
        <v>0</v>
      </c>
      <c r="K259">
        <v>0</v>
      </c>
      <c r="L259">
        <f>1.35*4</f>
        <v>5.4</v>
      </c>
    </row>
    <row r="260" spans="1:12" ht="15.75" thickBot="1" x14ac:dyDescent="0.3">
      <c r="A260" s="87" t="s">
        <v>174</v>
      </c>
      <c r="B260" s="88" t="s">
        <v>65</v>
      </c>
      <c r="C260" s="6">
        <v>2.7143999999999999</v>
      </c>
      <c r="D260" s="6">
        <f t="shared" si="9"/>
        <v>62.400000000000006</v>
      </c>
      <c r="E260" s="6">
        <v>22.5</v>
      </c>
      <c r="F260" s="6">
        <v>28</v>
      </c>
      <c r="G260" s="15">
        <f t="shared" si="10"/>
        <v>931.58208000000013</v>
      </c>
      <c r="J260">
        <v>1.2</v>
      </c>
      <c r="K260">
        <v>1.8</v>
      </c>
      <c r="L260">
        <f>16.35*4</f>
        <v>65.400000000000006</v>
      </c>
    </row>
    <row r="261" spans="1:12" ht="15.75" thickBot="1" x14ac:dyDescent="0.3">
      <c r="A261" s="87"/>
      <c r="B261" s="88" t="s">
        <v>213</v>
      </c>
      <c r="C261" s="6">
        <v>2.7143999999999999</v>
      </c>
      <c r="D261" s="6">
        <f t="shared" si="9"/>
        <v>13.4</v>
      </c>
      <c r="E261" s="6">
        <v>22.5</v>
      </c>
      <c r="F261" s="6">
        <v>24</v>
      </c>
      <c r="G261" s="15">
        <f t="shared" si="10"/>
        <v>54.559439999999995</v>
      </c>
      <c r="J261">
        <v>0</v>
      </c>
      <c r="K261">
        <v>1.4</v>
      </c>
      <c r="L261">
        <f>3.7*4</f>
        <v>14.8</v>
      </c>
    </row>
    <row r="262" spans="1:12" ht="15.75" thickBot="1" x14ac:dyDescent="0.3">
      <c r="A262" s="87" t="s">
        <v>213</v>
      </c>
      <c r="B262" s="88" t="s">
        <v>65</v>
      </c>
      <c r="C262" s="6">
        <v>2.7143999999999999</v>
      </c>
      <c r="D262" s="6">
        <f t="shared" si="9"/>
        <v>14.8</v>
      </c>
      <c r="E262" s="6">
        <v>24</v>
      </c>
      <c r="F262" s="6">
        <v>28</v>
      </c>
      <c r="G262" s="15">
        <f t="shared" si="10"/>
        <v>160.69247999999999</v>
      </c>
      <c r="J262">
        <v>0</v>
      </c>
      <c r="K262">
        <v>0</v>
      </c>
      <c r="L262">
        <f>3.7*4</f>
        <v>14.8</v>
      </c>
    </row>
    <row r="263" spans="1:12" ht="15.75" thickBot="1" x14ac:dyDescent="0.3">
      <c r="A263" s="87" t="s">
        <v>175</v>
      </c>
      <c r="B263" s="88" t="s">
        <v>65</v>
      </c>
      <c r="C263" s="6">
        <v>2.7143999999999999</v>
      </c>
      <c r="D263" s="6">
        <f t="shared" si="9"/>
        <v>60.199999999999996</v>
      </c>
      <c r="E263" s="6">
        <v>22.5</v>
      </c>
      <c r="F263" s="6">
        <v>28</v>
      </c>
      <c r="G263" s="15">
        <f t="shared" si="10"/>
        <v>898.73783999999989</v>
      </c>
      <c r="J263">
        <v>1.2</v>
      </c>
      <c r="K263">
        <v>2.4</v>
      </c>
      <c r="L263">
        <f>15.95*4</f>
        <v>63.8</v>
      </c>
    </row>
    <row r="264" spans="1:12" ht="15.75" thickBot="1" x14ac:dyDescent="0.3">
      <c r="A264" s="87" t="s">
        <v>177</v>
      </c>
      <c r="B264" s="88" t="s">
        <v>65</v>
      </c>
      <c r="C264" s="6">
        <v>2.7143999999999999</v>
      </c>
      <c r="D264" s="6">
        <f t="shared" si="9"/>
        <v>29.76</v>
      </c>
      <c r="E264" s="6">
        <v>24</v>
      </c>
      <c r="F264" s="6">
        <v>28</v>
      </c>
      <c r="G264" s="15">
        <f t="shared" si="10"/>
        <v>323.12217600000002</v>
      </c>
      <c r="J264">
        <v>0</v>
      </c>
      <c r="K264">
        <v>1.2</v>
      </c>
      <c r="L264">
        <f>7.74*4</f>
        <v>30.96</v>
      </c>
    </row>
    <row r="265" spans="1:12" ht="15.75" thickBot="1" x14ac:dyDescent="0.3">
      <c r="A265" s="87" t="s">
        <v>493</v>
      </c>
      <c r="B265" s="88" t="s">
        <v>65</v>
      </c>
      <c r="C265" s="6">
        <v>2.7143999999999999</v>
      </c>
      <c r="D265" s="6">
        <f t="shared" si="9"/>
        <v>11.440000000000001</v>
      </c>
      <c r="E265" s="6">
        <v>24</v>
      </c>
      <c r="F265" s="6">
        <v>28</v>
      </c>
      <c r="G265" s="15">
        <f t="shared" si="10"/>
        <v>124.21094400000001</v>
      </c>
      <c r="J265">
        <v>0</v>
      </c>
      <c r="K265">
        <v>1.2</v>
      </c>
      <c r="L265">
        <f>3.16*4</f>
        <v>12.64</v>
      </c>
    </row>
    <row r="266" spans="1:12" ht="15.75" thickBot="1" x14ac:dyDescent="0.3">
      <c r="A266" s="87" t="s">
        <v>205</v>
      </c>
      <c r="B266" s="88" t="s">
        <v>65</v>
      </c>
      <c r="C266" s="6">
        <v>2.7143999999999999</v>
      </c>
      <c r="D266" s="6">
        <f t="shared" si="9"/>
        <v>18.720000000000002</v>
      </c>
      <c r="E266" s="6">
        <v>24</v>
      </c>
      <c r="F266" s="6">
        <v>28</v>
      </c>
      <c r="G266" s="15">
        <f>ABS(C266*D266*(F266-E266))</f>
        <v>203.25427200000001</v>
      </c>
      <c r="J266">
        <v>0</v>
      </c>
      <c r="K266">
        <v>1.2</v>
      </c>
      <c r="L266">
        <f>4.98*4</f>
        <v>19.920000000000002</v>
      </c>
    </row>
    <row r="267" spans="1:12" ht="15.75" thickBot="1" x14ac:dyDescent="0.3">
      <c r="A267" s="87" t="s">
        <v>71</v>
      </c>
      <c r="B267" s="88" t="s">
        <v>65</v>
      </c>
      <c r="C267" s="6">
        <v>2.7143999999999999</v>
      </c>
      <c r="D267" s="6">
        <f t="shared" si="9"/>
        <v>28.400000000000002</v>
      </c>
      <c r="E267" s="6">
        <v>22.5</v>
      </c>
      <c r="F267" s="6">
        <v>28</v>
      </c>
      <c r="G267" s="15">
        <f t="shared" si="10"/>
        <v>423.98928000000001</v>
      </c>
      <c r="J267">
        <v>0</v>
      </c>
      <c r="K267">
        <v>2.4</v>
      </c>
      <c r="L267">
        <f>7.7*4</f>
        <v>30.8</v>
      </c>
    </row>
    <row r="268" spans="1:12" ht="15.75" thickBot="1" x14ac:dyDescent="0.3">
      <c r="A268" s="87"/>
      <c r="B268" s="88" t="s">
        <v>479</v>
      </c>
      <c r="C268" s="6">
        <v>2.7143999999999999</v>
      </c>
      <c r="D268" s="6">
        <f t="shared" si="9"/>
        <v>13.4</v>
      </c>
      <c r="E268" s="6">
        <v>22.5</v>
      </c>
      <c r="F268" s="6">
        <v>24</v>
      </c>
      <c r="G268" s="15">
        <f t="shared" si="10"/>
        <v>54.559439999999995</v>
      </c>
      <c r="J268">
        <v>0</v>
      </c>
      <c r="K268">
        <v>1.4</v>
      </c>
      <c r="L268">
        <f>3.7*4</f>
        <v>14.8</v>
      </c>
    </row>
    <row r="269" spans="1:12" ht="15.75" thickBot="1" x14ac:dyDescent="0.3">
      <c r="A269" s="87" t="s">
        <v>479</v>
      </c>
      <c r="B269" s="88" t="s">
        <v>65</v>
      </c>
      <c r="C269" s="6">
        <v>2.7143999999999999</v>
      </c>
      <c r="D269" s="6">
        <f t="shared" si="9"/>
        <v>5.4</v>
      </c>
      <c r="E269" s="6">
        <v>24</v>
      </c>
      <c r="F269" s="6">
        <v>28</v>
      </c>
      <c r="G269" s="15">
        <f t="shared" si="10"/>
        <v>58.631039999999999</v>
      </c>
      <c r="J269">
        <v>0</v>
      </c>
      <c r="K269">
        <v>0</v>
      </c>
      <c r="L269">
        <f>1.35*4</f>
        <v>5.4</v>
      </c>
    </row>
    <row r="270" spans="1:12" ht="15.75" thickBot="1" x14ac:dyDescent="0.3">
      <c r="A270" s="87" t="s">
        <v>71</v>
      </c>
      <c r="B270" s="88" t="s">
        <v>65</v>
      </c>
      <c r="C270" s="6">
        <v>2.7143999999999999</v>
      </c>
      <c r="D270" s="6">
        <f t="shared" si="9"/>
        <v>4.4000000000000004</v>
      </c>
      <c r="E270" s="6">
        <v>22.5</v>
      </c>
      <c r="F270" s="6">
        <v>28</v>
      </c>
      <c r="G270" s="15">
        <f t="shared" si="10"/>
        <v>65.688479999999998</v>
      </c>
      <c r="J270">
        <v>0</v>
      </c>
      <c r="K270">
        <v>2.4</v>
      </c>
      <c r="L270">
        <f>1.7*4</f>
        <v>6.8</v>
      </c>
    </row>
    <row r="271" spans="1:12" ht="15.75" thickBot="1" x14ac:dyDescent="0.3">
      <c r="A271" s="87"/>
      <c r="B271" s="88" t="s">
        <v>479</v>
      </c>
      <c r="C271" s="6">
        <v>2.7143999999999999</v>
      </c>
      <c r="D271" s="6">
        <f t="shared" si="9"/>
        <v>13.4</v>
      </c>
      <c r="E271" s="6">
        <v>22.5</v>
      </c>
      <c r="F271" s="6">
        <v>24</v>
      </c>
      <c r="G271" s="15">
        <f t="shared" si="10"/>
        <v>54.559439999999995</v>
      </c>
      <c r="J271">
        <v>0</v>
      </c>
      <c r="K271">
        <v>1.4</v>
      </c>
      <c r="L271">
        <f>3.7*4</f>
        <v>14.8</v>
      </c>
    </row>
    <row r="272" spans="1:12" ht="15.75" thickBot="1" x14ac:dyDescent="0.3">
      <c r="A272" s="87" t="s">
        <v>479</v>
      </c>
      <c r="B272" s="88" t="s">
        <v>65</v>
      </c>
      <c r="C272" s="6">
        <v>2.7143999999999999</v>
      </c>
      <c r="D272" s="6">
        <f>L272-K272-J272</f>
        <v>5.4</v>
      </c>
      <c r="E272" s="6">
        <v>24</v>
      </c>
      <c r="F272" s="6">
        <v>28</v>
      </c>
      <c r="G272" s="15">
        <f t="shared" si="10"/>
        <v>58.631039999999999</v>
      </c>
      <c r="J272">
        <v>0</v>
      </c>
      <c r="K272">
        <v>0</v>
      </c>
      <c r="L272">
        <f>1.35*4</f>
        <v>5.4</v>
      </c>
    </row>
    <row r="273" spans="1:12" ht="15.75" thickBot="1" x14ac:dyDescent="0.3">
      <c r="A273" s="87" t="s">
        <v>67</v>
      </c>
      <c r="B273" s="88" t="s">
        <v>65</v>
      </c>
      <c r="C273" s="6">
        <v>2.7143999999999999</v>
      </c>
      <c r="D273" s="6">
        <f t="shared" si="9"/>
        <v>0</v>
      </c>
      <c r="E273" s="6">
        <v>22.5</v>
      </c>
      <c r="F273" s="6">
        <v>28</v>
      </c>
      <c r="G273" s="15">
        <f t="shared" si="10"/>
        <v>0</v>
      </c>
    </row>
    <row r="274" spans="1:12" ht="15.75" thickBot="1" x14ac:dyDescent="0.3">
      <c r="A274" s="87"/>
      <c r="B274" s="88" t="s">
        <v>89</v>
      </c>
      <c r="C274" s="6">
        <v>2.7143999999999999</v>
      </c>
      <c r="D274" s="6">
        <f t="shared" si="9"/>
        <v>0</v>
      </c>
      <c r="E274" s="6">
        <v>22.5</v>
      </c>
      <c r="F274" s="6">
        <v>24</v>
      </c>
      <c r="G274" s="15">
        <f t="shared" si="10"/>
        <v>0</v>
      </c>
    </row>
    <row r="275" spans="1:12" ht="15.75" thickBot="1" x14ac:dyDescent="0.3">
      <c r="A275" s="87" t="s">
        <v>89</v>
      </c>
      <c r="B275" s="88" t="s">
        <v>65</v>
      </c>
      <c r="C275" s="6">
        <v>2.7143999999999999</v>
      </c>
      <c r="D275" s="6">
        <f t="shared" si="9"/>
        <v>5.4</v>
      </c>
      <c r="E275" s="6">
        <v>24</v>
      </c>
      <c r="F275" s="6">
        <v>28</v>
      </c>
      <c r="G275" s="15">
        <f t="shared" si="10"/>
        <v>58.631039999999999</v>
      </c>
      <c r="J275">
        <v>0</v>
      </c>
      <c r="K275">
        <v>0</v>
      </c>
      <c r="L275">
        <f>1.35*4</f>
        <v>5.4</v>
      </c>
    </row>
    <row r="276" spans="1:12" ht="15.75" thickBot="1" x14ac:dyDescent="0.3">
      <c r="A276" s="87" t="s">
        <v>71</v>
      </c>
      <c r="B276" s="88" t="s">
        <v>65</v>
      </c>
      <c r="C276" s="6">
        <v>2.7143999999999999</v>
      </c>
      <c r="D276" s="6">
        <f t="shared" si="9"/>
        <v>4.4000000000000004</v>
      </c>
      <c r="E276" s="6">
        <v>22.5</v>
      </c>
      <c r="F276" s="6">
        <v>28</v>
      </c>
      <c r="G276" s="15">
        <f t="shared" si="10"/>
        <v>65.688479999999998</v>
      </c>
      <c r="J276">
        <v>0</v>
      </c>
      <c r="K276">
        <v>2.4</v>
      </c>
      <c r="L276">
        <f>1.7*4</f>
        <v>6.8</v>
      </c>
    </row>
    <row r="277" spans="1:12" ht="15.75" thickBot="1" x14ac:dyDescent="0.3">
      <c r="A277" s="87"/>
      <c r="B277" s="88" t="s">
        <v>479</v>
      </c>
      <c r="C277" s="6">
        <v>2.7143999999999999</v>
      </c>
      <c r="D277" s="6">
        <f t="shared" si="9"/>
        <v>13.4</v>
      </c>
      <c r="E277" s="6">
        <v>22.5</v>
      </c>
      <c r="F277" s="6">
        <v>24</v>
      </c>
      <c r="G277" s="15">
        <f t="shared" si="10"/>
        <v>54.559439999999995</v>
      </c>
      <c r="J277">
        <v>0</v>
      </c>
      <c r="K277">
        <v>1.4</v>
      </c>
      <c r="L277">
        <f>3.7*4</f>
        <v>14.8</v>
      </c>
    </row>
    <row r="278" spans="1:12" ht="15.75" thickBot="1" x14ac:dyDescent="0.3">
      <c r="A278" s="87" t="s">
        <v>479</v>
      </c>
      <c r="B278" s="88" t="s">
        <v>65</v>
      </c>
      <c r="C278" s="6">
        <v>2.7143999999999999</v>
      </c>
      <c r="D278" s="6">
        <f t="shared" si="9"/>
        <v>5.4</v>
      </c>
      <c r="E278" s="6">
        <v>24</v>
      </c>
      <c r="F278" s="6">
        <v>28</v>
      </c>
      <c r="G278" s="15">
        <f t="shared" si="10"/>
        <v>58.631039999999999</v>
      </c>
      <c r="J278">
        <v>0</v>
      </c>
      <c r="K278">
        <v>0</v>
      </c>
      <c r="L278">
        <f>1.35*4</f>
        <v>5.4</v>
      </c>
    </row>
    <row r="279" spans="1:12" ht="15.75" thickBot="1" x14ac:dyDescent="0.3">
      <c r="A279" s="87" t="s">
        <v>71</v>
      </c>
      <c r="B279" s="88" t="s">
        <v>65</v>
      </c>
      <c r="C279" s="6">
        <v>2.7143999999999999</v>
      </c>
      <c r="D279" s="6">
        <f t="shared" si="9"/>
        <v>4.4000000000000004</v>
      </c>
      <c r="E279" s="6">
        <v>22.5</v>
      </c>
      <c r="F279" s="6">
        <v>28</v>
      </c>
      <c r="G279" s="15">
        <f t="shared" si="10"/>
        <v>65.688479999999998</v>
      </c>
      <c r="J279">
        <v>0</v>
      </c>
      <c r="K279">
        <v>2.4</v>
      </c>
      <c r="L279">
        <f>1.7*4</f>
        <v>6.8</v>
      </c>
    </row>
    <row r="280" spans="1:12" ht="15.75" thickBot="1" x14ac:dyDescent="0.3">
      <c r="A280" s="87"/>
      <c r="B280" s="88" t="s">
        <v>479</v>
      </c>
      <c r="C280" s="6">
        <v>2.7143999999999999</v>
      </c>
      <c r="D280" s="6">
        <f t="shared" si="9"/>
        <v>13.4</v>
      </c>
      <c r="E280" s="6">
        <v>22.5</v>
      </c>
      <c r="F280" s="6">
        <v>24</v>
      </c>
      <c r="G280" s="15">
        <f t="shared" si="10"/>
        <v>54.559439999999995</v>
      </c>
      <c r="J280">
        <v>0</v>
      </c>
      <c r="K280">
        <v>1.4</v>
      </c>
      <c r="L280">
        <f>3.7*4</f>
        <v>14.8</v>
      </c>
    </row>
    <row r="281" spans="1:12" ht="15.75" thickBot="1" x14ac:dyDescent="0.3">
      <c r="A281" s="87" t="s">
        <v>479</v>
      </c>
      <c r="B281" s="88" t="s">
        <v>65</v>
      </c>
      <c r="C281" s="6">
        <v>2.7143999999999999</v>
      </c>
      <c r="D281" s="6">
        <f t="shared" si="9"/>
        <v>5.4</v>
      </c>
      <c r="E281" s="6">
        <v>24</v>
      </c>
      <c r="F281" s="6">
        <v>28</v>
      </c>
      <c r="G281" s="15">
        <f t="shared" si="10"/>
        <v>58.631039999999999</v>
      </c>
      <c r="J281">
        <v>0</v>
      </c>
      <c r="K281">
        <v>0</v>
      </c>
      <c r="L281">
        <f>1.35*4</f>
        <v>5.4</v>
      </c>
    </row>
    <row r="282" spans="1:12" ht="15.75" thickBot="1" x14ac:dyDescent="0.3">
      <c r="A282" s="87" t="s">
        <v>71</v>
      </c>
      <c r="B282" s="88" t="s">
        <v>65</v>
      </c>
      <c r="C282" s="6">
        <v>2.7143999999999999</v>
      </c>
      <c r="D282" s="6">
        <f t="shared" si="9"/>
        <v>4.4000000000000004</v>
      </c>
      <c r="E282" s="6">
        <v>22.5</v>
      </c>
      <c r="F282" s="6">
        <v>28</v>
      </c>
      <c r="G282" s="15">
        <f t="shared" si="10"/>
        <v>65.688479999999998</v>
      </c>
      <c r="J282">
        <v>0</v>
      </c>
      <c r="K282">
        <v>2.4</v>
      </c>
      <c r="L282">
        <f>1.7*4</f>
        <v>6.8</v>
      </c>
    </row>
    <row r="283" spans="1:12" ht="15.75" thickBot="1" x14ac:dyDescent="0.3">
      <c r="A283" s="87"/>
      <c r="B283" s="88" t="s">
        <v>479</v>
      </c>
      <c r="C283" s="6">
        <v>2.7143999999999999</v>
      </c>
      <c r="D283" s="6">
        <f t="shared" si="9"/>
        <v>13.4</v>
      </c>
      <c r="E283" s="6">
        <v>22.5</v>
      </c>
      <c r="F283" s="6">
        <v>24</v>
      </c>
      <c r="G283" s="15">
        <f t="shared" si="10"/>
        <v>54.559439999999995</v>
      </c>
      <c r="J283">
        <v>0</v>
      </c>
      <c r="K283">
        <v>1.4</v>
      </c>
      <c r="L283">
        <f>3.7*4</f>
        <v>14.8</v>
      </c>
    </row>
    <row r="284" spans="1:12" ht="15.75" thickBot="1" x14ac:dyDescent="0.3">
      <c r="A284" s="87" t="s">
        <v>479</v>
      </c>
      <c r="B284" s="88" t="s">
        <v>65</v>
      </c>
      <c r="C284" s="6">
        <v>2.7143999999999999</v>
      </c>
      <c r="D284" s="6">
        <f t="shared" si="9"/>
        <v>5.4</v>
      </c>
      <c r="E284" s="6">
        <v>24</v>
      </c>
      <c r="F284" s="6">
        <v>28</v>
      </c>
      <c r="G284" s="15">
        <f t="shared" si="10"/>
        <v>58.631039999999999</v>
      </c>
      <c r="J284">
        <v>0</v>
      </c>
      <c r="K284">
        <v>0</v>
      </c>
      <c r="L284">
        <f>1.35*4</f>
        <v>5.4</v>
      </c>
    </row>
    <row r="285" spans="1:12" ht="15.75" thickBot="1" x14ac:dyDescent="0.3">
      <c r="A285" s="87" t="s">
        <v>71</v>
      </c>
      <c r="B285" s="88" t="s">
        <v>65</v>
      </c>
      <c r="C285" s="6">
        <v>2.7143999999999999</v>
      </c>
      <c r="D285" s="6">
        <f t="shared" si="9"/>
        <v>4.4000000000000004</v>
      </c>
      <c r="E285" s="6">
        <v>22.5</v>
      </c>
      <c r="F285" s="6">
        <v>28</v>
      </c>
      <c r="G285" s="15">
        <f t="shared" si="10"/>
        <v>65.688479999999998</v>
      </c>
      <c r="J285">
        <v>0</v>
      </c>
      <c r="K285">
        <v>2.4</v>
      </c>
      <c r="L285">
        <f>1.7*4</f>
        <v>6.8</v>
      </c>
    </row>
    <row r="286" spans="1:12" ht="15.75" thickBot="1" x14ac:dyDescent="0.3">
      <c r="A286" s="87"/>
      <c r="B286" s="88" t="s">
        <v>479</v>
      </c>
      <c r="C286" s="6">
        <v>2.7143999999999999</v>
      </c>
      <c r="D286" s="6">
        <f t="shared" si="9"/>
        <v>13.4</v>
      </c>
      <c r="E286" s="6">
        <v>22.5</v>
      </c>
      <c r="F286" s="6">
        <v>24</v>
      </c>
      <c r="G286" s="15">
        <f t="shared" si="10"/>
        <v>54.559439999999995</v>
      </c>
      <c r="J286">
        <v>0</v>
      </c>
      <c r="K286">
        <v>1.4</v>
      </c>
      <c r="L286">
        <f>3.7*4</f>
        <v>14.8</v>
      </c>
    </row>
    <row r="287" spans="1:12" ht="15.75" thickBot="1" x14ac:dyDescent="0.3">
      <c r="A287" s="87" t="s">
        <v>479</v>
      </c>
      <c r="B287" s="88" t="s">
        <v>65</v>
      </c>
      <c r="C287" s="6">
        <v>2.7143999999999999</v>
      </c>
      <c r="D287" s="6">
        <f t="shared" si="9"/>
        <v>5.4</v>
      </c>
      <c r="E287" s="6">
        <v>24</v>
      </c>
      <c r="F287" s="6">
        <v>28</v>
      </c>
      <c r="G287" s="15">
        <f t="shared" si="10"/>
        <v>58.631039999999999</v>
      </c>
      <c r="J287">
        <v>0</v>
      </c>
      <c r="K287">
        <v>0</v>
      </c>
      <c r="L287">
        <f>1.35*4</f>
        <v>5.4</v>
      </c>
    </row>
    <row r="288" spans="1:12" ht="15.75" thickBot="1" x14ac:dyDescent="0.3">
      <c r="A288" s="87" t="s">
        <v>72</v>
      </c>
      <c r="B288" s="88" t="s">
        <v>65</v>
      </c>
      <c r="C288" s="6">
        <v>2.7143999999999999</v>
      </c>
      <c r="D288" s="6">
        <f t="shared" si="9"/>
        <v>11.799999999999999</v>
      </c>
      <c r="E288" s="6">
        <v>22.5</v>
      </c>
      <c r="F288" s="6">
        <v>28</v>
      </c>
      <c r="G288" s="15">
        <f t="shared" si="10"/>
        <v>176.16455999999999</v>
      </c>
      <c r="J288">
        <v>0.8</v>
      </c>
      <c r="K288">
        <v>2.4</v>
      </c>
      <c r="L288">
        <f>3.75*4</f>
        <v>15</v>
      </c>
    </row>
    <row r="289" spans="1:12" ht="15.75" thickBot="1" x14ac:dyDescent="0.3">
      <c r="A289" s="87"/>
      <c r="B289" s="88" t="s">
        <v>494</v>
      </c>
      <c r="C289" s="6">
        <v>2.7143999999999999</v>
      </c>
      <c r="D289" s="6">
        <f t="shared" si="9"/>
        <v>15.2</v>
      </c>
      <c r="E289" s="6">
        <v>22.5</v>
      </c>
      <c r="F289" s="6">
        <v>24</v>
      </c>
      <c r="G289" s="15">
        <f t="shared" si="10"/>
        <v>61.888319999999993</v>
      </c>
      <c r="J289">
        <v>0</v>
      </c>
      <c r="K289">
        <v>0</v>
      </c>
      <c r="L289">
        <f>3.8*4</f>
        <v>15.2</v>
      </c>
    </row>
    <row r="290" spans="1:12" ht="15.75" thickBot="1" x14ac:dyDescent="0.3">
      <c r="A290" s="87" t="s">
        <v>481</v>
      </c>
      <c r="B290" s="88" t="s">
        <v>65</v>
      </c>
      <c r="C290" s="6">
        <v>2.7143999999999999</v>
      </c>
      <c r="D290" s="6">
        <f>L290-K290-J290</f>
        <v>42.08</v>
      </c>
      <c r="E290" s="6">
        <v>22.5</v>
      </c>
      <c r="F290" s="6">
        <v>28</v>
      </c>
      <c r="G290" s="15">
        <f t="shared" si="10"/>
        <v>628.22073599999999</v>
      </c>
      <c r="J290">
        <v>0</v>
      </c>
      <c r="K290">
        <v>2.4</v>
      </c>
      <c r="L290">
        <f>11.12*4</f>
        <v>44.48</v>
      </c>
    </row>
    <row r="291" spans="1:12" ht="15.75" thickBot="1" x14ac:dyDescent="0.3">
      <c r="A291" s="87"/>
      <c r="B291" s="88" t="s">
        <v>482</v>
      </c>
      <c r="C291" s="6">
        <v>2.7143999999999999</v>
      </c>
      <c r="D291" s="6">
        <f t="shared" si="9"/>
        <v>13.4</v>
      </c>
      <c r="E291" s="6">
        <v>22.5</v>
      </c>
      <c r="F291" s="6">
        <v>24</v>
      </c>
      <c r="G291" s="15">
        <f t="shared" si="10"/>
        <v>54.559439999999995</v>
      </c>
      <c r="J291">
        <v>0</v>
      </c>
      <c r="K291">
        <v>1.4</v>
      </c>
      <c r="L291">
        <f>3.7*4</f>
        <v>14.8</v>
      </c>
    </row>
    <row r="292" spans="1:12" ht="15.75" thickBot="1" x14ac:dyDescent="0.3">
      <c r="A292" s="87"/>
      <c r="B292" s="88" t="s">
        <v>185</v>
      </c>
      <c r="C292" s="6">
        <v>2.7143999999999999</v>
      </c>
      <c r="D292" s="6">
        <f t="shared" si="9"/>
        <v>0</v>
      </c>
      <c r="E292" s="6">
        <v>22.5</v>
      </c>
      <c r="F292" s="6"/>
      <c r="G292" s="15">
        <f>ABS(C292*D292*(F292-E292))</f>
        <v>0</v>
      </c>
    </row>
    <row r="293" spans="1:12" ht="15.75" thickBot="1" x14ac:dyDescent="0.3">
      <c r="A293" s="87" t="s">
        <v>482</v>
      </c>
      <c r="B293" s="88" t="s">
        <v>65</v>
      </c>
      <c r="C293" s="6">
        <v>2.7143999999999999</v>
      </c>
      <c r="D293" s="6">
        <f t="shared" si="9"/>
        <v>9.4</v>
      </c>
      <c r="E293" s="6">
        <v>24</v>
      </c>
      <c r="F293" s="6">
        <v>28</v>
      </c>
      <c r="G293" s="15">
        <f t="shared" si="10"/>
        <v>102.06144</v>
      </c>
      <c r="J293">
        <v>0</v>
      </c>
      <c r="K293">
        <v>0</v>
      </c>
      <c r="L293">
        <f>2.35*4</f>
        <v>9.4</v>
      </c>
    </row>
    <row r="294" spans="1:12" ht="15.75" thickBot="1" x14ac:dyDescent="0.3">
      <c r="A294" s="87"/>
      <c r="B294" s="88" t="s">
        <v>71</v>
      </c>
      <c r="C294" s="6">
        <v>2.7143999999999999</v>
      </c>
      <c r="D294" s="6">
        <f t="shared" si="9"/>
        <v>5.4</v>
      </c>
      <c r="E294" s="6">
        <v>24</v>
      </c>
      <c r="F294" s="6">
        <v>22.5</v>
      </c>
      <c r="G294" s="15">
        <f t="shared" si="10"/>
        <v>21.986640000000001</v>
      </c>
      <c r="J294">
        <v>0</v>
      </c>
      <c r="K294">
        <v>0</v>
      </c>
      <c r="L294">
        <f>1.35*4</f>
        <v>5.4</v>
      </c>
    </row>
    <row r="295" spans="1:12" ht="15.75" thickBot="1" x14ac:dyDescent="0.3">
      <c r="A295" s="87" t="s">
        <v>71</v>
      </c>
      <c r="B295" s="88" t="s">
        <v>65</v>
      </c>
      <c r="C295" s="6">
        <v>2.7143999999999999</v>
      </c>
      <c r="D295" s="6">
        <f>L295-K295-J295</f>
        <v>24.76</v>
      </c>
      <c r="E295" s="6">
        <v>22.5</v>
      </c>
      <c r="F295" s="6">
        <v>28</v>
      </c>
      <c r="G295" s="15">
        <f t="shared" si="10"/>
        <v>369.64699200000001</v>
      </c>
      <c r="J295">
        <v>0</v>
      </c>
      <c r="K295">
        <v>2.4</v>
      </c>
      <c r="L295">
        <f>6.79*4</f>
        <v>27.16</v>
      </c>
    </row>
    <row r="296" spans="1:12" ht="15.75" thickBot="1" x14ac:dyDescent="0.3">
      <c r="A296" s="87"/>
      <c r="B296" s="88" t="s">
        <v>479</v>
      </c>
      <c r="C296" s="6">
        <v>2.7143999999999999</v>
      </c>
      <c r="D296" s="6">
        <f t="shared" si="9"/>
        <v>13.44</v>
      </c>
      <c r="E296" s="6">
        <v>22.5</v>
      </c>
      <c r="F296" s="6">
        <v>24</v>
      </c>
      <c r="G296" s="15">
        <f t="shared" si="10"/>
        <v>54.722303999999994</v>
      </c>
      <c r="J296">
        <v>0</v>
      </c>
      <c r="K296">
        <v>1.4</v>
      </c>
      <c r="L296">
        <f>3.71*4</f>
        <v>14.84</v>
      </c>
    </row>
    <row r="297" spans="1:12" ht="15.75" thickBot="1" x14ac:dyDescent="0.3">
      <c r="A297" s="87" t="s">
        <v>479</v>
      </c>
      <c r="B297" s="88" t="s">
        <v>65</v>
      </c>
      <c r="C297" s="6">
        <v>2.7143999999999999</v>
      </c>
      <c r="D297" s="6">
        <f t="shared" si="9"/>
        <v>5.44</v>
      </c>
      <c r="E297" s="6">
        <v>24</v>
      </c>
      <c r="F297" s="6">
        <v>28</v>
      </c>
      <c r="G297" s="15">
        <f t="shared" si="10"/>
        <v>59.065344000000003</v>
      </c>
      <c r="J297">
        <v>0</v>
      </c>
      <c r="K297">
        <v>0</v>
      </c>
      <c r="L297">
        <f>1.36*4</f>
        <v>5.44</v>
      </c>
    </row>
    <row r="298" spans="1:12" ht="15.75" thickBot="1" x14ac:dyDescent="0.3">
      <c r="A298" s="87" t="s">
        <v>71</v>
      </c>
      <c r="B298" s="88" t="s">
        <v>65</v>
      </c>
      <c r="C298" s="6">
        <v>2.7143999999999999</v>
      </c>
      <c r="D298" s="6">
        <f t="shared" si="9"/>
        <v>24.360000000000003</v>
      </c>
      <c r="E298" s="6">
        <v>22.5</v>
      </c>
      <c r="F298" s="6">
        <v>28</v>
      </c>
      <c r="G298" s="15">
        <f t="shared" si="10"/>
        <v>363.67531200000008</v>
      </c>
      <c r="J298">
        <v>0</v>
      </c>
      <c r="K298">
        <v>2.4</v>
      </c>
      <c r="L298">
        <f>6.69*4</f>
        <v>26.76</v>
      </c>
    </row>
    <row r="299" spans="1:12" ht="15.75" thickBot="1" x14ac:dyDescent="0.3">
      <c r="A299" s="87"/>
      <c r="B299" s="88" t="s">
        <v>479</v>
      </c>
      <c r="C299" s="6">
        <v>2.7143999999999999</v>
      </c>
      <c r="D299" s="6">
        <f t="shared" si="9"/>
        <v>13.36</v>
      </c>
      <c r="E299" s="6">
        <v>22.5</v>
      </c>
      <c r="F299" s="6">
        <v>24</v>
      </c>
      <c r="G299" s="15">
        <f t="shared" si="10"/>
        <v>54.396575999999996</v>
      </c>
      <c r="J299">
        <v>0</v>
      </c>
      <c r="K299">
        <v>1.4</v>
      </c>
      <c r="L299">
        <f>3.69*4</f>
        <v>14.76</v>
      </c>
    </row>
    <row r="300" spans="1:12" ht="15.75" thickBot="1" x14ac:dyDescent="0.3">
      <c r="A300" s="87" t="s">
        <v>479</v>
      </c>
      <c r="B300" s="88" t="s">
        <v>65</v>
      </c>
      <c r="C300" s="6">
        <v>2.7143999999999999</v>
      </c>
      <c r="D300" s="6">
        <f t="shared" si="9"/>
        <v>5.36</v>
      </c>
      <c r="E300" s="6">
        <v>24</v>
      </c>
      <c r="F300" s="6">
        <v>28</v>
      </c>
      <c r="G300" s="15">
        <f t="shared" si="10"/>
        <v>58.196736000000001</v>
      </c>
      <c r="J300">
        <v>0</v>
      </c>
      <c r="K300">
        <v>0</v>
      </c>
      <c r="L300">
        <f>1.34*4</f>
        <v>5.36</v>
      </c>
    </row>
    <row r="301" spans="1:12" ht="15.75" thickBot="1" x14ac:dyDescent="0.3">
      <c r="A301" s="87" t="s">
        <v>185</v>
      </c>
      <c r="B301" s="88" t="s">
        <v>65</v>
      </c>
      <c r="C301" s="6">
        <v>2.7143999999999999</v>
      </c>
      <c r="D301" s="6">
        <f t="shared" si="9"/>
        <v>0</v>
      </c>
      <c r="E301" s="6"/>
      <c r="F301" s="6">
        <v>28</v>
      </c>
      <c r="G301" s="15">
        <f t="shared" si="10"/>
        <v>0</v>
      </c>
    </row>
    <row r="302" spans="1:12" ht="15.75" thickBot="1" x14ac:dyDescent="0.3">
      <c r="A302" s="87"/>
      <c r="B302" s="88" t="s">
        <v>481</v>
      </c>
      <c r="C302" s="6">
        <v>2.7143999999999999</v>
      </c>
      <c r="D302" s="6">
        <f t="shared" si="9"/>
        <v>9.4</v>
      </c>
      <c r="E302" s="6"/>
      <c r="F302" s="6">
        <v>22.5</v>
      </c>
      <c r="G302" s="15">
        <f t="shared" si="10"/>
        <v>574.09559999999999</v>
      </c>
      <c r="J302">
        <v>0</v>
      </c>
      <c r="K302">
        <v>0</v>
      </c>
      <c r="L302">
        <f>2.35*4</f>
        <v>9.4</v>
      </c>
    </row>
    <row r="303" spans="1:12" ht="15.75" thickBot="1" x14ac:dyDescent="0.3">
      <c r="A303" s="87" t="s">
        <v>481</v>
      </c>
      <c r="B303" s="88" t="s">
        <v>65</v>
      </c>
      <c r="C303" s="6">
        <v>2.7143999999999999</v>
      </c>
      <c r="D303" s="6">
        <f t="shared" ref="D303:D310" si="11">L303-K303-J303</f>
        <v>42.2</v>
      </c>
      <c r="E303" s="6">
        <v>22.5</v>
      </c>
      <c r="F303" s="6">
        <v>28</v>
      </c>
      <c r="G303" s="15">
        <f t="shared" si="10"/>
        <v>630.01224000000002</v>
      </c>
      <c r="J303">
        <v>0</v>
      </c>
      <c r="K303">
        <v>2.4</v>
      </c>
      <c r="L303">
        <f>11.15*4</f>
        <v>44.6</v>
      </c>
    </row>
    <row r="304" spans="1:12" ht="15.75" thickBot="1" x14ac:dyDescent="0.3">
      <c r="A304" s="87"/>
      <c r="B304" s="88" t="s">
        <v>482</v>
      </c>
      <c r="C304" s="6">
        <v>2.7143999999999999</v>
      </c>
      <c r="D304" s="6">
        <f t="shared" si="11"/>
        <v>13.4</v>
      </c>
      <c r="E304" s="6">
        <v>22.5</v>
      </c>
      <c r="F304" s="6">
        <v>24</v>
      </c>
      <c r="G304" s="15">
        <f t="shared" ref="G304:G314" si="12">ABS(C304*D304*(F304-E304))</f>
        <v>54.559439999999995</v>
      </c>
      <c r="J304">
        <v>0</v>
      </c>
      <c r="K304">
        <v>1.4</v>
      </c>
      <c r="L304">
        <f>3.7*4</f>
        <v>14.8</v>
      </c>
    </row>
    <row r="305" spans="1:12" ht="15.75" thickBot="1" x14ac:dyDescent="0.3">
      <c r="A305" s="87" t="s">
        <v>482</v>
      </c>
      <c r="B305" s="88" t="s">
        <v>65</v>
      </c>
      <c r="C305" s="6">
        <v>2.7143999999999999</v>
      </c>
      <c r="D305" s="6">
        <f t="shared" si="11"/>
        <v>9.4</v>
      </c>
      <c r="E305" s="6">
        <v>24</v>
      </c>
      <c r="F305" s="6">
        <v>28</v>
      </c>
      <c r="G305" s="15">
        <f t="shared" si="12"/>
        <v>102.06144</v>
      </c>
      <c r="J305">
        <v>0</v>
      </c>
      <c r="K305">
        <v>0</v>
      </c>
      <c r="L305">
        <f>2.35*4</f>
        <v>9.4</v>
      </c>
    </row>
    <row r="306" spans="1:12" ht="15.75" thickBot="1" x14ac:dyDescent="0.3">
      <c r="A306" s="87"/>
      <c r="B306" s="88" t="s">
        <v>71</v>
      </c>
      <c r="C306" s="6">
        <v>2.7143999999999999</v>
      </c>
      <c r="D306" s="6">
        <f t="shared" si="11"/>
        <v>5.4</v>
      </c>
      <c r="E306" s="6">
        <v>24</v>
      </c>
      <c r="F306" s="6">
        <v>22.5</v>
      </c>
      <c r="G306" s="15">
        <f t="shared" si="12"/>
        <v>21.986640000000001</v>
      </c>
      <c r="J306">
        <v>0</v>
      </c>
      <c r="K306">
        <v>0</v>
      </c>
      <c r="L306">
        <f>1.35*4</f>
        <v>5.4</v>
      </c>
    </row>
    <row r="307" spans="1:12" ht="15.75" thickBot="1" x14ac:dyDescent="0.3">
      <c r="A307" s="87" t="s">
        <v>71</v>
      </c>
      <c r="B307" s="88" t="s">
        <v>65</v>
      </c>
      <c r="C307" s="6">
        <v>2.7143999999999999</v>
      </c>
      <c r="D307" s="6">
        <f t="shared" si="11"/>
        <v>24.360000000000003</v>
      </c>
      <c r="E307" s="6">
        <v>22.5</v>
      </c>
      <c r="F307" s="6">
        <v>28</v>
      </c>
      <c r="G307" s="15">
        <f t="shared" si="12"/>
        <v>363.67531200000008</v>
      </c>
      <c r="J307">
        <v>0</v>
      </c>
      <c r="K307">
        <v>2.4</v>
      </c>
      <c r="L307">
        <f>6.69*4</f>
        <v>26.76</v>
      </c>
    </row>
    <row r="308" spans="1:12" ht="15.75" thickBot="1" x14ac:dyDescent="0.3">
      <c r="A308" s="87"/>
      <c r="B308" s="88" t="s">
        <v>479</v>
      </c>
      <c r="C308" s="6">
        <v>2.7143999999999999</v>
      </c>
      <c r="D308" s="6">
        <f t="shared" si="11"/>
        <v>13.4</v>
      </c>
      <c r="E308" s="6">
        <v>22.5</v>
      </c>
      <c r="F308" s="6">
        <v>24</v>
      </c>
      <c r="G308" s="15">
        <f t="shared" si="12"/>
        <v>54.559439999999995</v>
      </c>
      <c r="J308">
        <v>0</v>
      </c>
      <c r="K308">
        <v>1.4</v>
      </c>
      <c r="L308">
        <f>3.7*4</f>
        <v>14.8</v>
      </c>
    </row>
    <row r="309" spans="1:12" ht="15.75" thickBot="1" x14ac:dyDescent="0.3">
      <c r="A309" s="87" t="s">
        <v>479</v>
      </c>
      <c r="B309" s="88" t="s">
        <v>65</v>
      </c>
      <c r="C309" s="6">
        <v>2.7143999999999999</v>
      </c>
      <c r="D309" s="6">
        <f t="shared" si="11"/>
        <v>5.4</v>
      </c>
      <c r="E309" s="6">
        <v>24</v>
      </c>
      <c r="F309" s="6">
        <v>28</v>
      </c>
      <c r="G309" s="15">
        <f t="shared" si="12"/>
        <v>58.631039999999999</v>
      </c>
      <c r="J309">
        <v>0</v>
      </c>
      <c r="K309">
        <v>0</v>
      </c>
      <c r="L309">
        <f>1.35*4</f>
        <v>5.4</v>
      </c>
    </row>
    <row r="310" spans="1:12" ht="15.75" thickBot="1" x14ac:dyDescent="0.3">
      <c r="A310" s="87" t="s">
        <v>71</v>
      </c>
      <c r="B310" s="88" t="s">
        <v>65</v>
      </c>
      <c r="C310" s="6">
        <v>2.7143999999999999</v>
      </c>
      <c r="D310" s="6">
        <f t="shared" si="11"/>
        <v>24.84</v>
      </c>
      <c r="E310" s="6">
        <v>22.5</v>
      </c>
      <c r="F310" s="6">
        <v>28</v>
      </c>
      <c r="G310" s="15">
        <f t="shared" si="12"/>
        <v>370.84132800000003</v>
      </c>
      <c r="J310">
        <v>0</v>
      </c>
      <c r="K310">
        <v>2.4</v>
      </c>
      <c r="L310">
        <f>6.81*4</f>
        <v>27.24</v>
      </c>
    </row>
    <row r="311" spans="1:12" ht="15.75" thickBot="1" x14ac:dyDescent="0.3">
      <c r="A311" s="87"/>
      <c r="B311" s="88" t="s">
        <v>479</v>
      </c>
      <c r="C311" s="6">
        <v>2.7143999999999999</v>
      </c>
      <c r="D311" s="6">
        <f>L311-K311-J311</f>
        <v>13.4</v>
      </c>
      <c r="E311" s="6">
        <v>22.5</v>
      </c>
      <c r="F311" s="6">
        <v>24</v>
      </c>
      <c r="G311" s="15">
        <f t="shared" si="12"/>
        <v>54.559439999999995</v>
      </c>
      <c r="J311">
        <v>0</v>
      </c>
      <c r="K311">
        <v>1.4</v>
      </c>
      <c r="L311">
        <f>3.7*4</f>
        <v>14.8</v>
      </c>
    </row>
    <row r="312" spans="1:12" ht="15.75" thickBot="1" x14ac:dyDescent="0.3">
      <c r="A312" s="87" t="s">
        <v>479</v>
      </c>
      <c r="B312" s="88" t="s">
        <v>65</v>
      </c>
      <c r="C312" s="6">
        <v>2.7143999999999999</v>
      </c>
      <c r="D312" s="6">
        <f t="shared" ref="D312:D323" si="13">L312-K312-J312</f>
        <v>5.4</v>
      </c>
      <c r="E312" s="6">
        <v>24</v>
      </c>
      <c r="F312" s="6">
        <v>28</v>
      </c>
      <c r="G312" s="15">
        <f t="shared" si="12"/>
        <v>58.631039999999999</v>
      </c>
      <c r="J312">
        <v>0</v>
      </c>
      <c r="K312">
        <v>0</v>
      </c>
      <c r="L312">
        <f>1.35*4</f>
        <v>5.4</v>
      </c>
    </row>
    <row r="313" spans="1:12" ht="15.75" thickBot="1" x14ac:dyDescent="0.3">
      <c r="A313" s="87" t="s">
        <v>71</v>
      </c>
      <c r="B313" s="88" t="s">
        <v>65</v>
      </c>
      <c r="C313" s="6">
        <v>2.7143999999999999</v>
      </c>
      <c r="D313" s="6">
        <f t="shared" si="13"/>
        <v>4.4000000000000004</v>
      </c>
      <c r="E313" s="6">
        <v>22.5</v>
      </c>
      <c r="F313" s="6">
        <v>28</v>
      </c>
      <c r="G313" s="15">
        <f t="shared" si="12"/>
        <v>65.688479999999998</v>
      </c>
      <c r="J313">
        <v>0</v>
      </c>
      <c r="K313">
        <v>2.4</v>
      </c>
      <c r="L313">
        <f>1.7*4</f>
        <v>6.8</v>
      </c>
    </row>
    <row r="314" spans="1:12" ht="15.75" thickBot="1" x14ac:dyDescent="0.3">
      <c r="A314" s="87"/>
      <c r="B314" s="88" t="s">
        <v>479</v>
      </c>
      <c r="C314" s="6">
        <v>2.7143999999999999</v>
      </c>
      <c r="D314" s="6">
        <f t="shared" si="13"/>
        <v>13.4</v>
      </c>
      <c r="E314" s="6">
        <v>22.5</v>
      </c>
      <c r="F314" s="6">
        <v>24</v>
      </c>
      <c r="G314" s="15">
        <f t="shared" si="12"/>
        <v>54.559439999999995</v>
      </c>
      <c r="J314">
        <v>0</v>
      </c>
      <c r="K314">
        <v>1.4</v>
      </c>
      <c r="L314">
        <f>3.7*4</f>
        <v>14.8</v>
      </c>
    </row>
    <row r="315" spans="1:12" ht="15.75" thickBot="1" x14ac:dyDescent="0.3">
      <c r="A315" s="87" t="s">
        <v>479</v>
      </c>
      <c r="B315" s="88" t="s">
        <v>65</v>
      </c>
      <c r="C315" s="6">
        <v>2.7143999999999999</v>
      </c>
      <c r="D315" s="6">
        <f t="shared" si="13"/>
        <v>5.4</v>
      </c>
      <c r="E315" s="6">
        <v>24</v>
      </c>
      <c r="F315" s="6">
        <v>28</v>
      </c>
      <c r="G315" s="15">
        <f>ABS(C315*D315*(F315-E315))</f>
        <v>58.631039999999999</v>
      </c>
      <c r="J315">
        <v>0</v>
      </c>
      <c r="K315">
        <v>0</v>
      </c>
      <c r="L315">
        <f>1.35*4</f>
        <v>5.4</v>
      </c>
    </row>
    <row r="316" spans="1:12" ht="15.75" thickBot="1" x14ac:dyDescent="0.3">
      <c r="A316" s="87" t="s">
        <v>71</v>
      </c>
      <c r="B316" s="88" t="s">
        <v>65</v>
      </c>
      <c r="C316" s="6">
        <v>2.7143999999999999</v>
      </c>
      <c r="D316" s="6">
        <f t="shared" si="13"/>
        <v>4.4000000000000004</v>
      </c>
      <c r="E316" s="6">
        <v>22.5</v>
      </c>
      <c r="F316" s="6">
        <v>28</v>
      </c>
      <c r="G316" s="15">
        <f t="shared" ref="G316:G332" si="14">ABS(C316*D316*(F316-E316))</f>
        <v>65.688479999999998</v>
      </c>
      <c r="J316">
        <v>0</v>
      </c>
      <c r="K316">
        <v>2.4</v>
      </c>
      <c r="L316">
        <f>1.7*4</f>
        <v>6.8</v>
      </c>
    </row>
    <row r="317" spans="1:12" ht="15.75" thickBot="1" x14ac:dyDescent="0.3">
      <c r="A317" s="87"/>
      <c r="B317" s="88" t="s">
        <v>479</v>
      </c>
      <c r="C317" s="6">
        <v>2.7143999999999999</v>
      </c>
      <c r="D317" s="6">
        <f t="shared" si="13"/>
        <v>13.4</v>
      </c>
      <c r="E317" s="6">
        <v>22.5</v>
      </c>
      <c r="F317" s="6">
        <v>24</v>
      </c>
      <c r="G317" s="15">
        <f t="shared" si="14"/>
        <v>54.559439999999995</v>
      </c>
      <c r="J317">
        <v>0</v>
      </c>
      <c r="K317">
        <v>1.4</v>
      </c>
      <c r="L317">
        <f>3.7*4</f>
        <v>14.8</v>
      </c>
    </row>
    <row r="318" spans="1:12" ht="15.75" thickBot="1" x14ac:dyDescent="0.3">
      <c r="A318" s="87" t="s">
        <v>479</v>
      </c>
      <c r="B318" s="88" t="s">
        <v>65</v>
      </c>
      <c r="C318" s="6">
        <v>2.7143999999999999</v>
      </c>
      <c r="D318" s="6">
        <f t="shared" si="13"/>
        <v>5.4</v>
      </c>
      <c r="E318" s="6">
        <v>24</v>
      </c>
      <c r="F318" s="6">
        <v>28</v>
      </c>
      <c r="G318" s="15">
        <f t="shared" si="14"/>
        <v>58.631039999999999</v>
      </c>
      <c r="J318">
        <v>0</v>
      </c>
      <c r="K318">
        <v>0</v>
      </c>
      <c r="L318">
        <f>1.35*4</f>
        <v>5.4</v>
      </c>
    </row>
    <row r="319" spans="1:12" ht="15.75" thickBot="1" x14ac:dyDescent="0.3">
      <c r="A319" s="87" t="s">
        <v>71</v>
      </c>
      <c r="B319" s="88" t="s">
        <v>65</v>
      </c>
      <c r="C319" s="6">
        <v>2.7143999999999999</v>
      </c>
      <c r="D319" s="6">
        <f t="shared" si="13"/>
        <v>4.4000000000000004</v>
      </c>
      <c r="E319" s="6">
        <v>22.5</v>
      </c>
      <c r="F319" s="6">
        <v>28</v>
      </c>
      <c r="G319" s="15">
        <f t="shared" si="14"/>
        <v>65.688479999999998</v>
      </c>
      <c r="J319">
        <v>0</v>
      </c>
      <c r="K319">
        <v>2.4</v>
      </c>
      <c r="L319">
        <f>1.7*4</f>
        <v>6.8</v>
      </c>
    </row>
    <row r="320" spans="1:12" ht="15.75" thickBot="1" x14ac:dyDescent="0.3">
      <c r="A320" s="87"/>
      <c r="B320" s="88" t="s">
        <v>479</v>
      </c>
      <c r="C320" s="6">
        <v>2.7143999999999999</v>
      </c>
      <c r="D320" s="6">
        <f t="shared" si="13"/>
        <v>13.4</v>
      </c>
      <c r="E320" s="6">
        <v>22.5</v>
      </c>
      <c r="F320" s="6">
        <v>24</v>
      </c>
      <c r="G320" s="15">
        <f t="shared" si="14"/>
        <v>54.559439999999995</v>
      </c>
      <c r="J320">
        <v>0</v>
      </c>
      <c r="K320">
        <v>1.4</v>
      </c>
      <c r="L320">
        <f>3.7*4</f>
        <v>14.8</v>
      </c>
    </row>
    <row r="321" spans="1:12" ht="15.75" thickBot="1" x14ac:dyDescent="0.3">
      <c r="A321" s="87" t="s">
        <v>479</v>
      </c>
      <c r="B321" s="88" t="s">
        <v>65</v>
      </c>
      <c r="C321" s="6">
        <v>2.7143999999999999</v>
      </c>
      <c r="D321" s="6">
        <f t="shared" si="13"/>
        <v>5.4</v>
      </c>
      <c r="E321" s="6">
        <v>24</v>
      </c>
      <c r="F321" s="6">
        <v>28</v>
      </c>
      <c r="G321" s="15">
        <f t="shared" si="14"/>
        <v>58.631039999999999</v>
      </c>
      <c r="J321">
        <v>0</v>
      </c>
      <c r="K321">
        <v>0</v>
      </c>
      <c r="L321">
        <f>1.35*4</f>
        <v>5.4</v>
      </c>
    </row>
    <row r="322" spans="1:12" ht="15.75" thickBot="1" x14ac:dyDescent="0.3">
      <c r="A322" s="87" t="s">
        <v>71</v>
      </c>
      <c r="B322" s="88" t="s">
        <v>65</v>
      </c>
      <c r="C322" s="6">
        <v>2.7143999999999999</v>
      </c>
      <c r="D322" s="6">
        <f t="shared" si="13"/>
        <v>4.4000000000000004</v>
      </c>
      <c r="E322" s="6">
        <v>22.5</v>
      </c>
      <c r="F322" s="6">
        <v>28</v>
      </c>
      <c r="G322" s="15">
        <f t="shared" si="14"/>
        <v>65.688479999999998</v>
      </c>
      <c r="J322">
        <v>0</v>
      </c>
      <c r="K322">
        <v>2.4</v>
      </c>
      <c r="L322">
        <f>1.7*4</f>
        <v>6.8</v>
      </c>
    </row>
    <row r="323" spans="1:12" ht="15.75" thickBot="1" x14ac:dyDescent="0.3">
      <c r="A323" s="87"/>
      <c r="B323" s="88" t="s">
        <v>479</v>
      </c>
      <c r="C323" s="6">
        <v>2.7143999999999999</v>
      </c>
      <c r="D323" s="6">
        <f t="shared" si="13"/>
        <v>13.4</v>
      </c>
      <c r="E323" s="6">
        <v>22.5</v>
      </c>
      <c r="F323" s="6">
        <v>24</v>
      </c>
      <c r="G323" s="15">
        <f t="shared" si="14"/>
        <v>54.559439999999995</v>
      </c>
      <c r="J323">
        <v>0</v>
      </c>
      <c r="K323">
        <v>1.4</v>
      </c>
      <c r="L323">
        <f>3.7*4</f>
        <v>14.8</v>
      </c>
    </row>
    <row r="324" spans="1:12" ht="15.75" thickBot="1" x14ac:dyDescent="0.3">
      <c r="A324" s="87" t="s">
        <v>479</v>
      </c>
      <c r="B324" s="88" t="s">
        <v>65</v>
      </c>
      <c r="C324" s="6">
        <v>2.7143999999999999</v>
      </c>
      <c r="D324" s="6">
        <f>L324-K324-J324</f>
        <v>5.4</v>
      </c>
      <c r="E324" s="6">
        <v>24</v>
      </c>
      <c r="F324" s="6">
        <v>28</v>
      </c>
      <c r="G324" s="15">
        <f t="shared" si="14"/>
        <v>58.631039999999999</v>
      </c>
      <c r="J324">
        <v>0</v>
      </c>
      <c r="K324">
        <v>0</v>
      </c>
      <c r="L324">
        <f>1.35*4</f>
        <v>5.4</v>
      </c>
    </row>
    <row r="325" spans="1:12" ht="15.75" thickBot="1" x14ac:dyDescent="0.3">
      <c r="A325" s="87" t="s">
        <v>72</v>
      </c>
      <c r="B325" s="88" t="s">
        <v>65</v>
      </c>
      <c r="C325" s="6">
        <v>2.7143999999999999</v>
      </c>
      <c r="D325" s="6">
        <f t="shared" ref="D325:D332" si="15">L325-K325-J325</f>
        <v>11.799999999999999</v>
      </c>
      <c r="E325" s="6">
        <v>22.5</v>
      </c>
      <c r="F325" s="6">
        <v>28</v>
      </c>
      <c r="G325" s="15">
        <f t="shared" si="14"/>
        <v>176.16455999999999</v>
      </c>
      <c r="J325">
        <v>0.8</v>
      </c>
      <c r="K325">
        <v>2.4</v>
      </c>
      <c r="L325">
        <f>3.75*4</f>
        <v>15</v>
      </c>
    </row>
    <row r="326" spans="1:12" ht="15.75" thickBot="1" x14ac:dyDescent="0.3">
      <c r="A326" s="87" t="s">
        <v>311</v>
      </c>
      <c r="B326" s="88" t="s">
        <v>65</v>
      </c>
      <c r="C326" s="6">
        <v>2.7143999999999999</v>
      </c>
      <c r="D326" s="6">
        <f t="shared" si="15"/>
        <v>52.8</v>
      </c>
      <c r="E326" s="6">
        <v>22.5</v>
      </c>
      <c r="F326" s="6">
        <v>28</v>
      </c>
      <c r="G326" s="15">
        <f t="shared" si="14"/>
        <v>788.26175999999987</v>
      </c>
      <c r="J326">
        <v>0</v>
      </c>
      <c r="K326">
        <v>3.2</v>
      </c>
      <c r="L326">
        <f>14*4</f>
        <v>56</v>
      </c>
    </row>
    <row r="327" spans="1:12" ht="15.75" thickBot="1" x14ac:dyDescent="0.3">
      <c r="A327" s="87"/>
      <c r="B327" s="88" t="s">
        <v>427</v>
      </c>
      <c r="C327" s="6">
        <v>2.7143999999999999</v>
      </c>
      <c r="D327" s="6">
        <f t="shared" si="15"/>
        <v>8.8000000000000007</v>
      </c>
      <c r="E327" s="6">
        <v>22.5</v>
      </c>
      <c r="F327" s="6">
        <v>24</v>
      </c>
      <c r="G327" s="15">
        <f t="shared" si="14"/>
        <v>35.830080000000002</v>
      </c>
      <c r="J327">
        <v>0</v>
      </c>
      <c r="K327">
        <v>3.2</v>
      </c>
      <c r="L327">
        <f>3*4</f>
        <v>12</v>
      </c>
    </row>
    <row r="328" spans="1:12" ht="15.75" thickBot="1" x14ac:dyDescent="0.3">
      <c r="A328" s="87" t="s">
        <v>77</v>
      </c>
      <c r="B328" s="88" t="s">
        <v>427</v>
      </c>
      <c r="C328" s="6">
        <v>2.7143999999999999</v>
      </c>
      <c r="D328" s="6">
        <f t="shared" si="15"/>
        <v>12</v>
      </c>
      <c r="E328" s="6">
        <v>22.5</v>
      </c>
      <c r="F328" s="6">
        <v>24</v>
      </c>
      <c r="G328" s="15">
        <f t="shared" si="14"/>
        <v>48.859200000000001</v>
      </c>
      <c r="J328">
        <v>0</v>
      </c>
      <c r="K328">
        <v>0</v>
      </c>
      <c r="L328">
        <f>3*4</f>
        <v>12</v>
      </c>
    </row>
    <row r="329" spans="1:12" ht="15.75" thickBot="1" x14ac:dyDescent="0.3">
      <c r="A329" s="87" t="s">
        <v>427</v>
      </c>
      <c r="B329" s="88" t="s">
        <v>65</v>
      </c>
      <c r="C329" s="6">
        <v>2.7143999999999999</v>
      </c>
      <c r="D329" s="6">
        <f t="shared" si="15"/>
        <v>22.4</v>
      </c>
      <c r="E329" s="6">
        <v>24</v>
      </c>
      <c r="F329" s="6">
        <v>28</v>
      </c>
      <c r="G329" s="15">
        <f t="shared" si="14"/>
        <v>243.21023999999997</v>
      </c>
      <c r="J329">
        <v>0</v>
      </c>
      <c r="K329">
        <v>0</v>
      </c>
      <c r="L329">
        <f>5.6*4</f>
        <v>22.4</v>
      </c>
    </row>
    <row r="330" spans="1:12" ht="15.75" thickBot="1" x14ac:dyDescent="0.3">
      <c r="A330" s="87" t="s">
        <v>58</v>
      </c>
      <c r="B330" s="88" t="s">
        <v>65</v>
      </c>
      <c r="C330" s="6">
        <v>2.7143999999999999</v>
      </c>
      <c r="D330" s="6">
        <f t="shared" si="15"/>
        <v>34.92</v>
      </c>
      <c r="E330" s="6">
        <v>24</v>
      </c>
      <c r="F330" s="6">
        <v>28</v>
      </c>
      <c r="G330" s="15">
        <f t="shared" si="14"/>
        <v>379.14739200000002</v>
      </c>
      <c r="J330">
        <v>0</v>
      </c>
      <c r="K330">
        <v>1.8</v>
      </c>
      <c r="L330">
        <f>9.18*4</f>
        <v>36.72</v>
      </c>
    </row>
    <row r="331" spans="1:12" ht="15.75" thickBot="1" x14ac:dyDescent="0.3">
      <c r="A331" s="87" t="s">
        <v>59</v>
      </c>
      <c r="B331" s="88" t="s">
        <v>65</v>
      </c>
      <c r="C331" s="6">
        <v>2.7143999999999999</v>
      </c>
      <c r="D331" s="6">
        <f t="shared" si="15"/>
        <v>10.719999999999999</v>
      </c>
      <c r="E331" s="6">
        <v>24</v>
      </c>
      <c r="F331" s="6">
        <v>28</v>
      </c>
      <c r="G331" s="15">
        <f t="shared" si="14"/>
        <v>116.39347199999999</v>
      </c>
      <c r="J331">
        <v>0</v>
      </c>
      <c r="K331">
        <v>1.8</v>
      </c>
      <c r="L331">
        <f>3.13*4</f>
        <v>12.52</v>
      </c>
    </row>
    <row r="332" spans="1:12" x14ac:dyDescent="0.25">
      <c r="A332" s="89" t="s">
        <v>494</v>
      </c>
      <c r="B332" s="90" t="s">
        <v>65</v>
      </c>
      <c r="C332" s="21">
        <v>2.7143999999999999</v>
      </c>
      <c r="D332" s="21">
        <f t="shared" si="15"/>
        <v>21.4</v>
      </c>
      <c r="E332" s="21">
        <v>24</v>
      </c>
      <c r="F332" s="21">
        <v>28</v>
      </c>
      <c r="G332" s="22">
        <f t="shared" si="14"/>
        <v>232.35263999999998</v>
      </c>
      <c r="L332">
        <f>21.4</f>
        <v>21.4</v>
      </c>
    </row>
  </sheetData>
  <conditionalFormatting sqref="E3:F127">
    <cfRule type="cellIs" dxfId="43" priority="7" operator="equal">
      <formula>$H$3</formula>
    </cfRule>
  </conditionalFormatting>
  <conditionalFormatting sqref="J133:L235 J238:L238">
    <cfRule type="cellIs" dxfId="42" priority="6" operator="equal">
      <formula>$H$235</formula>
    </cfRule>
  </conditionalFormatting>
  <conditionalFormatting sqref="J239:L332">
    <cfRule type="cellIs" dxfId="41" priority="1" operator="equal">
      <formula>$H$295</formula>
    </cfRule>
  </conditionalFormatting>
  <pageMargins left="0.7" right="0.7" top="0.75" bottom="0.75" header="0.3" footer="0.3"/>
  <pageSetup orientation="portrait" r:id="rId1"/>
  <ignoredErrors>
    <ignoredError sqref="L270" formula="1"/>
  </ignoredErrors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7AE1-9FE3-482A-8561-2BD5389A77B9}">
  <dimension ref="A1:K123"/>
  <sheetViews>
    <sheetView topLeftCell="A67" zoomScale="115" zoomScaleNormal="115" workbookViewId="0">
      <selection activeCell="A2" sqref="A2:I2"/>
    </sheetView>
  </sheetViews>
  <sheetFormatPr defaultRowHeight="15" x14ac:dyDescent="0.25"/>
  <cols>
    <col min="1" max="1" width="36.85546875" style="83" customWidth="1"/>
    <col min="2" max="2" width="6.85546875" style="83" customWidth="1"/>
    <col min="3" max="3" width="7" style="83" customWidth="1"/>
    <col min="4" max="4" width="5.5703125" style="83" customWidth="1"/>
    <col min="5" max="5" width="6.85546875" style="83" customWidth="1"/>
    <col min="6" max="6" width="10.140625" style="83" customWidth="1"/>
    <col min="7" max="7" width="12.140625" style="83" customWidth="1"/>
    <col min="8" max="8" width="9.28515625" style="83" customWidth="1"/>
    <col min="9" max="9" width="10" style="83" customWidth="1"/>
    <col min="10" max="11" width="9.140625" style="83"/>
  </cols>
  <sheetData>
    <row r="1" spans="1:11" ht="24.75" customHeight="1" x14ac:dyDescent="0.25">
      <c r="A1" s="130" t="s">
        <v>514</v>
      </c>
      <c r="B1" s="130"/>
      <c r="C1" s="130"/>
      <c r="D1" s="130"/>
      <c r="E1" s="130"/>
      <c r="F1" s="130"/>
      <c r="G1" s="130"/>
      <c r="H1" s="130"/>
      <c r="I1" s="130"/>
      <c r="J1" s="123"/>
      <c r="K1" s="123"/>
    </row>
    <row r="2" spans="1:11" ht="24" thickBot="1" x14ac:dyDescent="0.4">
      <c r="A2" s="92" t="s">
        <v>161</v>
      </c>
      <c r="B2" s="92"/>
      <c r="C2" s="92"/>
      <c r="D2" s="92"/>
      <c r="E2" s="92"/>
      <c r="F2" s="92"/>
      <c r="G2" s="92"/>
      <c r="H2" s="92"/>
      <c r="I2" s="92"/>
      <c r="J2" s="122"/>
      <c r="K2" s="122"/>
    </row>
    <row r="3" spans="1:11" ht="15.75" thickBot="1" x14ac:dyDescent="0.3">
      <c r="A3" s="111" t="s">
        <v>20</v>
      </c>
      <c r="B3" s="76" t="s">
        <v>495</v>
      </c>
      <c r="C3" s="76" t="s">
        <v>21</v>
      </c>
      <c r="D3" s="76" t="s">
        <v>13</v>
      </c>
      <c r="E3" s="76" t="s">
        <v>7</v>
      </c>
      <c r="F3" s="76" t="s">
        <v>22</v>
      </c>
      <c r="G3" s="76" t="s">
        <v>23</v>
      </c>
      <c r="H3" s="76" t="s">
        <v>24</v>
      </c>
      <c r="I3" s="112" t="s">
        <v>422</v>
      </c>
      <c r="K3" s="107" t="s">
        <v>496</v>
      </c>
    </row>
    <row r="4" spans="1:11" ht="15.75" thickBot="1" x14ac:dyDescent="0.3">
      <c r="A4" s="113" t="s">
        <v>56</v>
      </c>
      <c r="B4" s="114">
        <v>3</v>
      </c>
      <c r="C4" s="114">
        <f t="shared" ref="C4:C39" si="0">B4*K4</f>
        <v>24</v>
      </c>
      <c r="D4" s="114">
        <v>34.5</v>
      </c>
      <c r="E4" s="114">
        <v>22.5</v>
      </c>
      <c r="F4" s="114">
        <v>1.8136751999999999E-2</v>
      </c>
      <c r="G4" s="114">
        <v>8.4806099999999995E-3</v>
      </c>
      <c r="H4" s="114">
        <f t="shared" ref="H4:H40" si="1">1.232*C4*(D4-E4)</f>
        <v>354.81599999999997</v>
      </c>
      <c r="I4" s="115">
        <f t="shared" ref="I4:I40" si="2">3000*C4*(F4-G4)</f>
        <v>695.24222399999996</v>
      </c>
      <c r="J4" s="108"/>
      <c r="K4" s="108">
        <v>8</v>
      </c>
    </row>
    <row r="5" spans="1:11" ht="15.75" thickBot="1" x14ac:dyDescent="0.3">
      <c r="A5" s="113" t="s">
        <v>103</v>
      </c>
      <c r="B5" s="114">
        <v>6</v>
      </c>
      <c r="C5" s="114">
        <f t="shared" si="0"/>
        <v>90</v>
      </c>
      <c r="D5" s="114">
        <v>34.5</v>
      </c>
      <c r="E5" s="114">
        <v>22</v>
      </c>
      <c r="F5" s="114">
        <v>1.8136751999999999E-2</v>
      </c>
      <c r="G5" s="114">
        <v>8.2197599999999996E-3</v>
      </c>
      <c r="H5" s="114">
        <f t="shared" si="1"/>
        <v>1386</v>
      </c>
      <c r="I5" s="115">
        <f t="shared" si="2"/>
        <v>2677.5878399999997</v>
      </c>
      <c r="J5" s="108"/>
      <c r="K5" s="108">
        <v>15</v>
      </c>
    </row>
    <row r="6" spans="1:11" ht="15.75" thickBot="1" x14ac:dyDescent="0.3">
      <c r="A6" s="113" t="s">
        <v>497</v>
      </c>
      <c r="B6" s="114">
        <v>6</v>
      </c>
      <c r="C6" s="114">
        <f t="shared" si="0"/>
        <v>48</v>
      </c>
      <c r="D6" s="114">
        <v>34.5</v>
      </c>
      <c r="E6" s="114">
        <v>22.5</v>
      </c>
      <c r="F6" s="114">
        <v>1.8136751999999999E-2</v>
      </c>
      <c r="G6" s="114">
        <v>8.4806099999999995E-3</v>
      </c>
      <c r="H6" s="114">
        <f t="shared" si="1"/>
        <v>709.63199999999995</v>
      </c>
      <c r="I6" s="115">
        <f t="shared" si="2"/>
        <v>1390.4844479999999</v>
      </c>
      <c r="J6" s="108"/>
      <c r="K6" s="108">
        <v>8</v>
      </c>
    </row>
    <row r="7" spans="1:11" ht="15.75" thickBot="1" x14ac:dyDescent="0.3">
      <c r="A7" s="113" t="s">
        <v>349</v>
      </c>
      <c r="B7" s="114">
        <v>2</v>
      </c>
      <c r="C7" s="114">
        <f t="shared" si="0"/>
        <v>5</v>
      </c>
      <c r="D7" s="114">
        <v>34.5</v>
      </c>
      <c r="E7" s="114">
        <v>22.5</v>
      </c>
      <c r="F7" s="114">
        <v>1.8136751999999999E-2</v>
      </c>
      <c r="G7" s="114">
        <v>8.4806099999999995E-3</v>
      </c>
      <c r="H7" s="114">
        <f t="shared" si="1"/>
        <v>73.92</v>
      </c>
      <c r="I7" s="115">
        <f t="shared" si="2"/>
        <v>144.84213</v>
      </c>
      <c r="J7" s="108"/>
      <c r="K7" s="108">
        <v>2.5</v>
      </c>
    </row>
    <row r="8" spans="1:11" ht="15.75" thickBot="1" x14ac:dyDescent="0.3">
      <c r="A8" s="113" t="s">
        <v>351</v>
      </c>
      <c r="B8" s="114">
        <v>4</v>
      </c>
      <c r="C8" s="114">
        <f t="shared" si="0"/>
        <v>32</v>
      </c>
      <c r="D8" s="114">
        <v>34.5</v>
      </c>
      <c r="E8" s="114">
        <v>22.5</v>
      </c>
      <c r="F8" s="114">
        <v>1.8136751999999999E-2</v>
      </c>
      <c r="G8" s="114">
        <v>8.4806099999999995E-3</v>
      </c>
      <c r="H8" s="114">
        <f t="shared" si="1"/>
        <v>473.08799999999997</v>
      </c>
      <c r="I8" s="115">
        <f t="shared" si="2"/>
        <v>926.98963199999992</v>
      </c>
      <c r="J8" s="108"/>
      <c r="K8" s="108">
        <v>8</v>
      </c>
    </row>
    <row r="9" spans="1:11" ht="15.75" thickBot="1" x14ac:dyDescent="0.3">
      <c r="A9" s="113" t="s">
        <v>498</v>
      </c>
      <c r="B9" s="114">
        <v>2</v>
      </c>
      <c r="C9" s="114">
        <f t="shared" si="0"/>
        <v>5</v>
      </c>
      <c r="D9" s="114">
        <v>34.5</v>
      </c>
      <c r="E9" s="114">
        <v>22.5</v>
      </c>
      <c r="F9" s="114">
        <v>1.8136751999999999E-2</v>
      </c>
      <c r="G9" s="114">
        <v>8.4806099999999995E-3</v>
      </c>
      <c r="H9" s="114">
        <f t="shared" si="1"/>
        <v>73.92</v>
      </c>
      <c r="I9" s="115">
        <f t="shared" si="2"/>
        <v>144.84213</v>
      </c>
      <c r="J9" s="108"/>
      <c r="K9" s="108">
        <v>2.5</v>
      </c>
    </row>
    <row r="10" spans="1:11" ht="15.75" thickBot="1" x14ac:dyDescent="0.3">
      <c r="A10" s="113" t="s">
        <v>499</v>
      </c>
      <c r="B10" s="114">
        <v>5</v>
      </c>
      <c r="C10" s="114">
        <f>B10*K10</f>
        <v>40</v>
      </c>
      <c r="D10" s="114">
        <v>34.5</v>
      </c>
      <c r="E10" s="114">
        <v>22.5</v>
      </c>
      <c r="F10" s="114">
        <v>1.8136751999999999E-2</v>
      </c>
      <c r="G10" s="114">
        <v>8.4806099999999995E-3</v>
      </c>
      <c r="H10" s="114">
        <f t="shared" si="1"/>
        <v>591.36</v>
      </c>
      <c r="I10" s="115">
        <f t="shared" si="2"/>
        <v>1158.73704</v>
      </c>
      <c r="J10" s="108"/>
      <c r="K10" s="108">
        <v>8</v>
      </c>
    </row>
    <row r="11" spans="1:11" ht="15.75" thickBot="1" x14ac:dyDescent="0.3">
      <c r="A11" s="113" t="s">
        <v>500</v>
      </c>
      <c r="B11" s="114">
        <v>4</v>
      </c>
      <c r="C11" s="114">
        <f t="shared" si="0"/>
        <v>10</v>
      </c>
      <c r="D11" s="114">
        <v>34.5</v>
      </c>
      <c r="E11" s="114">
        <v>22.5</v>
      </c>
      <c r="F11" s="114">
        <v>1.8136751999999999E-2</v>
      </c>
      <c r="G11" s="114">
        <v>8.4806099999999995E-3</v>
      </c>
      <c r="H11" s="114">
        <f t="shared" si="1"/>
        <v>147.84</v>
      </c>
      <c r="I11" s="115">
        <f t="shared" si="2"/>
        <v>289.68425999999999</v>
      </c>
      <c r="J11" s="108"/>
      <c r="K11" s="108">
        <v>2.5</v>
      </c>
    </row>
    <row r="12" spans="1:11" ht="15.75" thickBot="1" x14ac:dyDescent="0.3">
      <c r="A12" s="113" t="s">
        <v>176</v>
      </c>
      <c r="B12" s="114">
        <v>6</v>
      </c>
      <c r="C12" s="114">
        <f t="shared" si="0"/>
        <v>48</v>
      </c>
      <c r="D12" s="114">
        <v>34.5</v>
      </c>
      <c r="E12" s="114">
        <v>22.5</v>
      </c>
      <c r="F12" s="114">
        <v>1.8136751999999999E-2</v>
      </c>
      <c r="G12" s="114">
        <v>8.4806099999999995E-3</v>
      </c>
      <c r="H12" s="114">
        <f t="shared" si="1"/>
        <v>709.63199999999995</v>
      </c>
      <c r="I12" s="115">
        <f>3000*C12*(F12-G12)</f>
        <v>1390.4844479999999</v>
      </c>
      <c r="J12" s="108"/>
      <c r="K12" s="108">
        <v>8</v>
      </c>
    </row>
    <row r="13" spans="1:11" ht="15.75" thickBot="1" x14ac:dyDescent="0.3">
      <c r="A13" s="113" t="s">
        <v>121</v>
      </c>
      <c r="B13" s="114">
        <v>4</v>
      </c>
      <c r="C13" s="114">
        <f t="shared" si="0"/>
        <v>40</v>
      </c>
      <c r="D13" s="114">
        <v>34.5</v>
      </c>
      <c r="E13" s="114">
        <v>22</v>
      </c>
      <c r="F13" s="114">
        <v>1.8136751999999999E-2</v>
      </c>
      <c r="G13" s="114">
        <v>8.2197599999999996E-3</v>
      </c>
      <c r="H13" s="114">
        <f t="shared" si="1"/>
        <v>616</v>
      </c>
      <c r="I13" s="115">
        <f t="shared" si="2"/>
        <v>1190.0390399999999</v>
      </c>
      <c r="J13" s="108"/>
      <c r="K13" s="108">
        <v>10</v>
      </c>
    </row>
    <row r="14" spans="1:11" ht="15.75" thickBot="1" x14ac:dyDescent="0.3">
      <c r="A14" s="113" t="s">
        <v>460</v>
      </c>
      <c r="B14" s="114">
        <v>2</v>
      </c>
      <c r="C14" s="114">
        <f t="shared" si="0"/>
        <v>5</v>
      </c>
      <c r="D14" s="114">
        <v>34.5</v>
      </c>
      <c r="E14" s="114">
        <v>22.5</v>
      </c>
      <c r="F14" s="114">
        <v>1.8136751999999999E-2</v>
      </c>
      <c r="G14" s="114">
        <v>8.4806099999999995E-3</v>
      </c>
      <c r="H14" s="114">
        <f t="shared" si="1"/>
        <v>73.92</v>
      </c>
      <c r="I14" s="115">
        <f t="shared" si="2"/>
        <v>144.84213</v>
      </c>
      <c r="J14" s="108"/>
      <c r="K14" s="108">
        <v>2.5</v>
      </c>
    </row>
    <row r="15" spans="1:11" ht="15.75" thickBot="1" x14ac:dyDescent="0.3">
      <c r="A15" s="113" t="s">
        <v>460</v>
      </c>
      <c r="B15" s="114">
        <v>2</v>
      </c>
      <c r="C15" s="114">
        <f t="shared" si="0"/>
        <v>5</v>
      </c>
      <c r="D15" s="114">
        <v>34.5</v>
      </c>
      <c r="E15" s="114">
        <v>22.5</v>
      </c>
      <c r="F15" s="114">
        <v>1.8136751999999999E-2</v>
      </c>
      <c r="G15" s="114">
        <v>8.4806099999999995E-3</v>
      </c>
      <c r="H15" s="114">
        <f t="shared" si="1"/>
        <v>73.92</v>
      </c>
      <c r="I15" s="115">
        <f t="shared" si="2"/>
        <v>144.84213</v>
      </c>
      <c r="J15" s="108"/>
      <c r="K15" s="108">
        <v>2.5</v>
      </c>
    </row>
    <row r="16" spans="1:11" ht="15.75" thickBot="1" x14ac:dyDescent="0.3">
      <c r="A16" s="113" t="s">
        <v>464</v>
      </c>
      <c r="B16" s="114">
        <v>3</v>
      </c>
      <c r="C16" s="114">
        <f t="shared" si="0"/>
        <v>7.5</v>
      </c>
      <c r="D16" s="114">
        <v>34.5</v>
      </c>
      <c r="E16" s="114">
        <v>22.5</v>
      </c>
      <c r="F16" s="114">
        <v>1.8136751999999999E-2</v>
      </c>
      <c r="G16" s="114">
        <v>8.4806099999999995E-3</v>
      </c>
      <c r="H16" s="114">
        <f t="shared" si="1"/>
        <v>110.88</v>
      </c>
      <c r="I16" s="115">
        <f>3000*C16*(F16-G16)</f>
        <v>217.263195</v>
      </c>
      <c r="J16" s="108"/>
      <c r="K16" s="108">
        <v>2.5</v>
      </c>
    </row>
    <row r="17" spans="1:11" ht="15.75" thickBot="1" x14ac:dyDescent="0.3">
      <c r="A17" s="113" t="s">
        <v>464</v>
      </c>
      <c r="B17" s="114">
        <v>3</v>
      </c>
      <c r="C17" s="114">
        <f t="shared" si="0"/>
        <v>7.5</v>
      </c>
      <c r="D17" s="114">
        <v>34.5</v>
      </c>
      <c r="E17" s="114">
        <v>22.5</v>
      </c>
      <c r="F17" s="114">
        <v>1.8136751999999999E-2</v>
      </c>
      <c r="G17" s="114">
        <v>8.4806099999999995E-3</v>
      </c>
      <c r="H17" s="114">
        <f t="shared" si="1"/>
        <v>110.88</v>
      </c>
      <c r="I17" s="115">
        <f t="shared" si="2"/>
        <v>217.263195</v>
      </c>
      <c r="J17" s="108"/>
      <c r="K17" s="108">
        <v>2.5</v>
      </c>
    </row>
    <row r="18" spans="1:11" ht="15.75" thickBot="1" x14ac:dyDescent="0.3">
      <c r="A18" s="113" t="s">
        <v>77</v>
      </c>
      <c r="B18" s="114">
        <v>1</v>
      </c>
      <c r="C18" s="114">
        <f t="shared" si="0"/>
        <v>2.5</v>
      </c>
      <c r="D18" s="114">
        <v>34.5</v>
      </c>
      <c r="E18" s="114">
        <v>22.5</v>
      </c>
      <c r="F18" s="114">
        <v>1.8136751999999999E-2</v>
      </c>
      <c r="G18" s="114">
        <v>8.4806099999999995E-3</v>
      </c>
      <c r="H18" s="114">
        <f t="shared" si="1"/>
        <v>36.96</v>
      </c>
      <c r="I18" s="115">
        <f t="shared" si="2"/>
        <v>72.421064999999999</v>
      </c>
      <c r="J18" s="108"/>
      <c r="K18" s="108">
        <v>2.5</v>
      </c>
    </row>
    <row r="19" spans="1:11" ht="15.75" thickBot="1" x14ac:dyDescent="0.3">
      <c r="A19" s="113" t="s">
        <v>76</v>
      </c>
      <c r="B19" s="114">
        <v>1</v>
      </c>
      <c r="C19" s="114">
        <f>B19*K19</f>
        <v>2.5</v>
      </c>
      <c r="D19" s="114">
        <v>34.5</v>
      </c>
      <c r="E19" s="114">
        <v>22.5</v>
      </c>
      <c r="F19" s="114">
        <v>1.8136751999999999E-2</v>
      </c>
      <c r="G19" s="114">
        <v>8.4806099999999995E-3</v>
      </c>
      <c r="H19" s="114">
        <f t="shared" si="1"/>
        <v>36.96</v>
      </c>
      <c r="I19" s="115">
        <f t="shared" si="2"/>
        <v>72.421064999999999</v>
      </c>
      <c r="J19" s="108"/>
      <c r="K19" s="108">
        <v>2.5</v>
      </c>
    </row>
    <row r="20" spans="1:11" ht="15.75" thickBot="1" x14ac:dyDescent="0.3">
      <c r="A20" s="113" t="s">
        <v>73</v>
      </c>
      <c r="B20" s="114">
        <v>1</v>
      </c>
      <c r="C20" s="114">
        <f t="shared" si="0"/>
        <v>2.5</v>
      </c>
      <c r="D20" s="114">
        <v>34.5</v>
      </c>
      <c r="E20" s="114">
        <v>22.5</v>
      </c>
      <c r="F20" s="114">
        <v>1.8136751999999999E-2</v>
      </c>
      <c r="G20" s="114">
        <v>8.4806099999999995E-3</v>
      </c>
      <c r="H20" s="114">
        <f t="shared" si="1"/>
        <v>36.96</v>
      </c>
      <c r="I20" s="115">
        <f t="shared" si="2"/>
        <v>72.421064999999999</v>
      </c>
      <c r="J20" s="108"/>
      <c r="K20" s="108">
        <v>2.5</v>
      </c>
    </row>
    <row r="21" spans="1:11" ht="15.75" thickBot="1" x14ac:dyDescent="0.3">
      <c r="A21" s="113" t="s">
        <v>453</v>
      </c>
      <c r="B21" s="114">
        <v>5</v>
      </c>
      <c r="C21" s="114">
        <f t="shared" si="0"/>
        <v>12.5</v>
      </c>
      <c r="D21" s="114">
        <v>34.5</v>
      </c>
      <c r="E21" s="114">
        <v>22.5</v>
      </c>
      <c r="F21" s="114">
        <v>1.8136751999999999E-2</v>
      </c>
      <c r="G21" s="114">
        <v>8.4806099999999995E-3</v>
      </c>
      <c r="H21" s="114">
        <f t="shared" si="1"/>
        <v>184.8</v>
      </c>
      <c r="I21" s="115">
        <f t="shared" si="2"/>
        <v>362.10532499999999</v>
      </c>
      <c r="J21" s="108"/>
      <c r="K21" s="108">
        <v>2.5</v>
      </c>
    </row>
    <row r="22" spans="1:11" ht="15.75" thickBot="1" x14ac:dyDescent="0.3">
      <c r="A22" s="113" t="s">
        <v>452</v>
      </c>
      <c r="B22" s="114">
        <v>3</v>
      </c>
      <c r="C22" s="114">
        <f t="shared" si="0"/>
        <v>24</v>
      </c>
      <c r="D22" s="114">
        <v>34.5</v>
      </c>
      <c r="E22" s="114">
        <v>22.5</v>
      </c>
      <c r="F22" s="114">
        <v>1.8136751999999999E-2</v>
      </c>
      <c r="G22" s="114">
        <v>8.4806099999999995E-3</v>
      </c>
      <c r="H22" s="114">
        <f t="shared" si="1"/>
        <v>354.81599999999997</v>
      </c>
      <c r="I22" s="115">
        <f t="shared" si="2"/>
        <v>695.24222399999996</v>
      </c>
      <c r="J22" s="108"/>
      <c r="K22" s="108">
        <v>8</v>
      </c>
    </row>
    <row r="23" spans="1:11" ht="15.75" thickBot="1" x14ac:dyDescent="0.3">
      <c r="A23" s="113" t="s">
        <v>501</v>
      </c>
      <c r="B23" s="114">
        <v>4</v>
      </c>
      <c r="C23" s="114">
        <f t="shared" si="0"/>
        <v>32</v>
      </c>
      <c r="D23" s="114">
        <v>34.5</v>
      </c>
      <c r="E23" s="114">
        <v>22.5</v>
      </c>
      <c r="F23" s="114">
        <v>1.8136751999999999E-2</v>
      </c>
      <c r="G23" s="114">
        <v>8.4806099999999995E-3</v>
      </c>
      <c r="H23" s="114">
        <f t="shared" si="1"/>
        <v>473.08799999999997</v>
      </c>
      <c r="I23" s="115">
        <f t="shared" si="2"/>
        <v>926.98963199999992</v>
      </c>
      <c r="J23" s="108"/>
      <c r="K23" s="108">
        <v>8</v>
      </c>
    </row>
    <row r="24" spans="1:11" ht="15.75" thickBot="1" x14ac:dyDescent="0.3">
      <c r="A24" s="113" t="s">
        <v>461</v>
      </c>
      <c r="B24" s="114">
        <v>2</v>
      </c>
      <c r="C24" s="114">
        <f t="shared" si="0"/>
        <v>5</v>
      </c>
      <c r="D24" s="114">
        <v>34.5</v>
      </c>
      <c r="E24" s="114">
        <v>22.5</v>
      </c>
      <c r="F24" s="114">
        <v>1.8136751999999999E-2</v>
      </c>
      <c r="G24" s="114">
        <v>8.4806099999999995E-3</v>
      </c>
      <c r="H24" s="114">
        <f t="shared" si="1"/>
        <v>73.92</v>
      </c>
      <c r="I24" s="115">
        <f t="shared" si="2"/>
        <v>144.84213</v>
      </c>
      <c r="J24" s="108"/>
      <c r="K24" s="108">
        <v>2.5</v>
      </c>
    </row>
    <row r="25" spans="1:11" ht="15.75" thickBot="1" x14ac:dyDescent="0.3">
      <c r="A25" s="113" t="s">
        <v>461</v>
      </c>
      <c r="B25" s="114">
        <v>2</v>
      </c>
      <c r="C25" s="114">
        <f t="shared" si="0"/>
        <v>5</v>
      </c>
      <c r="D25" s="114">
        <v>34.5</v>
      </c>
      <c r="E25" s="114">
        <v>22.5</v>
      </c>
      <c r="F25" s="114">
        <v>1.8136751999999999E-2</v>
      </c>
      <c r="G25" s="114">
        <v>8.4806099999999995E-3</v>
      </c>
      <c r="H25" s="114">
        <f t="shared" si="1"/>
        <v>73.92</v>
      </c>
      <c r="I25" s="115">
        <f t="shared" si="2"/>
        <v>144.84213</v>
      </c>
      <c r="J25" s="108"/>
      <c r="K25" s="108">
        <v>2.5</v>
      </c>
    </row>
    <row r="26" spans="1:11" ht="15.75" thickBot="1" x14ac:dyDescent="0.3">
      <c r="A26" s="113" t="s">
        <v>505</v>
      </c>
      <c r="B26" s="114">
        <v>3</v>
      </c>
      <c r="C26" s="114">
        <f t="shared" si="0"/>
        <v>0</v>
      </c>
      <c r="D26" s="114">
        <v>34.5</v>
      </c>
      <c r="E26" s="114">
        <v>22.5</v>
      </c>
      <c r="F26" s="114">
        <v>1.8136751999999999E-2</v>
      </c>
      <c r="G26" s="114">
        <v>8.4806099999999995E-3</v>
      </c>
      <c r="H26" s="114">
        <f t="shared" si="1"/>
        <v>0</v>
      </c>
      <c r="I26" s="115">
        <f>3000*C26*(F26-G26)</f>
        <v>0</v>
      </c>
      <c r="J26" s="108"/>
      <c r="K26" s="108"/>
    </row>
    <row r="27" spans="1:11" ht="15.75" thickBot="1" x14ac:dyDescent="0.3">
      <c r="A27" s="113" t="s">
        <v>465</v>
      </c>
      <c r="B27" s="114">
        <v>2</v>
      </c>
      <c r="C27" s="114">
        <f t="shared" si="0"/>
        <v>5</v>
      </c>
      <c r="D27" s="114">
        <v>34.5</v>
      </c>
      <c r="E27" s="114">
        <v>22.5</v>
      </c>
      <c r="F27" s="114">
        <v>1.8136751999999999E-2</v>
      </c>
      <c r="G27" s="114">
        <v>8.4806099999999995E-3</v>
      </c>
      <c r="H27" s="114">
        <f t="shared" si="1"/>
        <v>73.92</v>
      </c>
      <c r="I27" s="115">
        <f t="shared" si="2"/>
        <v>144.84213</v>
      </c>
      <c r="J27" s="108"/>
      <c r="K27" s="108">
        <v>2.5</v>
      </c>
    </row>
    <row r="28" spans="1:11" ht="15.75" thickBot="1" x14ac:dyDescent="0.3">
      <c r="A28" s="113" t="s">
        <v>465</v>
      </c>
      <c r="B28" s="114">
        <v>2</v>
      </c>
      <c r="C28" s="114">
        <f>B28*K28</f>
        <v>5</v>
      </c>
      <c r="D28" s="114">
        <v>34.5</v>
      </c>
      <c r="E28" s="114">
        <v>22.5</v>
      </c>
      <c r="F28" s="114">
        <v>1.8136751999999999E-2</v>
      </c>
      <c r="G28" s="114">
        <v>8.4806099999999995E-3</v>
      </c>
      <c r="H28" s="114">
        <f t="shared" si="1"/>
        <v>73.92</v>
      </c>
      <c r="I28" s="115">
        <f t="shared" si="2"/>
        <v>144.84213</v>
      </c>
      <c r="J28" s="108"/>
      <c r="K28" s="108">
        <v>2.5</v>
      </c>
    </row>
    <row r="29" spans="1:11" ht="15.75" thickBot="1" x14ac:dyDescent="0.3">
      <c r="A29" s="113" t="s">
        <v>373</v>
      </c>
      <c r="B29" s="114">
        <v>2</v>
      </c>
      <c r="C29" s="114">
        <f t="shared" si="0"/>
        <v>5</v>
      </c>
      <c r="D29" s="114">
        <v>34.5</v>
      </c>
      <c r="E29" s="114">
        <v>22.5</v>
      </c>
      <c r="F29" s="114">
        <v>1.8136751999999999E-2</v>
      </c>
      <c r="G29" s="114">
        <v>8.4806099999999995E-3</v>
      </c>
      <c r="H29" s="114">
        <f t="shared" si="1"/>
        <v>73.92</v>
      </c>
      <c r="I29" s="115">
        <f t="shared" si="2"/>
        <v>144.84213</v>
      </c>
      <c r="J29" s="108"/>
      <c r="K29" s="108">
        <v>2.5</v>
      </c>
    </row>
    <row r="30" spans="1:11" ht="15.75" thickBot="1" x14ac:dyDescent="0.3">
      <c r="A30" s="113" t="s">
        <v>371</v>
      </c>
      <c r="B30" s="114">
        <v>2</v>
      </c>
      <c r="C30" s="114">
        <f t="shared" si="0"/>
        <v>5</v>
      </c>
      <c r="D30" s="114">
        <v>34.5</v>
      </c>
      <c r="E30" s="114">
        <v>22.5</v>
      </c>
      <c r="F30" s="114">
        <v>1.8136751999999999E-2</v>
      </c>
      <c r="G30" s="114">
        <v>8.4806099999999995E-3</v>
      </c>
      <c r="H30" s="114">
        <f t="shared" si="1"/>
        <v>73.92</v>
      </c>
      <c r="I30" s="115">
        <f t="shared" si="2"/>
        <v>144.84213</v>
      </c>
      <c r="J30" s="108"/>
      <c r="K30" s="108">
        <v>2.5</v>
      </c>
    </row>
    <row r="31" spans="1:11" ht="15.75" thickBot="1" x14ac:dyDescent="0.3">
      <c r="A31" s="113" t="s">
        <v>374</v>
      </c>
      <c r="B31" s="114">
        <v>3</v>
      </c>
      <c r="C31" s="114">
        <f t="shared" si="0"/>
        <v>7.5</v>
      </c>
      <c r="D31" s="114">
        <v>34.5</v>
      </c>
      <c r="E31" s="114">
        <v>22.5</v>
      </c>
      <c r="F31" s="114">
        <v>1.8136751999999999E-2</v>
      </c>
      <c r="G31" s="114">
        <v>8.4806099999999995E-3</v>
      </c>
      <c r="H31" s="114">
        <f t="shared" si="1"/>
        <v>110.88</v>
      </c>
      <c r="I31" s="115">
        <f t="shared" si="2"/>
        <v>217.263195</v>
      </c>
      <c r="J31" s="108"/>
      <c r="K31" s="108">
        <v>2.5</v>
      </c>
    </row>
    <row r="32" spans="1:11" ht="15.75" thickBot="1" x14ac:dyDescent="0.3">
      <c r="A32" s="113" t="s">
        <v>504</v>
      </c>
      <c r="B32" s="114">
        <v>3</v>
      </c>
      <c r="C32" s="114">
        <f t="shared" si="0"/>
        <v>7.5</v>
      </c>
      <c r="D32" s="114">
        <v>34.5</v>
      </c>
      <c r="E32" s="114">
        <v>22.5</v>
      </c>
      <c r="F32" s="114">
        <v>1.8136751999999999E-2</v>
      </c>
      <c r="G32" s="114">
        <v>8.4806099999999995E-3</v>
      </c>
      <c r="H32" s="114">
        <f t="shared" si="1"/>
        <v>110.88</v>
      </c>
      <c r="I32" s="115">
        <f t="shared" si="2"/>
        <v>217.263195</v>
      </c>
      <c r="J32" s="108"/>
      <c r="K32" s="108">
        <v>2.5</v>
      </c>
    </row>
    <row r="33" spans="1:11" ht="15.75" thickBot="1" x14ac:dyDescent="0.3">
      <c r="A33" s="113" t="s">
        <v>462</v>
      </c>
      <c r="B33" s="114"/>
      <c r="C33" s="114">
        <f>B33*K33</f>
        <v>0</v>
      </c>
      <c r="D33" s="114">
        <v>34.5</v>
      </c>
      <c r="E33" s="114">
        <v>22.5</v>
      </c>
      <c r="F33" s="114">
        <v>1.8136751999999999E-2</v>
      </c>
      <c r="G33" s="114">
        <v>8.4806099999999995E-3</v>
      </c>
      <c r="H33" s="114">
        <f t="shared" si="1"/>
        <v>0</v>
      </c>
      <c r="I33" s="115">
        <f t="shared" si="2"/>
        <v>0</v>
      </c>
      <c r="J33" s="108"/>
      <c r="K33" s="108"/>
    </row>
    <row r="34" spans="1:11" ht="15.75" thickBot="1" x14ac:dyDescent="0.3">
      <c r="A34" s="113" t="s">
        <v>36</v>
      </c>
      <c r="B34" s="114">
        <v>4</v>
      </c>
      <c r="C34" s="114">
        <f t="shared" si="0"/>
        <v>32</v>
      </c>
      <c r="D34" s="114">
        <v>34.5</v>
      </c>
      <c r="E34" s="114">
        <v>22.5</v>
      </c>
      <c r="F34" s="114">
        <v>1.8136751999999999E-2</v>
      </c>
      <c r="G34" s="114">
        <v>8.4806099999999995E-3</v>
      </c>
      <c r="H34" s="114">
        <f t="shared" si="1"/>
        <v>473.08799999999997</v>
      </c>
      <c r="I34" s="115">
        <f t="shared" si="2"/>
        <v>926.98963199999992</v>
      </c>
      <c r="J34" s="108"/>
      <c r="K34" s="108">
        <v>8</v>
      </c>
    </row>
    <row r="35" spans="1:11" ht="15.75" thickBot="1" x14ac:dyDescent="0.3">
      <c r="A35" s="113" t="s">
        <v>468</v>
      </c>
      <c r="B35" s="114">
        <v>2</v>
      </c>
      <c r="C35" s="114">
        <f t="shared" si="0"/>
        <v>5</v>
      </c>
      <c r="D35" s="114">
        <v>34.5</v>
      </c>
      <c r="E35" s="114">
        <v>22.5</v>
      </c>
      <c r="F35" s="114">
        <v>1.8136751999999999E-2</v>
      </c>
      <c r="G35" s="114">
        <v>8.4806099999999995E-3</v>
      </c>
      <c r="H35" s="114">
        <f t="shared" si="1"/>
        <v>73.92</v>
      </c>
      <c r="I35" s="115">
        <f t="shared" si="2"/>
        <v>144.84213</v>
      </c>
      <c r="J35" s="108"/>
      <c r="K35" s="108">
        <v>2.5</v>
      </c>
    </row>
    <row r="36" spans="1:11" ht="15.75" thickBot="1" x14ac:dyDescent="0.3">
      <c r="A36" s="113" t="s">
        <v>502</v>
      </c>
      <c r="B36" s="114">
        <v>3</v>
      </c>
      <c r="C36" s="114">
        <f t="shared" si="0"/>
        <v>7.5</v>
      </c>
      <c r="D36" s="114">
        <v>34.5</v>
      </c>
      <c r="E36" s="114">
        <v>22.5</v>
      </c>
      <c r="F36" s="114">
        <v>1.8136751999999999E-2</v>
      </c>
      <c r="G36" s="114">
        <v>8.4806099999999995E-3</v>
      </c>
      <c r="H36" s="114">
        <f>1.232*C36*(D36-E36)</f>
        <v>110.88</v>
      </c>
      <c r="I36" s="115">
        <f>3000*C36*(F36-G36)</f>
        <v>217.263195</v>
      </c>
      <c r="J36" s="108"/>
      <c r="K36" s="108">
        <v>2.5</v>
      </c>
    </row>
    <row r="37" spans="1:11" ht="15.75" thickBot="1" x14ac:dyDescent="0.3">
      <c r="A37" s="113" t="s">
        <v>116</v>
      </c>
      <c r="B37" s="114">
        <v>3</v>
      </c>
      <c r="C37" s="114">
        <f t="shared" si="0"/>
        <v>0</v>
      </c>
      <c r="D37" s="114">
        <v>34.5</v>
      </c>
      <c r="E37" s="114">
        <v>22.5</v>
      </c>
      <c r="F37" s="114">
        <v>1.8136751999999999E-2</v>
      </c>
      <c r="G37" s="114">
        <v>8.4806099999999995E-3</v>
      </c>
      <c r="H37" s="114">
        <f t="shared" si="1"/>
        <v>0</v>
      </c>
      <c r="I37" s="115">
        <f t="shared" si="2"/>
        <v>0</v>
      </c>
      <c r="J37" s="108"/>
      <c r="K37" s="108"/>
    </row>
    <row r="38" spans="1:11" ht="15.75" thickBot="1" x14ac:dyDescent="0.3">
      <c r="A38" s="113" t="s">
        <v>389</v>
      </c>
      <c r="B38" s="114">
        <v>8</v>
      </c>
      <c r="C38" s="114">
        <f t="shared" si="0"/>
        <v>64</v>
      </c>
      <c r="D38" s="114">
        <v>34.5</v>
      </c>
      <c r="E38" s="114">
        <v>22.5</v>
      </c>
      <c r="F38" s="114">
        <v>1.8136751999999999E-2</v>
      </c>
      <c r="G38" s="114">
        <v>8.4806099999999995E-3</v>
      </c>
      <c r="H38" s="114">
        <f t="shared" si="1"/>
        <v>946.17599999999993</v>
      </c>
      <c r="I38" s="115">
        <f t="shared" si="2"/>
        <v>1853.9792639999998</v>
      </c>
      <c r="J38" s="108"/>
      <c r="K38" s="108">
        <v>8</v>
      </c>
    </row>
    <row r="39" spans="1:11" ht="15.75" thickBot="1" x14ac:dyDescent="0.3">
      <c r="A39" s="113" t="s">
        <v>503</v>
      </c>
      <c r="B39" s="114">
        <v>4</v>
      </c>
      <c r="C39" s="114">
        <f t="shared" si="0"/>
        <v>10</v>
      </c>
      <c r="D39" s="114">
        <v>34.5</v>
      </c>
      <c r="E39" s="114">
        <v>22.5</v>
      </c>
      <c r="F39" s="114">
        <v>1.8136751999999999E-2</v>
      </c>
      <c r="G39" s="114">
        <v>8.4806099999999995E-3</v>
      </c>
      <c r="H39" s="114">
        <f t="shared" si="1"/>
        <v>147.84</v>
      </c>
      <c r="I39" s="115">
        <f t="shared" si="2"/>
        <v>289.68425999999999</v>
      </c>
      <c r="J39" s="108"/>
      <c r="K39" s="108">
        <v>2.5</v>
      </c>
    </row>
    <row r="40" spans="1:11" x14ac:dyDescent="0.25">
      <c r="A40" s="116" t="s">
        <v>31</v>
      </c>
      <c r="B40" s="117">
        <v>20</v>
      </c>
      <c r="C40" s="117">
        <f>B40*K40</f>
        <v>160</v>
      </c>
      <c r="D40" s="117">
        <v>34.5</v>
      </c>
      <c r="E40" s="117">
        <v>24</v>
      </c>
      <c r="F40" s="117">
        <v>1.8136751999999999E-2</v>
      </c>
      <c r="G40" s="117">
        <v>9.2932350000000004E-3</v>
      </c>
      <c r="H40" s="117">
        <f t="shared" si="1"/>
        <v>2069.7600000000002</v>
      </c>
      <c r="I40" s="118">
        <f t="shared" si="2"/>
        <v>4244.8881599999995</v>
      </c>
      <c r="J40" s="108"/>
      <c r="K40" s="108">
        <v>8</v>
      </c>
    </row>
    <row r="43" spans="1:11" ht="24" thickBot="1" x14ac:dyDescent="0.4">
      <c r="A43" s="92" t="s">
        <v>42</v>
      </c>
      <c r="B43" s="92"/>
      <c r="C43" s="92"/>
      <c r="D43" s="92"/>
      <c r="E43" s="92"/>
      <c r="F43" s="92"/>
      <c r="G43" s="92"/>
      <c r="H43" s="92"/>
      <c r="I43" s="92"/>
      <c r="J43" s="122"/>
      <c r="K43" s="122"/>
    </row>
    <row r="44" spans="1:11" ht="15.75" thickBot="1" x14ac:dyDescent="0.3">
      <c r="A44" s="119" t="s">
        <v>20</v>
      </c>
      <c r="B44" s="120" t="s">
        <v>506</v>
      </c>
      <c r="C44" s="120" t="s">
        <v>21</v>
      </c>
      <c r="D44" s="120" t="s">
        <v>13</v>
      </c>
      <c r="E44" s="120" t="s">
        <v>7</v>
      </c>
      <c r="F44" s="120" t="s">
        <v>22</v>
      </c>
      <c r="G44" s="120" t="s">
        <v>23</v>
      </c>
      <c r="H44" s="120" t="s">
        <v>507</v>
      </c>
      <c r="I44" s="121" t="s">
        <v>508</v>
      </c>
      <c r="J44" s="110"/>
      <c r="K44" s="109" t="s">
        <v>496</v>
      </c>
    </row>
    <row r="45" spans="1:11" ht="15.75" thickBot="1" x14ac:dyDescent="0.3">
      <c r="A45" s="113" t="s">
        <v>124</v>
      </c>
      <c r="B45" s="114">
        <v>5</v>
      </c>
      <c r="C45" s="114">
        <f>B45*K45</f>
        <v>65</v>
      </c>
      <c r="D45" s="114">
        <v>34.5</v>
      </c>
      <c r="E45" s="114">
        <v>22.5</v>
      </c>
      <c r="F45" s="114">
        <v>1.813675E-2</v>
      </c>
      <c r="G45" s="114">
        <f>_xlfn.IFS(E45=22.5,0.00848061,E45=22,0.00821976,E45=24,0.00929323)</f>
        <v>8.4806099999999995E-3</v>
      </c>
      <c r="H45" s="114">
        <f>1.232*C45*(D45-E45)</f>
        <v>960.96</v>
      </c>
      <c r="I45" s="115">
        <f>3000*C45*(F45-G45)</f>
        <v>1882.9473</v>
      </c>
      <c r="J45" s="110"/>
      <c r="K45" s="110">
        <v>13</v>
      </c>
    </row>
    <row r="46" spans="1:11" ht="15.75" thickBot="1" x14ac:dyDescent="0.3">
      <c r="A46" s="113" t="s">
        <v>170</v>
      </c>
      <c r="B46" s="114">
        <v>5</v>
      </c>
      <c r="C46" s="114">
        <f t="shared" ref="C46:C89" si="3">B46*K46</f>
        <v>65</v>
      </c>
      <c r="D46" s="114">
        <v>34.5</v>
      </c>
      <c r="E46" s="114">
        <v>22.5</v>
      </c>
      <c r="F46" s="114">
        <v>1.813675E-2</v>
      </c>
      <c r="G46" s="114">
        <f t="shared" ref="G46:G89" si="4">_xlfn.IFS(E46=22.5,0.00848061,E46=22,0.00821976,E46=24,0.00929323)</f>
        <v>8.4806099999999995E-3</v>
      </c>
      <c r="H46" s="114">
        <f t="shared" ref="H46:H89" si="5">1.232*C46*(D46-E46)</f>
        <v>960.96</v>
      </c>
      <c r="I46" s="115">
        <f t="shared" ref="I46:I89" si="6">3000*C46*(F46-G46)</f>
        <v>1882.9473</v>
      </c>
      <c r="J46" s="110"/>
      <c r="K46" s="110">
        <v>13</v>
      </c>
    </row>
    <row r="47" spans="1:11" ht="15.75" thickBot="1" x14ac:dyDescent="0.3">
      <c r="A47" s="113" t="s">
        <v>125</v>
      </c>
      <c r="B47" s="114">
        <v>5</v>
      </c>
      <c r="C47" s="114">
        <f t="shared" si="3"/>
        <v>65</v>
      </c>
      <c r="D47" s="114">
        <v>34.5</v>
      </c>
      <c r="E47" s="114">
        <v>22.5</v>
      </c>
      <c r="F47" s="114">
        <v>1.813675E-2</v>
      </c>
      <c r="G47" s="114">
        <f t="shared" si="4"/>
        <v>8.4806099999999995E-3</v>
      </c>
      <c r="H47" s="114">
        <f t="shared" si="5"/>
        <v>960.96</v>
      </c>
      <c r="I47" s="115">
        <f t="shared" si="6"/>
        <v>1882.9473</v>
      </c>
      <c r="J47" s="110"/>
      <c r="K47" s="110">
        <v>13</v>
      </c>
    </row>
    <row r="48" spans="1:11" ht="15.75" thickBot="1" x14ac:dyDescent="0.3">
      <c r="A48" s="113" t="s">
        <v>126</v>
      </c>
      <c r="B48" s="114">
        <v>5</v>
      </c>
      <c r="C48" s="114">
        <f t="shared" si="3"/>
        <v>65</v>
      </c>
      <c r="D48" s="114">
        <v>34.5</v>
      </c>
      <c r="E48" s="114">
        <v>22.5</v>
      </c>
      <c r="F48" s="114">
        <v>1.813675E-2</v>
      </c>
      <c r="G48" s="114">
        <f t="shared" si="4"/>
        <v>8.4806099999999995E-3</v>
      </c>
      <c r="H48" s="114">
        <f t="shared" si="5"/>
        <v>960.96</v>
      </c>
      <c r="I48" s="115">
        <f t="shared" si="6"/>
        <v>1882.9473</v>
      </c>
      <c r="J48" s="110"/>
      <c r="K48" s="110">
        <v>13</v>
      </c>
    </row>
    <row r="49" spans="1:11" ht="15.75" thickBot="1" x14ac:dyDescent="0.3">
      <c r="A49" s="113" t="s">
        <v>171</v>
      </c>
      <c r="B49" s="114">
        <v>3</v>
      </c>
      <c r="C49" s="114">
        <f t="shared" si="3"/>
        <v>39</v>
      </c>
      <c r="D49" s="114">
        <v>34.5</v>
      </c>
      <c r="E49" s="114">
        <v>22.5</v>
      </c>
      <c r="F49" s="114">
        <v>1.813675E-2</v>
      </c>
      <c r="G49" s="114">
        <f t="shared" si="4"/>
        <v>8.4806099999999995E-3</v>
      </c>
      <c r="H49" s="114">
        <f t="shared" si="5"/>
        <v>576.57600000000002</v>
      </c>
      <c r="I49" s="115">
        <f t="shared" si="6"/>
        <v>1129.76838</v>
      </c>
      <c r="J49" s="110"/>
      <c r="K49" s="110">
        <v>13</v>
      </c>
    </row>
    <row r="50" spans="1:11" ht="15.75" thickBot="1" x14ac:dyDescent="0.3">
      <c r="A50" s="113" t="s">
        <v>172</v>
      </c>
      <c r="B50" s="114">
        <v>2</v>
      </c>
      <c r="C50" s="114">
        <f t="shared" si="3"/>
        <v>26</v>
      </c>
      <c r="D50" s="114">
        <v>34.5</v>
      </c>
      <c r="E50" s="114">
        <v>22.5</v>
      </c>
      <c r="F50" s="114">
        <v>1.813675E-2</v>
      </c>
      <c r="G50" s="114">
        <f t="shared" si="4"/>
        <v>8.4806099999999995E-3</v>
      </c>
      <c r="H50" s="114">
        <f t="shared" si="5"/>
        <v>384.38399999999996</v>
      </c>
      <c r="I50" s="115">
        <f t="shared" si="6"/>
        <v>753.17892000000006</v>
      </c>
      <c r="J50" s="110"/>
      <c r="K50" s="110">
        <v>13</v>
      </c>
    </row>
    <row r="51" spans="1:11" ht="15.75" thickBot="1" x14ac:dyDescent="0.3">
      <c r="A51" s="113" t="s">
        <v>173</v>
      </c>
      <c r="B51" s="114">
        <v>2</v>
      </c>
      <c r="C51" s="114">
        <f t="shared" si="3"/>
        <v>26</v>
      </c>
      <c r="D51" s="114">
        <v>34.5</v>
      </c>
      <c r="E51" s="114">
        <v>22.5</v>
      </c>
      <c r="F51" s="114">
        <v>1.813675E-2</v>
      </c>
      <c r="G51" s="114">
        <f t="shared" si="4"/>
        <v>8.4806099999999995E-3</v>
      </c>
      <c r="H51" s="114">
        <f t="shared" si="5"/>
        <v>384.38399999999996</v>
      </c>
      <c r="I51" s="115">
        <f t="shared" si="6"/>
        <v>753.17892000000006</v>
      </c>
      <c r="J51" s="110"/>
      <c r="K51" s="110">
        <v>13</v>
      </c>
    </row>
    <row r="52" spans="1:11" ht="15.75" thickBot="1" x14ac:dyDescent="0.3">
      <c r="A52" s="113" t="s">
        <v>174</v>
      </c>
      <c r="B52" s="114">
        <v>4</v>
      </c>
      <c r="C52" s="114">
        <f t="shared" si="3"/>
        <v>10</v>
      </c>
      <c r="D52" s="114">
        <v>34.5</v>
      </c>
      <c r="E52" s="114">
        <v>22.5</v>
      </c>
      <c r="F52" s="114">
        <v>1.813675E-2</v>
      </c>
      <c r="G52" s="114">
        <f t="shared" si="4"/>
        <v>8.4806099999999995E-3</v>
      </c>
      <c r="H52" s="114">
        <f t="shared" si="5"/>
        <v>147.84</v>
      </c>
      <c r="I52" s="115">
        <f t="shared" si="6"/>
        <v>289.68420000000003</v>
      </c>
      <c r="J52" s="110"/>
      <c r="K52" s="110">
        <v>2.5</v>
      </c>
    </row>
    <row r="53" spans="1:11" ht="15.75" thickBot="1" x14ac:dyDescent="0.3">
      <c r="A53" s="113" t="s">
        <v>175</v>
      </c>
      <c r="B53" s="114">
        <v>3</v>
      </c>
      <c r="C53" s="114">
        <f t="shared" si="3"/>
        <v>24</v>
      </c>
      <c r="D53" s="114">
        <v>34.5</v>
      </c>
      <c r="E53" s="114">
        <v>22.5</v>
      </c>
      <c r="F53" s="114">
        <v>1.813675E-2</v>
      </c>
      <c r="G53" s="114">
        <f t="shared" si="4"/>
        <v>8.4806099999999995E-3</v>
      </c>
      <c r="H53" s="114">
        <f t="shared" si="5"/>
        <v>354.81599999999997</v>
      </c>
      <c r="I53" s="115">
        <f t="shared" si="6"/>
        <v>695.24207999999999</v>
      </c>
      <c r="J53" s="110"/>
      <c r="K53" s="110">
        <v>8</v>
      </c>
    </row>
    <row r="54" spans="1:11" ht="15.75" thickBot="1" x14ac:dyDescent="0.3">
      <c r="A54" s="113" t="s">
        <v>176</v>
      </c>
      <c r="B54" s="114">
        <v>8</v>
      </c>
      <c r="C54" s="114">
        <f t="shared" si="3"/>
        <v>64</v>
      </c>
      <c r="D54" s="114">
        <v>34.5</v>
      </c>
      <c r="E54" s="114">
        <v>22.5</v>
      </c>
      <c r="F54" s="114">
        <v>1.813675E-2</v>
      </c>
      <c r="G54" s="114">
        <f t="shared" si="4"/>
        <v>8.4806099999999995E-3</v>
      </c>
      <c r="H54" s="114">
        <f t="shared" si="5"/>
        <v>946.17599999999993</v>
      </c>
      <c r="I54" s="115">
        <f t="shared" si="6"/>
        <v>1853.9788800000001</v>
      </c>
      <c r="J54" s="110"/>
      <c r="K54" s="110">
        <v>8</v>
      </c>
    </row>
    <row r="55" spans="1:11" ht="15.75" thickBot="1" x14ac:dyDescent="0.3">
      <c r="A55" s="113" t="s">
        <v>177</v>
      </c>
      <c r="B55" s="114">
        <v>1</v>
      </c>
      <c r="C55" s="114">
        <f t="shared" si="3"/>
        <v>2.5</v>
      </c>
      <c r="D55" s="114">
        <v>34.5</v>
      </c>
      <c r="E55" s="114">
        <v>24</v>
      </c>
      <c r="F55" s="114">
        <v>1.813675E-2</v>
      </c>
      <c r="G55" s="114">
        <f t="shared" si="4"/>
        <v>9.2932299999999995E-3</v>
      </c>
      <c r="H55" s="114">
        <f t="shared" si="5"/>
        <v>32.340000000000003</v>
      </c>
      <c r="I55" s="115">
        <f t="shared" si="6"/>
        <v>66.326400000000007</v>
      </c>
      <c r="J55" s="110"/>
      <c r="K55" s="110">
        <v>2.5</v>
      </c>
    </row>
    <row r="56" spans="1:11" ht="15.75" thickBot="1" x14ac:dyDescent="0.3">
      <c r="A56" s="113" t="s">
        <v>178</v>
      </c>
      <c r="B56" s="114">
        <v>1</v>
      </c>
      <c r="C56" s="114">
        <f t="shared" si="3"/>
        <v>2.5</v>
      </c>
      <c r="D56" s="114">
        <v>34.5</v>
      </c>
      <c r="E56" s="114">
        <v>24</v>
      </c>
      <c r="F56" s="114">
        <v>1.813675E-2</v>
      </c>
      <c r="G56" s="114">
        <f t="shared" si="4"/>
        <v>9.2932299999999995E-3</v>
      </c>
      <c r="H56" s="114">
        <f t="shared" si="5"/>
        <v>32.340000000000003</v>
      </c>
      <c r="I56" s="115">
        <f t="shared" si="6"/>
        <v>66.326400000000007</v>
      </c>
      <c r="J56" s="110"/>
      <c r="K56" s="110">
        <v>2.5</v>
      </c>
    </row>
    <row r="57" spans="1:11" ht="15.75" thickBot="1" x14ac:dyDescent="0.3">
      <c r="A57" s="113" t="s">
        <v>179</v>
      </c>
      <c r="B57" s="114">
        <v>2</v>
      </c>
      <c r="C57" s="114">
        <f t="shared" si="3"/>
        <v>26</v>
      </c>
      <c r="D57" s="114">
        <v>34.5</v>
      </c>
      <c r="E57" s="114">
        <v>22.5</v>
      </c>
      <c r="F57" s="114">
        <v>1.813675E-2</v>
      </c>
      <c r="G57" s="114">
        <f t="shared" si="4"/>
        <v>8.4806099999999995E-3</v>
      </c>
      <c r="H57" s="114">
        <f t="shared" si="5"/>
        <v>384.38399999999996</v>
      </c>
      <c r="I57" s="115">
        <f t="shared" si="6"/>
        <v>753.17892000000006</v>
      </c>
      <c r="J57" s="110"/>
      <c r="K57" s="110">
        <v>13</v>
      </c>
    </row>
    <row r="58" spans="1:11" ht="15.75" thickBot="1" x14ac:dyDescent="0.3">
      <c r="A58" s="113" t="s">
        <v>180</v>
      </c>
      <c r="B58" s="114">
        <v>2</v>
      </c>
      <c r="C58" s="114">
        <f t="shared" si="3"/>
        <v>26</v>
      </c>
      <c r="D58" s="114">
        <v>34.5</v>
      </c>
      <c r="E58" s="114">
        <v>22.5</v>
      </c>
      <c r="F58" s="114">
        <v>1.813675E-2</v>
      </c>
      <c r="G58" s="114">
        <f t="shared" si="4"/>
        <v>8.4806099999999995E-3</v>
      </c>
      <c r="H58" s="114">
        <f t="shared" si="5"/>
        <v>384.38399999999996</v>
      </c>
      <c r="I58" s="115">
        <f t="shared" si="6"/>
        <v>753.17892000000006</v>
      </c>
      <c r="J58" s="110"/>
      <c r="K58" s="110">
        <v>13</v>
      </c>
    </row>
    <row r="59" spans="1:11" ht="15.75" thickBot="1" x14ac:dyDescent="0.3">
      <c r="A59" s="113" t="s">
        <v>181</v>
      </c>
      <c r="B59" s="114">
        <v>3</v>
      </c>
      <c r="C59" s="114">
        <f t="shared" si="3"/>
        <v>39</v>
      </c>
      <c r="D59" s="114">
        <v>34.5</v>
      </c>
      <c r="E59" s="114">
        <v>22.5</v>
      </c>
      <c r="F59" s="114">
        <v>1.813675E-2</v>
      </c>
      <c r="G59" s="114">
        <f t="shared" si="4"/>
        <v>8.4806099999999995E-3</v>
      </c>
      <c r="H59" s="114">
        <f t="shared" si="5"/>
        <v>576.57600000000002</v>
      </c>
      <c r="I59" s="115">
        <f t="shared" si="6"/>
        <v>1129.76838</v>
      </c>
      <c r="J59" s="110"/>
      <c r="K59" s="110">
        <v>13</v>
      </c>
    </row>
    <row r="60" spans="1:11" ht="15.75" thickBot="1" x14ac:dyDescent="0.3">
      <c r="A60" s="113" t="s">
        <v>182</v>
      </c>
      <c r="B60" s="114">
        <v>5</v>
      </c>
      <c r="C60" s="114">
        <f t="shared" si="3"/>
        <v>65</v>
      </c>
      <c r="D60" s="114">
        <v>34.5</v>
      </c>
      <c r="E60" s="114">
        <v>22.5</v>
      </c>
      <c r="F60" s="114">
        <v>1.813675E-2</v>
      </c>
      <c r="G60" s="114">
        <f t="shared" si="4"/>
        <v>8.4806099999999995E-3</v>
      </c>
      <c r="H60" s="114">
        <f t="shared" si="5"/>
        <v>960.96</v>
      </c>
      <c r="I60" s="115">
        <f t="shared" si="6"/>
        <v>1882.9473</v>
      </c>
      <c r="J60" s="110"/>
      <c r="K60" s="110">
        <v>13</v>
      </c>
    </row>
    <row r="61" spans="1:11" ht="15.75" thickBot="1" x14ac:dyDescent="0.3">
      <c r="A61" s="113" t="s">
        <v>183</v>
      </c>
      <c r="B61" s="114">
        <v>2</v>
      </c>
      <c r="C61" s="114">
        <f t="shared" si="3"/>
        <v>26</v>
      </c>
      <c r="D61" s="114">
        <v>34.5</v>
      </c>
      <c r="E61" s="114">
        <v>22.5</v>
      </c>
      <c r="F61" s="114">
        <v>1.813675E-2</v>
      </c>
      <c r="G61" s="114">
        <f t="shared" si="4"/>
        <v>8.4806099999999995E-3</v>
      </c>
      <c r="H61" s="114">
        <f t="shared" si="5"/>
        <v>384.38399999999996</v>
      </c>
      <c r="I61" s="115">
        <f t="shared" si="6"/>
        <v>753.17892000000006</v>
      </c>
      <c r="J61" s="110"/>
      <c r="K61" s="110">
        <v>13</v>
      </c>
    </row>
    <row r="62" spans="1:11" ht="15.75" thickBot="1" x14ac:dyDescent="0.3">
      <c r="A62" s="113" t="s">
        <v>143</v>
      </c>
      <c r="B62" s="114">
        <v>4</v>
      </c>
      <c r="C62" s="114">
        <f t="shared" si="3"/>
        <v>0</v>
      </c>
      <c r="D62" s="114">
        <v>34.5</v>
      </c>
      <c r="E62" s="114">
        <v>22.5</v>
      </c>
      <c r="F62" s="114">
        <v>1.813675E-2</v>
      </c>
      <c r="G62" s="114">
        <f t="shared" si="4"/>
        <v>8.4806099999999995E-3</v>
      </c>
      <c r="H62" s="114">
        <f t="shared" si="5"/>
        <v>0</v>
      </c>
      <c r="I62" s="115">
        <f t="shared" si="6"/>
        <v>0</v>
      </c>
      <c r="J62" s="110"/>
      <c r="K62" s="110"/>
    </row>
    <row r="63" spans="1:11" ht="15.75" thickBot="1" x14ac:dyDescent="0.3">
      <c r="A63" s="113" t="s">
        <v>184</v>
      </c>
      <c r="B63" s="114">
        <v>3</v>
      </c>
      <c r="C63" s="114">
        <f t="shared" si="3"/>
        <v>39</v>
      </c>
      <c r="D63" s="114">
        <v>34.5</v>
      </c>
      <c r="E63" s="114">
        <v>22.5</v>
      </c>
      <c r="F63" s="114">
        <v>1.813675E-2</v>
      </c>
      <c r="G63" s="114">
        <f t="shared" si="4"/>
        <v>8.4806099999999995E-3</v>
      </c>
      <c r="H63" s="114">
        <f t="shared" si="5"/>
        <v>576.57600000000002</v>
      </c>
      <c r="I63" s="115">
        <f t="shared" si="6"/>
        <v>1129.76838</v>
      </c>
      <c r="J63" s="110"/>
      <c r="K63" s="110">
        <v>13</v>
      </c>
    </row>
    <row r="64" spans="1:11" ht="15.75" thickBot="1" x14ac:dyDescent="0.3">
      <c r="A64" s="113" t="s">
        <v>186</v>
      </c>
      <c r="B64" s="114">
        <v>3</v>
      </c>
      <c r="C64" s="114">
        <f t="shared" si="3"/>
        <v>39</v>
      </c>
      <c r="D64" s="114">
        <v>34.5</v>
      </c>
      <c r="E64" s="114">
        <v>22.5</v>
      </c>
      <c r="F64" s="114">
        <v>1.813675E-2</v>
      </c>
      <c r="G64" s="114">
        <f t="shared" si="4"/>
        <v>8.4806099999999995E-3</v>
      </c>
      <c r="H64" s="114">
        <f t="shared" si="5"/>
        <v>576.57600000000002</v>
      </c>
      <c r="I64" s="115">
        <f t="shared" si="6"/>
        <v>1129.76838</v>
      </c>
      <c r="J64" s="110"/>
      <c r="K64" s="110">
        <v>13</v>
      </c>
    </row>
    <row r="65" spans="1:11" ht="15.75" thickBot="1" x14ac:dyDescent="0.3">
      <c r="A65" s="113" t="s">
        <v>187</v>
      </c>
      <c r="B65" s="114">
        <v>2</v>
      </c>
      <c r="C65" s="114">
        <f t="shared" si="3"/>
        <v>26</v>
      </c>
      <c r="D65" s="114">
        <v>34.5</v>
      </c>
      <c r="E65" s="114">
        <v>22.5</v>
      </c>
      <c r="F65" s="114">
        <v>1.813675E-2</v>
      </c>
      <c r="G65" s="114">
        <f t="shared" si="4"/>
        <v>8.4806099999999995E-3</v>
      </c>
      <c r="H65" s="114">
        <f t="shared" si="5"/>
        <v>384.38399999999996</v>
      </c>
      <c r="I65" s="115">
        <f t="shared" si="6"/>
        <v>753.17892000000006</v>
      </c>
      <c r="J65" s="110"/>
      <c r="K65" s="110">
        <v>13</v>
      </c>
    </row>
    <row r="66" spans="1:11" ht="15.75" thickBot="1" x14ac:dyDescent="0.3">
      <c r="A66" s="113" t="s">
        <v>142</v>
      </c>
      <c r="B66" s="114">
        <v>20</v>
      </c>
      <c r="C66" s="114">
        <f t="shared" si="3"/>
        <v>260</v>
      </c>
      <c r="D66" s="114">
        <v>34.5</v>
      </c>
      <c r="E66" s="114">
        <v>22.5</v>
      </c>
      <c r="F66" s="114">
        <v>1.813675E-2</v>
      </c>
      <c r="G66" s="114">
        <f t="shared" si="4"/>
        <v>8.4806099999999995E-3</v>
      </c>
      <c r="H66" s="114">
        <f t="shared" si="5"/>
        <v>3843.84</v>
      </c>
      <c r="I66" s="115">
        <f t="shared" si="6"/>
        <v>7531.7892000000002</v>
      </c>
      <c r="J66" s="110"/>
      <c r="K66" s="110">
        <v>13</v>
      </c>
    </row>
    <row r="67" spans="1:11" ht="15.75" thickBot="1" x14ac:dyDescent="0.3">
      <c r="A67" s="113" t="s">
        <v>188</v>
      </c>
      <c r="B67" s="114">
        <v>3</v>
      </c>
      <c r="C67" s="114">
        <f t="shared" si="3"/>
        <v>39</v>
      </c>
      <c r="D67" s="114">
        <v>34.5</v>
      </c>
      <c r="E67" s="114">
        <v>22.5</v>
      </c>
      <c r="F67" s="114">
        <v>1.813675E-2</v>
      </c>
      <c r="G67" s="114">
        <f t="shared" si="4"/>
        <v>8.4806099999999995E-3</v>
      </c>
      <c r="H67" s="114">
        <f t="shared" si="5"/>
        <v>576.57600000000002</v>
      </c>
      <c r="I67" s="115">
        <f t="shared" si="6"/>
        <v>1129.76838</v>
      </c>
      <c r="J67" s="110"/>
      <c r="K67" s="110">
        <v>13</v>
      </c>
    </row>
    <row r="68" spans="1:11" ht="15.75" thickBot="1" x14ac:dyDescent="0.3">
      <c r="A68" s="113" t="s">
        <v>189</v>
      </c>
      <c r="B68" s="114">
        <v>3</v>
      </c>
      <c r="C68" s="114">
        <f t="shared" si="3"/>
        <v>39</v>
      </c>
      <c r="D68" s="114">
        <v>34.5</v>
      </c>
      <c r="E68" s="114">
        <v>22.5</v>
      </c>
      <c r="F68" s="114">
        <v>1.813675E-2</v>
      </c>
      <c r="G68" s="114">
        <f t="shared" si="4"/>
        <v>8.4806099999999995E-3</v>
      </c>
      <c r="H68" s="114">
        <f t="shared" si="5"/>
        <v>576.57600000000002</v>
      </c>
      <c r="I68" s="115">
        <f t="shared" si="6"/>
        <v>1129.76838</v>
      </c>
      <c r="J68" s="110"/>
      <c r="K68" s="110">
        <v>13</v>
      </c>
    </row>
    <row r="69" spans="1:11" ht="15.75" thickBot="1" x14ac:dyDescent="0.3">
      <c r="A69" s="113" t="s">
        <v>223</v>
      </c>
      <c r="B69" s="114"/>
      <c r="C69" s="114">
        <f t="shared" si="3"/>
        <v>0</v>
      </c>
      <c r="D69" s="114">
        <v>34.5</v>
      </c>
      <c r="E69" s="114">
        <v>24</v>
      </c>
      <c r="F69" s="114">
        <v>1.813675E-2</v>
      </c>
      <c r="G69" s="114">
        <f t="shared" si="4"/>
        <v>9.2932299999999995E-3</v>
      </c>
      <c r="H69" s="114">
        <f t="shared" si="5"/>
        <v>0</v>
      </c>
      <c r="I69" s="115">
        <f t="shared" si="6"/>
        <v>0</v>
      </c>
      <c r="J69" s="110"/>
      <c r="K69" s="110"/>
    </row>
    <row r="70" spans="1:11" ht="15.75" thickBot="1" x14ac:dyDescent="0.3">
      <c r="A70" s="113" t="s">
        <v>190</v>
      </c>
      <c r="B70" s="114">
        <v>2</v>
      </c>
      <c r="C70" s="114">
        <f t="shared" si="3"/>
        <v>26</v>
      </c>
      <c r="D70" s="114">
        <v>34.5</v>
      </c>
      <c r="E70" s="114">
        <v>22.5</v>
      </c>
      <c r="F70" s="114">
        <v>1.813675E-2</v>
      </c>
      <c r="G70" s="114">
        <f t="shared" si="4"/>
        <v>8.4806099999999995E-3</v>
      </c>
      <c r="H70" s="114">
        <f t="shared" si="5"/>
        <v>384.38399999999996</v>
      </c>
      <c r="I70" s="115">
        <f t="shared" si="6"/>
        <v>753.17892000000006</v>
      </c>
      <c r="J70" s="110"/>
      <c r="K70" s="110">
        <v>13</v>
      </c>
    </row>
    <row r="71" spans="1:11" ht="15.75" thickBot="1" x14ac:dyDescent="0.3">
      <c r="A71" s="113" t="s">
        <v>191</v>
      </c>
      <c r="B71" s="114">
        <v>2</v>
      </c>
      <c r="C71" s="114">
        <f t="shared" si="3"/>
        <v>26</v>
      </c>
      <c r="D71" s="114">
        <v>34.5</v>
      </c>
      <c r="E71" s="114">
        <v>22.5</v>
      </c>
      <c r="F71" s="114">
        <v>1.813675E-2</v>
      </c>
      <c r="G71" s="114">
        <f t="shared" si="4"/>
        <v>8.4806099999999995E-3</v>
      </c>
      <c r="H71" s="114">
        <f t="shared" si="5"/>
        <v>384.38399999999996</v>
      </c>
      <c r="I71" s="115">
        <f t="shared" si="6"/>
        <v>753.17892000000006</v>
      </c>
      <c r="J71" s="110"/>
      <c r="K71" s="110">
        <v>13</v>
      </c>
    </row>
    <row r="72" spans="1:11" ht="15.75" thickBot="1" x14ac:dyDescent="0.3">
      <c r="A72" s="113" t="s">
        <v>141</v>
      </c>
      <c r="B72" s="114">
        <v>4</v>
      </c>
      <c r="C72" s="114">
        <f t="shared" si="3"/>
        <v>10</v>
      </c>
      <c r="D72" s="114">
        <v>34.5</v>
      </c>
      <c r="E72" s="114">
        <v>22.5</v>
      </c>
      <c r="F72" s="114">
        <v>1.813675E-2</v>
      </c>
      <c r="G72" s="114">
        <f t="shared" si="4"/>
        <v>8.4806099999999995E-3</v>
      </c>
      <c r="H72" s="114">
        <f t="shared" si="5"/>
        <v>147.84</v>
      </c>
      <c r="I72" s="115">
        <f t="shared" si="6"/>
        <v>289.68420000000003</v>
      </c>
      <c r="J72" s="110"/>
      <c r="K72" s="110">
        <v>2.5</v>
      </c>
    </row>
    <row r="73" spans="1:11" ht="15.75" thickBot="1" x14ac:dyDescent="0.3">
      <c r="A73" s="113" t="s">
        <v>140</v>
      </c>
      <c r="B73" s="114">
        <v>5</v>
      </c>
      <c r="C73" s="114">
        <f t="shared" si="3"/>
        <v>40</v>
      </c>
      <c r="D73" s="114">
        <v>34.5</v>
      </c>
      <c r="E73" s="114">
        <v>22</v>
      </c>
      <c r="F73" s="114">
        <v>1.813675E-2</v>
      </c>
      <c r="G73" s="114">
        <f t="shared" si="4"/>
        <v>8.2197599999999996E-3</v>
      </c>
      <c r="H73" s="114">
        <f t="shared" si="5"/>
        <v>616</v>
      </c>
      <c r="I73" s="115">
        <f t="shared" si="6"/>
        <v>1190.0388</v>
      </c>
      <c r="J73" s="110"/>
      <c r="K73" s="110">
        <v>8</v>
      </c>
    </row>
    <row r="74" spans="1:11" ht="15.75" thickBot="1" x14ac:dyDescent="0.3">
      <c r="A74" s="113" t="s">
        <v>192</v>
      </c>
      <c r="B74" s="114">
        <v>2</v>
      </c>
      <c r="C74" s="114">
        <f t="shared" si="3"/>
        <v>5</v>
      </c>
      <c r="D74" s="114">
        <v>34.5</v>
      </c>
      <c r="E74" s="114">
        <v>24</v>
      </c>
      <c r="F74" s="114">
        <v>1.813675E-2</v>
      </c>
      <c r="G74" s="114">
        <f t="shared" si="4"/>
        <v>9.2932299999999995E-3</v>
      </c>
      <c r="H74" s="114">
        <f t="shared" si="5"/>
        <v>64.680000000000007</v>
      </c>
      <c r="I74" s="115">
        <f t="shared" si="6"/>
        <v>132.65280000000001</v>
      </c>
      <c r="J74" s="110"/>
      <c r="K74" s="110">
        <v>2.5</v>
      </c>
    </row>
    <row r="75" spans="1:11" ht="15.75" thickBot="1" x14ac:dyDescent="0.3">
      <c r="A75" s="113" t="s">
        <v>193</v>
      </c>
      <c r="B75" s="114">
        <v>3</v>
      </c>
      <c r="C75" s="114">
        <f t="shared" si="3"/>
        <v>24</v>
      </c>
      <c r="D75" s="114">
        <v>34.5</v>
      </c>
      <c r="E75" s="114">
        <v>22.5</v>
      </c>
      <c r="F75" s="114">
        <v>1.813675E-2</v>
      </c>
      <c r="G75" s="114">
        <f t="shared" si="4"/>
        <v>8.4806099999999995E-3</v>
      </c>
      <c r="H75" s="114">
        <f t="shared" si="5"/>
        <v>354.81599999999997</v>
      </c>
      <c r="I75" s="115">
        <f t="shared" si="6"/>
        <v>695.24207999999999</v>
      </c>
      <c r="J75" s="110"/>
      <c r="K75" s="110">
        <v>8</v>
      </c>
    </row>
    <row r="76" spans="1:11" ht="15.75" thickBot="1" x14ac:dyDescent="0.3">
      <c r="A76" s="113" t="s">
        <v>194</v>
      </c>
      <c r="B76" s="114">
        <v>4</v>
      </c>
      <c r="C76" s="114">
        <f>B76*K76</f>
        <v>10</v>
      </c>
      <c r="D76" s="114">
        <v>34.5</v>
      </c>
      <c r="E76" s="114">
        <v>22.5</v>
      </c>
      <c r="F76" s="114">
        <v>1.813675E-2</v>
      </c>
      <c r="G76" s="114">
        <f t="shared" si="4"/>
        <v>8.4806099999999995E-3</v>
      </c>
      <c r="H76" s="114">
        <f t="shared" si="5"/>
        <v>147.84</v>
      </c>
      <c r="I76" s="115">
        <f t="shared" si="6"/>
        <v>289.68420000000003</v>
      </c>
      <c r="J76" s="110"/>
      <c r="K76" s="110">
        <v>2.5</v>
      </c>
    </row>
    <row r="77" spans="1:11" ht="15.75" thickBot="1" x14ac:dyDescent="0.3">
      <c r="A77" s="113" t="s">
        <v>195</v>
      </c>
      <c r="B77" s="114">
        <v>10</v>
      </c>
      <c r="C77" s="114">
        <f t="shared" si="3"/>
        <v>25</v>
      </c>
      <c r="D77" s="114">
        <v>34.5</v>
      </c>
      <c r="E77" s="114">
        <v>22.5</v>
      </c>
      <c r="F77" s="114">
        <v>1.813675E-2</v>
      </c>
      <c r="G77" s="114">
        <f t="shared" si="4"/>
        <v>8.4806099999999995E-3</v>
      </c>
      <c r="H77" s="114">
        <f t="shared" si="5"/>
        <v>369.6</v>
      </c>
      <c r="I77" s="115">
        <f t="shared" si="6"/>
        <v>724.21050000000002</v>
      </c>
      <c r="J77" s="110"/>
      <c r="K77" s="110">
        <v>2.5</v>
      </c>
    </row>
    <row r="78" spans="1:11" ht="15.75" thickBot="1" x14ac:dyDescent="0.3">
      <c r="A78" s="113" t="s">
        <v>196</v>
      </c>
      <c r="B78" s="114">
        <v>3</v>
      </c>
      <c r="C78" s="114">
        <f t="shared" si="3"/>
        <v>7.5</v>
      </c>
      <c r="D78" s="114">
        <v>34.5</v>
      </c>
      <c r="E78" s="114">
        <v>22.5</v>
      </c>
      <c r="F78" s="114">
        <v>1.813675E-2</v>
      </c>
      <c r="G78" s="114">
        <f t="shared" si="4"/>
        <v>8.4806099999999995E-3</v>
      </c>
      <c r="H78" s="114">
        <f t="shared" si="5"/>
        <v>110.88</v>
      </c>
      <c r="I78" s="115">
        <f t="shared" si="6"/>
        <v>217.26315000000002</v>
      </c>
      <c r="J78" s="110"/>
      <c r="K78" s="110">
        <v>2.5</v>
      </c>
    </row>
    <row r="79" spans="1:11" ht="15.75" thickBot="1" x14ac:dyDescent="0.3">
      <c r="A79" s="113" t="s">
        <v>197</v>
      </c>
      <c r="B79" s="114">
        <v>4</v>
      </c>
      <c r="C79" s="114">
        <f t="shared" si="3"/>
        <v>60</v>
      </c>
      <c r="D79" s="114">
        <v>34.5</v>
      </c>
      <c r="E79" s="114">
        <v>22</v>
      </c>
      <c r="F79" s="114">
        <v>1.813675E-2</v>
      </c>
      <c r="G79" s="114">
        <f>_xlfn.IFS(E79=22.5,0.00848061,E79=22,0.00821976,E79=24,0.00929323)</f>
        <v>8.2197599999999996E-3</v>
      </c>
      <c r="H79" s="114">
        <f t="shared" si="5"/>
        <v>924</v>
      </c>
      <c r="I79" s="115">
        <f t="shared" si="6"/>
        <v>1785.0582000000002</v>
      </c>
      <c r="J79" s="110"/>
      <c r="K79" s="110">
        <v>15</v>
      </c>
    </row>
    <row r="80" spans="1:11" ht="15.75" thickBot="1" x14ac:dyDescent="0.3">
      <c r="A80" s="113" t="s">
        <v>198</v>
      </c>
      <c r="B80" s="114">
        <v>4</v>
      </c>
      <c r="C80" s="114">
        <f t="shared" si="3"/>
        <v>32</v>
      </c>
      <c r="D80" s="114">
        <v>34.5</v>
      </c>
      <c r="E80" s="114">
        <v>22.5</v>
      </c>
      <c r="F80" s="114">
        <v>1.813675E-2</v>
      </c>
      <c r="G80" s="114">
        <f t="shared" si="4"/>
        <v>8.4806099999999995E-3</v>
      </c>
      <c r="H80" s="114">
        <f t="shared" si="5"/>
        <v>473.08799999999997</v>
      </c>
      <c r="I80" s="115">
        <f t="shared" si="6"/>
        <v>926.98944000000006</v>
      </c>
      <c r="J80" s="110"/>
      <c r="K80" s="110">
        <v>8</v>
      </c>
    </row>
    <row r="81" spans="1:11" ht="15.75" thickBot="1" x14ac:dyDescent="0.3">
      <c r="A81" s="113" t="s">
        <v>509</v>
      </c>
      <c r="B81" s="114">
        <v>2</v>
      </c>
      <c r="C81" s="114">
        <f t="shared" si="3"/>
        <v>5</v>
      </c>
      <c r="D81" s="114">
        <v>34.5</v>
      </c>
      <c r="E81" s="114">
        <v>24</v>
      </c>
      <c r="F81" s="114">
        <v>1.813675E-2</v>
      </c>
      <c r="G81" s="114">
        <f t="shared" si="4"/>
        <v>9.2932299999999995E-3</v>
      </c>
      <c r="H81" s="114">
        <f t="shared" si="5"/>
        <v>64.680000000000007</v>
      </c>
      <c r="I81" s="115">
        <f t="shared" si="6"/>
        <v>132.65280000000001</v>
      </c>
      <c r="J81" s="110"/>
      <c r="K81" s="110">
        <v>2.5</v>
      </c>
    </row>
    <row r="82" spans="1:11" ht="15.75" thickBot="1" x14ac:dyDescent="0.3">
      <c r="A82" s="113" t="s">
        <v>201</v>
      </c>
      <c r="B82" s="114">
        <v>5</v>
      </c>
      <c r="C82" s="114">
        <f t="shared" si="3"/>
        <v>75</v>
      </c>
      <c r="D82" s="114">
        <v>34.5</v>
      </c>
      <c r="E82" s="114">
        <v>22</v>
      </c>
      <c r="F82" s="114">
        <v>1.813675E-2</v>
      </c>
      <c r="G82" s="114">
        <f t="shared" si="4"/>
        <v>8.2197599999999996E-3</v>
      </c>
      <c r="H82" s="114">
        <f t="shared" si="5"/>
        <v>1155</v>
      </c>
      <c r="I82" s="115">
        <f t="shared" si="6"/>
        <v>2231.3227500000003</v>
      </c>
      <c r="J82" s="110"/>
      <c r="K82" s="110">
        <v>15</v>
      </c>
    </row>
    <row r="83" spans="1:11" ht="15.75" thickBot="1" x14ac:dyDescent="0.3">
      <c r="A83" s="113" t="s">
        <v>202</v>
      </c>
      <c r="B83" s="114">
        <v>2</v>
      </c>
      <c r="C83" s="114">
        <f t="shared" si="3"/>
        <v>5</v>
      </c>
      <c r="D83" s="114">
        <v>34.5</v>
      </c>
      <c r="E83" s="114">
        <v>24</v>
      </c>
      <c r="F83" s="114">
        <v>1.813675E-2</v>
      </c>
      <c r="G83" s="114">
        <f t="shared" si="4"/>
        <v>9.2932299999999995E-3</v>
      </c>
      <c r="H83" s="114">
        <f t="shared" si="5"/>
        <v>64.680000000000007</v>
      </c>
      <c r="I83" s="115">
        <f t="shared" si="6"/>
        <v>132.65280000000001</v>
      </c>
      <c r="J83" s="110"/>
      <c r="K83" s="110">
        <v>2.5</v>
      </c>
    </row>
    <row r="84" spans="1:11" ht="15.75" thickBot="1" x14ac:dyDescent="0.3">
      <c r="A84" s="113" t="s">
        <v>203</v>
      </c>
      <c r="B84" s="114">
        <v>2</v>
      </c>
      <c r="C84" s="114">
        <f t="shared" si="3"/>
        <v>5</v>
      </c>
      <c r="D84" s="114">
        <v>34.5</v>
      </c>
      <c r="E84" s="114">
        <v>24</v>
      </c>
      <c r="F84" s="114">
        <v>1.813675E-2</v>
      </c>
      <c r="G84" s="114">
        <f t="shared" si="4"/>
        <v>9.2932299999999995E-3</v>
      </c>
      <c r="H84" s="114">
        <f t="shared" si="5"/>
        <v>64.680000000000007</v>
      </c>
      <c r="I84" s="115">
        <f t="shared" si="6"/>
        <v>132.65280000000001</v>
      </c>
      <c r="J84" s="110"/>
      <c r="K84" s="110">
        <v>2.5</v>
      </c>
    </row>
    <row r="85" spans="1:11" ht="15.75" thickBot="1" x14ac:dyDescent="0.3">
      <c r="A85" s="113" t="s">
        <v>204</v>
      </c>
      <c r="B85" s="114">
        <v>2</v>
      </c>
      <c r="C85" s="114">
        <f t="shared" si="3"/>
        <v>5</v>
      </c>
      <c r="D85" s="114">
        <v>34.5</v>
      </c>
      <c r="E85" s="114">
        <v>24</v>
      </c>
      <c r="F85" s="114">
        <v>1.813675E-2</v>
      </c>
      <c r="G85" s="114">
        <f t="shared" si="4"/>
        <v>9.2932299999999995E-3</v>
      </c>
      <c r="H85" s="114">
        <f t="shared" si="5"/>
        <v>64.680000000000007</v>
      </c>
      <c r="I85" s="115">
        <f t="shared" si="6"/>
        <v>132.65280000000001</v>
      </c>
      <c r="J85" s="110"/>
      <c r="K85" s="110">
        <v>2.5</v>
      </c>
    </row>
    <row r="86" spans="1:11" ht="15.75" thickBot="1" x14ac:dyDescent="0.3">
      <c r="A86" s="113" t="s">
        <v>229</v>
      </c>
      <c r="B86" s="114">
        <v>5</v>
      </c>
      <c r="C86" s="114">
        <f t="shared" si="3"/>
        <v>12.5</v>
      </c>
      <c r="D86" s="114">
        <v>34.5</v>
      </c>
      <c r="E86" s="114">
        <v>24</v>
      </c>
      <c r="F86" s="114">
        <v>1.813675E-2</v>
      </c>
      <c r="G86" s="114">
        <f t="shared" si="4"/>
        <v>9.2932299999999995E-3</v>
      </c>
      <c r="H86" s="114">
        <f t="shared" si="5"/>
        <v>161.70000000000002</v>
      </c>
      <c r="I86" s="115">
        <f t="shared" si="6"/>
        <v>331.63200000000001</v>
      </c>
      <c r="J86" s="110"/>
      <c r="K86" s="110">
        <v>2.5</v>
      </c>
    </row>
    <row r="87" spans="1:11" ht="15.75" thickBot="1" x14ac:dyDescent="0.3">
      <c r="A87" s="113" t="s">
        <v>230</v>
      </c>
      <c r="B87" s="114">
        <v>2</v>
      </c>
      <c r="C87" s="114">
        <f t="shared" si="3"/>
        <v>5</v>
      </c>
      <c r="D87" s="114">
        <v>34.5</v>
      </c>
      <c r="E87" s="114">
        <v>24</v>
      </c>
      <c r="F87" s="114">
        <v>1.813675E-2</v>
      </c>
      <c r="G87" s="114">
        <f t="shared" si="4"/>
        <v>9.2932299999999995E-3</v>
      </c>
      <c r="H87" s="114">
        <f t="shared" si="5"/>
        <v>64.680000000000007</v>
      </c>
      <c r="I87" s="115">
        <f t="shared" si="6"/>
        <v>132.65280000000001</v>
      </c>
      <c r="J87" s="110"/>
      <c r="K87" s="110">
        <v>2.5</v>
      </c>
    </row>
    <row r="88" spans="1:11" ht="15.75" thickBot="1" x14ac:dyDescent="0.3">
      <c r="A88" s="113" t="s">
        <v>132</v>
      </c>
      <c r="B88" s="114">
        <v>3</v>
      </c>
      <c r="C88" s="114">
        <f t="shared" si="3"/>
        <v>24</v>
      </c>
      <c r="D88" s="114">
        <v>34.5</v>
      </c>
      <c r="E88" s="114">
        <v>22.5</v>
      </c>
      <c r="F88" s="114">
        <v>1.813675E-2</v>
      </c>
      <c r="G88" s="114">
        <f t="shared" si="4"/>
        <v>8.4806099999999995E-3</v>
      </c>
      <c r="H88" s="114">
        <f t="shared" si="5"/>
        <v>354.81599999999997</v>
      </c>
      <c r="I88" s="115">
        <f t="shared" si="6"/>
        <v>695.24207999999999</v>
      </c>
      <c r="J88" s="110"/>
      <c r="K88" s="110">
        <v>8</v>
      </c>
    </row>
    <row r="89" spans="1:11" x14ac:dyDescent="0.25">
      <c r="A89" s="116" t="s">
        <v>130</v>
      </c>
      <c r="B89" s="117">
        <v>3</v>
      </c>
      <c r="C89" s="117">
        <f t="shared" si="3"/>
        <v>24</v>
      </c>
      <c r="D89" s="117">
        <v>34.5</v>
      </c>
      <c r="E89" s="117">
        <v>22.5</v>
      </c>
      <c r="F89" s="117">
        <v>1.813675E-2</v>
      </c>
      <c r="G89" s="117">
        <f t="shared" si="4"/>
        <v>8.4806099999999995E-3</v>
      </c>
      <c r="H89" s="117">
        <f t="shared" si="5"/>
        <v>354.81599999999997</v>
      </c>
      <c r="I89" s="118">
        <f t="shared" si="6"/>
        <v>695.24207999999999</v>
      </c>
      <c r="J89" s="110"/>
      <c r="K89" s="110">
        <v>8</v>
      </c>
    </row>
    <row r="92" spans="1:11" s="124" customFormat="1" ht="23.25" x14ac:dyDescent="0.35">
      <c r="A92" s="93" t="s">
        <v>60</v>
      </c>
      <c r="B92" s="93"/>
      <c r="C92" s="93"/>
      <c r="D92" s="93"/>
      <c r="E92" s="93"/>
      <c r="F92" s="93"/>
      <c r="G92" s="93"/>
      <c r="H92" s="93"/>
      <c r="I92" s="93"/>
      <c r="J92" s="125"/>
      <c r="K92" s="125"/>
    </row>
    <row r="93" spans="1:11" ht="15.75" thickBot="1" x14ac:dyDescent="0.3">
      <c r="A93" s="119" t="s">
        <v>0</v>
      </c>
      <c r="B93" s="120" t="s">
        <v>506</v>
      </c>
      <c r="C93" s="120" t="s">
        <v>21</v>
      </c>
      <c r="D93" s="120" t="s">
        <v>13</v>
      </c>
      <c r="E93" s="120" t="s">
        <v>7</v>
      </c>
      <c r="F93" s="120" t="s">
        <v>22</v>
      </c>
      <c r="G93" s="120" t="s">
        <v>23</v>
      </c>
      <c r="H93" s="120" t="s">
        <v>507</v>
      </c>
      <c r="I93" s="121" t="s">
        <v>508</v>
      </c>
      <c r="J93" s="110"/>
      <c r="K93" s="109" t="s">
        <v>496</v>
      </c>
    </row>
    <row r="94" spans="1:11" ht="15.75" thickBot="1" x14ac:dyDescent="0.3">
      <c r="A94" s="113" t="s">
        <v>124</v>
      </c>
      <c r="B94" s="114">
        <v>5</v>
      </c>
      <c r="C94" s="114">
        <f>B94*K94</f>
        <v>65</v>
      </c>
      <c r="D94" s="114">
        <v>34.5</v>
      </c>
      <c r="E94" s="114">
        <v>22.5</v>
      </c>
      <c r="F94" s="114">
        <v>1.813675E-2</v>
      </c>
      <c r="G94" s="114">
        <f>_xlfn.IFS(E94=22.5,0.00848031,E94=24,0.009293235,E94=22,0.00821976)</f>
        <v>8.4803099999999996E-3</v>
      </c>
      <c r="H94" s="114">
        <f>1.232*C94*(D94-E94)</f>
        <v>960.96</v>
      </c>
      <c r="I94" s="115">
        <f>3000*C94*(F94-G94)</f>
        <v>1883.0058000000001</v>
      </c>
      <c r="J94" s="110"/>
      <c r="K94" s="110">
        <v>13</v>
      </c>
    </row>
    <row r="95" spans="1:11" ht="15.75" thickBot="1" x14ac:dyDescent="0.3">
      <c r="A95" s="113" t="s">
        <v>170</v>
      </c>
      <c r="B95" s="114">
        <v>5</v>
      </c>
      <c r="C95" s="114">
        <f t="shared" ref="C95:C123" si="7">B95*K95</f>
        <v>65</v>
      </c>
      <c r="D95" s="114">
        <v>34.5</v>
      </c>
      <c r="E95" s="114">
        <v>22.5</v>
      </c>
      <c r="F95" s="114">
        <v>1.813675E-2</v>
      </c>
      <c r="G95" s="114">
        <f t="shared" ref="G95:G97" si="8">_xlfn.IFS(E95=22.5,0.00848031,E95=24,0.009293235,E95=22,0.00821976)</f>
        <v>8.4803099999999996E-3</v>
      </c>
      <c r="H95" s="114">
        <f t="shared" ref="H95:H123" si="9">1.232*C95*(D95-E95)</f>
        <v>960.96</v>
      </c>
      <c r="I95" s="115">
        <f t="shared" ref="I95:I123" si="10">3000*C95*(F95-G95)</f>
        <v>1883.0058000000001</v>
      </c>
      <c r="J95" s="110"/>
      <c r="K95" s="110">
        <v>13</v>
      </c>
    </row>
    <row r="96" spans="1:11" ht="15.75" thickBot="1" x14ac:dyDescent="0.3">
      <c r="A96" s="113" t="s">
        <v>125</v>
      </c>
      <c r="B96" s="114">
        <v>5</v>
      </c>
      <c r="C96" s="114">
        <f t="shared" si="7"/>
        <v>65</v>
      </c>
      <c r="D96" s="114">
        <v>34.5</v>
      </c>
      <c r="E96" s="114">
        <v>22.5</v>
      </c>
      <c r="F96" s="114">
        <v>1.813675E-2</v>
      </c>
      <c r="G96" s="114">
        <f t="shared" si="8"/>
        <v>8.4803099999999996E-3</v>
      </c>
      <c r="H96" s="114">
        <f t="shared" si="9"/>
        <v>960.96</v>
      </c>
      <c r="I96" s="115">
        <f t="shared" si="10"/>
        <v>1883.0058000000001</v>
      </c>
      <c r="J96" s="110"/>
      <c r="K96" s="110">
        <v>13</v>
      </c>
    </row>
    <row r="97" spans="1:11" ht="15.75" thickBot="1" x14ac:dyDescent="0.3">
      <c r="A97" s="113" t="s">
        <v>126</v>
      </c>
      <c r="B97" s="114">
        <v>5</v>
      </c>
      <c r="C97" s="114">
        <f t="shared" si="7"/>
        <v>65</v>
      </c>
      <c r="D97" s="114">
        <v>34.5</v>
      </c>
      <c r="E97" s="114">
        <v>22.5</v>
      </c>
      <c r="F97" s="114">
        <v>1.813675E-2</v>
      </c>
      <c r="G97" s="114">
        <f t="shared" si="8"/>
        <v>8.4803099999999996E-3</v>
      </c>
      <c r="H97" s="114">
        <f t="shared" si="9"/>
        <v>960.96</v>
      </c>
      <c r="I97" s="115">
        <f t="shared" si="10"/>
        <v>1883.0058000000001</v>
      </c>
      <c r="J97" s="110"/>
      <c r="K97" s="110">
        <v>13</v>
      </c>
    </row>
    <row r="98" spans="1:11" ht="15.75" thickBot="1" x14ac:dyDescent="0.3">
      <c r="A98" s="113" t="s">
        <v>171</v>
      </c>
      <c r="B98" s="114">
        <v>3</v>
      </c>
      <c r="C98" s="114">
        <f t="shared" si="7"/>
        <v>39</v>
      </c>
      <c r="D98" s="114">
        <v>34.5</v>
      </c>
      <c r="E98" s="114">
        <v>22.5</v>
      </c>
      <c r="F98" s="114">
        <v>1.813675E-2</v>
      </c>
      <c r="G98" s="114">
        <f>_xlfn.IFS(E98=22.5,0.00848031,E98=24,0.009293235,E98=22,0.00821976)</f>
        <v>8.4803099999999996E-3</v>
      </c>
      <c r="H98" s="114">
        <f t="shared" si="9"/>
        <v>576.57600000000002</v>
      </c>
      <c r="I98" s="115">
        <f t="shared" si="10"/>
        <v>1129.80348</v>
      </c>
      <c r="J98" s="110"/>
      <c r="K98" s="110">
        <v>13</v>
      </c>
    </row>
    <row r="99" spans="1:11" ht="15.75" thickBot="1" x14ac:dyDescent="0.3">
      <c r="A99" s="113" t="s">
        <v>172</v>
      </c>
      <c r="B99" s="114">
        <v>2</v>
      </c>
      <c r="C99" s="114">
        <f t="shared" si="7"/>
        <v>26</v>
      </c>
      <c r="D99" s="114">
        <v>34.5</v>
      </c>
      <c r="E99" s="114">
        <v>22.5</v>
      </c>
      <c r="F99" s="114">
        <v>1.813675E-2</v>
      </c>
      <c r="G99" s="114">
        <f t="shared" ref="G99:G123" si="11">_xlfn.IFS(E99=22.5,0.00848031,E99=24,0.009293235,E99=22,0.00821976)</f>
        <v>8.4803099999999996E-3</v>
      </c>
      <c r="H99" s="114">
        <f t="shared" si="9"/>
        <v>384.38399999999996</v>
      </c>
      <c r="I99" s="115">
        <f t="shared" si="10"/>
        <v>753.20231999999999</v>
      </c>
      <c r="J99" s="110"/>
      <c r="K99" s="110">
        <v>13</v>
      </c>
    </row>
    <row r="100" spans="1:11" ht="15.75" thickBot="1" x14ac:dyDescent="0.3">
      <c r="A100" s="113" t="s">
        <v>173</v>
      </c>
      <c r="B100" s="114">
        <v>2</v>
      </c>
      <c r="C100" s="114">
        <f t="shared" si="7"/>
        <v>26</v>
      </c>
      <c r="D100" s="114">
        <v>34.5</v>
      </c>
      <c r="E100" s="114">
        <v>22.5</v>
      </c>
      <c r="F100" s="114">
        <v>1.813675E-2</v>
      </c>
      <c r="G100" s="114">
        <f t="shared" si="11"/>
        <v>8.4803099999999996E-3</v>
      </c>
      <c r="H100" s="114">
        <f t="shared" si="9"/>
        <v>384.38399999999996</v>
      </c>
      <c r="I100" s="115">
        <f t="shared" si="10"/>
        <v>753.20231999999999</v>
      </c>
      <c r="J100" s="110"/>
      <c r="K100" s="110">
        <v>13</v>
      </c>
    </row>
    <row r="101" spans="1:11" ht="15.75" thickBot="1" x14ac:dyDescent="0.3">
      <c r="A101" s="113" t="s">
        <v>174</v>
      </c>
      <c r="B101" s="114">
        <v>4</v>
      </c>
      <c r="C101" s="114">
        <f t="shared" si="7"/>
        <v>10</v>
      </c>
      <c r="D101" s="114">
        <v>34.5</v>
      </c>
      <c r="E101" s="114">
        <v>22.5</v>
      </c>
      <c r="F101" s="114">
        <v>1.813675E-2</v>
      </c>
      <c r="G101" s="114">
        <f t="shared" si="11"/>
        <v>8.4803099999999996E-3</v>
      </c>
      <c r="H101" s="114">
        <f t="shared" si="9"/>
        <v>147.84</v>
      </c>
      <c r="I101" s="115">
        <f t="shared" si="10"/>
        <v>289.69319999999999</v>
      </c>
      <c r="J101" s="110"/>
      <c r="K101" s="110">
        <v>2.5</v>
      </c>
    </row>
    <row r="102" spans="1:11" ht="15.75" thickBot="1" x14ac:dyDescent="0.3">
      <c r="A102" s="113" t="s">
        <v>175</v>
      </c>
      <c r="B102" s="114">
        <v>3</v>
      </c>
      <c r="C102" s="114">
        <f>B102*K102</f>
        <v>24</v>
      </c>
      <c r="D102" s="114">
        <v>34.5</v>
      </c>
      <c r="E102" s="114">
        <v>22.5</v>
      </c>
      <c r="F102" s="114">
        <v>1.813675E-2</v>
      </c>
      <c r="G102" s="114">
        <f t="shared" si="11"/>
        <v>8.4803099999999996E-3</v>
      </c>
      <c r="H102" s="114">
        <f t="shared" si="9"/>
        <v>354.81599999999997</v>
      </c>
      <c r="I102" s="115">
        <f t="shared" si="10"/>
        <v>695.26368000000002</v>
      </c>
      <c r="J102" s="110"/>
      <c r="K102" s="110">
        <v>8</v>
      </c>
    </row>
    <row r="103" spans="1:11" ht="15.75" thickBot="1" x14ac:dyDescent="0.3">
      <c r="A103" s="113" t="s">
        <v>179</v>
      </c>
      <c r="B103" s="114">
        <v>2</v>
      </c>
      <c r="C103" s="114">
        <f t="shared" si="7"/>
        <v>26</v>
      </c>
      <c r="D103" s="114">
        <v>34.5</v>
      </c>
      <c r="E103" s="114">
        <v>22.5</v>
      </c>
      <c r="F103" s="114">
        <v>1.813675E-2</v>
      </c>
      <c r="G103" s="114">
        <f t="shared" si="11"/>
        <v>8.4803099999999996E-3</v>
      </c>
      <c r="H103" s="114">
        <f t="shared" si="9"/>
        <v>384.38399999999996</v>
      </c>
      <c r="I103" s="115">
        <f t="shared" si="10"/>
        <v>753.20231999999999</v>
      </c>
      <c r="J103" s="110"/>
      <c r="K103" s="110">
        <v>13</v>
      </c>
    </row>
    <row r="104" spans="1:11" ht="15.75" thickBot="1" x14ac:dyDescent="0.3">
      <c r="A104" s="113" t="s">
        <v>180</v>
      </c>
      <c r="B104" s="114">
        <v>2</v>
      </c>
      <c r="C104" s="114">
        <f t="shared" si="7"/>
        <v>26</v>
      </c>
      <c r="D104" s="114">
        <v>34.5</v>
      </c>
      <c r="E104" s="114">
        <v>22.5</v>
      </c>
      <c r="F104" s="114">
        <v>1.813675E-2</v>
      </c>
      <c r="G104" s="114">
        <f t="shared" si="11"/>
        <v>8.4803099999999996E-3</v>
      </c>
      <c r="H104" s="114">
        <f t="shared" si="9"/>
        <v>384.38399999999996</v>
      </c>
      <c r="I104" s="115">
        <f t="shared" si="10"/>
        <v>753.20231999999999</v>
      </c>
      <c r="J104" s="110"/>
      <c r="K104" s="110">
        <v>13</v>
      </c>
    </row>
    <row r="105" spans="1:11" ht="15.75" thickBot="1" x14ac:dyDescent="0.3">
      <c r="A105" s="113" t="s">
        <v>181</v>
      </c>
      <c r="B105" s="114">
        <v>3</v>
      </c>
      <c r="C105" s="114">
        <f t="shared" si="7"/>
        <v>39</v>
      </c>
      <c r="D105" s="114">
        <v>34.5</v>
      </c>
      <c r="E105" s="114">
        <v>22.5</v>
      </c>
      <c r="F105" s="114">
        <v>1.813675E-2</v>
      </c>
      <c r="G105" s="114">
        <f t="shared" si="11"/>
        <v>8.4803099999999996E-3</v>
      </c>
      <c r="H105" s="114">
        <f t="shared" si="9"/>
        <v>576.57600000000002</v>
      </c>
      <c r="I105" s="115">
        <f t="shared" si="10"/>
        <v>1129.80348</v>
      </c>
      <c r="J105" s="110"/>
      <c r="K105" s="110">
        <v>13</v>
      </c>
    </row>
    <row r="106" spans="1:11" ht="15.75" thickBot="1" x14ac:dyDescent="0.3">
      <c r="A106" s="113" t="s">
        <v>183</v>
      </c>
      <c r="B106" s="114">
        <v>2</v>
      </c>
      <c r="C106" s="114">
        <f t="shared" si="7"/>
        <v>26</v>
      </c>
      <c r="D106" s="114">
        <v>34.5</v>
      </c>
      <c r="E106" s="114">
        <v>22.5</v>
      </c>
      <c r="F106" s="114">
        <v>1.813675E-2</v>
      </c>
      <c r="G106" s="114">
        <f t="shared" si="11"/>
        <v>8.4803099999999996E-3</v>
      </c>
      <c r="H106" s="114">
        <f t="shared" si="9"/>
        <v>384.38399999999996</v>
      </c>
      <c r="I106" s="115">
        <f t="shared" si="10"/>
        <v>753.20231999999999</v>
      </c>
      <c r="J106" s="110"/>
      <c r="K106" s="110">
        <v>13</v>
      </c>
    </row>
    <row r="107" spans="1:11" ht="15.75" thickBot="1" x14ac:dyDescent="0.3">
      <c r="A107" s="113" t="s">
        <v>187</v>
      </c>
      <c r="B107" s="114">
        <v>2</v>
      </c>
      <c r="C107" s="114">
        <f t="shared" si="7"/>
        <v>26</v>
      </c>
      <c r="D107" s="114">
        <v>34.5</v>
      </c>
      <c r="E107" s="114">
        <v>22.5</v>
      </c>
      <c r="F107" s="114">
        <v>1.813675E-2</v>
      </c>
      <c r="G107" s="114">
        <f t="shared" si="11"/>
        <v>8.4803099999999996E-3</v>
      </c>
      <c r="H107" s="114">
        <f t="shared" si="9"/>
        <v>384.38399999999996</v>
      </c>
      <c r="I107" s="115">
        <f t="shared" si="10"/>
        <v>753.20231999999999</v>
      </c>
      <c r="J107" s="110"/>
      <c r="K107" s="110">
        <v>13</v>
      </c>
    </row>
    <row r="108" spans="1:11" ht="15.75" thickBot="1" x14ac:dyDescent="0.3">
      <c r="A108" s="113" t="s">
        <v>184</v>
      </c>
      <c r="B108" s="114">
        <v>3</v>
      </c>
      <c r="C108" s="114">
        <f t="shared" si="7"/>
        <v>39</v>
      </c>
      <c r="D108" s="114">
        <v>34.5</v>
      </c>
      <c r="E108" s="114">
        <v>22.5</v>
      </c>
      <c r="F108" s="114">
        <v>1.813675E-2</v>
      </c>
      <c r="G108" s="114">
        <f t="shared" si="11"/>
        <v>8.4803099999999996E-3</v>
      </c>
      <c r="H108" s="114">
        <f t="shared" si="9"/>
        <v>576.57600000000002</v>
      </c>
      <c r="I108" s="115">
        <f t="shared" si="10"/>
        <v>1129.80348</v>
      </c>
      <c r="J108" s="110"/>
      <c r="K108" s="110">
        <v>13</v>
      </c>
    </row>
    <row r="109" spans="1:11" ht="15.75" thickBot="1" x14ac:dyDescent="0.3">
      <c r="A109" s="113" t="s">
        <v>186</v>
      </c>
      <c r="B109" s="114">
        <v>3</v>
      </c>
      <c r="C109" s="114">
        <f t="shared" si="7"/>
        <v>39</v>
      </c>
      <c r="D109" s="114">
        <v>34.5</v>
      </c>
      <c r="E109" s="114">
        <v>22.5</v>
      </c>
      <c r="F109" s="114">
        <v>1.813675E-2</v>
      </c>
      <c r="G109" s="114">
        <f t="shared" si="11"/>
        <v>8.4803099999999996E-3</v>
      </c>
      <c r="H109" s="114">
        <f t="shared" si="9"/>
        <v>576.57600000000002</v>
      </c>
      <c r="I109" s="115">
        <f t="shared" si="10"/>
        <v>1129.80348</v>
      </c>
      <c r="J109" s="110"/>
      <c r="K109" s="110">
        <v>13</v>
      </c>
    </row>
    <row r="110" spans="1:11" ht="15.75" thickBot="1" x14ac:dyDescent="0.3">
      <c r="A110" s="113" t="s">
        <v>190</v>
      </c>
      <c r="B110" s="114">
        <v>2</v>
      </c>
      <c r="C110" s="114">
        <f t="shared" si="7"/>
        <v>26</v>
      </c>
      <c r="D110" s="114">
        <v>34.5</v>
      </c>
      <c r="E110" s="114">
        <v>22.5</v>
      </c>
      <c r="F110" s="114">
        <v>1.813675E-2</v>
      </c>
      <c r="G110" s="114">
        <f t="shared" si="11"/>
        <v>8.4803099999999996E-3</v>
      </c>
      <c r="H110" s="114">
        <f t="shared" si="9"/>
        <v>384.38399999999996</v>
      </c>
      <c r="I110" s="115">
        <f t="shared" si="10"/>
        <v>753.20231999999999</v>
      </c>
      <c r="J110" s="110"/>
      <c r="K110" s="110">
        <v>13</v>
      </c>
    </row>
    <row r="111" spans="1:11" ht="15.75" thickBot="1" x14ac:dyDescent="0.3">
      <c r="A111" s="113" t="s">
        <v>191</v>
      </c>
      <c r="B111" s="114">
        <v>2</v>
      </c>
      <c r="C111" s="114">
        <f t="shared" si="7"/>
        <v>26</v>
      </c>
      <c r="D111" s="114">
        <v>34.5</v>
      </c>
      <c r="E111" s="114">
        <v>22.5</v>
      </c>
      <c r="F111" s="114">
        <v>1.813675E-2</v>
      </c>
      <c r="G111" s="114">
        <f t="shared" si="11"/>
        <v>8.4803099999999996E-3</v>
      </c>
      <c r="H111" s="114">
        <f t="shared" si="9"/>
        <v>384.38399999999996</v>
      </c>
      <c r="I111" s="115">
        <f t="shared" si="10"/>
        <v>753.20231999999999</v>
      </c>
      <c r="J111" s="110"/>
      <c r="K111" s="110">
        <v>13</v>
      </c>
    </row>
    <row r="112" spans="1:11" ht="15.75" thickBot="1" x14ac:dyDescent="0.3">
      <c r="A112" s="113" t="s">
        <v>307</v>
      </c>
      <c r="B112" s="114">
        <v>2</v>
      </c>
      <c r="C112" s="114">
        <f t="shared" si="7"/>
        <v>26</v>
      </c>
      <c r="D112" s="114">
        <v>34.5</v>
      </c>
      <c r="E112" s="114">
        <v>22.5</v>
      </c>
      <c r="F112" s="114">
        <v>1.813675E-2</v>
      </c>
      <c r="G112" s="114">
        <f t="shared" si="11"/>
        <v>8.4803099999999996E-3</v>
      </c>
      <c r="H112" s="114">
        <f t="shared" si="9"/>
        <v>384.38399999999996</v>
      </c>
      <c r="I112" s="115">
        <f t="shared" si="10"/>
        <v>753.20231999999999</v>
      </c>
      <c r="J112" s="110"/>
      <c r="K112" s="110">
        <v>13</v>
      </c>
    </row>
    <row r="113" spans="1:11" ht="15.75" thickBot="1" x14ac:dyDescent="0.3">
      <c r="A113" s="113" t="s">
        <v>308</v>
      </c>
      <c r="B113" s="114">
        <v>2</v>
      </c>
      <c r="C113" s="114">
        <f t="shared" si="7"/>
        <v>26</v>
      </c>
      <c r="D113" s="114">
        <v>34.5</v>
      </c>
      <c r="E113" s="114">
        <v>22.5</v>
      </c>
      <c r="F113" s="114">
        <v>1.813675E-2</v>
      </c>
      <c r="G113" s="114">
        <f t="shared" si="11"/>
        <v>8.4803099999999996E-3</v>
      </c>
      <c r="H113" s="114">
        <f t="shared" si="9"/>
        <v>384.38399999999996</v>
      </c>
      <c r="I113" s="115">
        <f t="shared" si="10"/>
        <v>753.20231999999999</v>
      </c>
      <c r="J113" s="110"/>
      <c r="K113" s="110">
        <v>13</v>
      </c>
    </row>
    <row r="114" spans="1:11" ht="15.75" thickBot="1" x14ac:dyDescent="0.3">
      <c r="A114" s="113" t="s">
        <v>309</v>
      </c>
      <c r="B114" s="114">
        <v>2</v>
      </c>
      <c r="C114" s="114">
        <f t="shared" si="7"/>
        <v>26</v>
      </c>
      <c r="D114" s="114">
        <v>34.5</v>
      </c>
      <c r="E114" s="114">
        <v>22.5</v>
      </c>
      <c r="F114" s="114">
        <v>1.813675E-2</v>
      </c>
      <c r="G114" s="114">
        <f t="shared" si="11"/>
        <v>8.4803099999999996E-3</v>
      </c>
      <c r="H114" s="114">
        <f t="shared" si="9"/>
        <v>384.38399999999996</v>
      </c>
      <c r="I114" s="115">
        <f t="shared" si="10"/>
        <v>753.20231999999999</v>
      </c>
      <c r="J114" s="110"/>
      <c r="K114" s="110">
        <v>13</v>
      </c>
    </row>
    <row r="115" spans="1:11" ht="15.75" thickBot="1" x14ac:dyDescent="0.3">
      <c r="A115" s="113" t="s">
        <v>310</v>
      </c>
      <c r="B115" s="114">
        <v>2</v>
      </c>
      <c r="C115" s="114">
        <f t="shared" si="7"/>
        <v>26</v>
      </c>
      <c r="D115" s="114">
        <v>34.5</v>
      </c>
      <c r="E115" s="114">
        <v>22.5</v>
      </c>
      <c r="F115" s="114">
        <v>1.813675E-2</v>
      </c>
      <c r="G115" s="114">
        <f t="shared" si="11"/>
        <v>8.4803099999999996E-3</v>
      </c>
      <c r="H115" s="114">
        <f t="shared" si="9"/>
        <v>384.38399999999996</v>
      </c>
      <c r="I115" s="115">
        <f t="shared" si="10"/>
        <v>753.20231999999999</v>
      </c>
      <c r="J115" s="110"/>
      <c r="K115" s="110">
        <v>13</v>
      </c>
    </row>
    <row r="116" spans="1:11" ht="15.75" thickBot="1" x14ac:dyDescent="0.3">
      <c r="A116" s="113" t="s">
        <v>312</v>
      </c>
      <c r="B116" s="114">
        <v>2</v>
      </c>
      <c r="C116" s="114">
        <f t="shared" si="7"/>
        <v>26</v>
      </c>
      <c r="D116" s="114">
        <v>34.5</v>
      </c>
      <c r="E116" s="114">
        <v>22.5</v>
      </c>
      <c r="F116" s="114">
        <v>1.813675E-2</v>
      </c>
      <c r="G116" s="114">
        <f t="shared" si="11"/>
        <v>8.4803099999999996E-3</v>
      </c>
      <c r="H116" s="114">
        <f t="shared" si="9"/>
        <v>384.38399999999996</v>
      </c>
      <c r="I116" s="115">
        <f t="shared" si="10"/>
        <v>753.20231999999999</v>
      </c>
      <c r="J116" s="110"/>
      <c r="K116" s="110">
        <v>13</v>
      </c>
    </row>
    <row r="117" spans="1:11" ht="15.75" thickBot="1" x14ac:dyDescent="0.3">
      <c r="A117" s="113" t="s">
        <v>313</v>
      </c>
      <c r="B117" s="114">
        <v>2</v>
      </c>
      <c r="C117" s="114">
        <f t="shared" si="7"/>
        <v>0</v>
      </c>
      <c r="D117" s="114">
        <v>34.5</v>
      </c>
      <c r="E117" s="114">
        <v>22.5</v>
      </c>
      <c r="F117" s="114">
        <v>1.813675E-2</v>
      </c>
      <c r="G117" s="114">
        <f t="shared" si="11"/>
        <v>8.4803099999999996E-3</v>
      </c>
      <c r="H117" s="114">
        <f t="shared" si="9"/>
        <v>0</v>
      </c>
      <c r="I117" s="115">
        <f t="shared" si="10"/>
        <v>0</v>
      </c>
      <c r="J117" s="110"/>
      <c r="K117" s="110"/>
    </row>
    <row r="118" spans="1:11" ht="15.75" thickBot="1" x14ac:dyDescent="0.3">
      <c r="A118" s="113" t="s">
        <v>314</v>
      </c>
      <c r="B118" s="114">
        <v>2</v>
      </c>
      <c r="C118" s="114">
        <f t="shared" si="7"/>
        <v>5</v>
      </c>
      <c r="D118" s="114">
        <v>34.5</v>
      </c>
      <c r="E118" s="114">
        <v>22.5</v>
      </c>
      <c r="F118" s="114">
        <v>1.813675E-2</v>
      </c>
      <c r="G118" s="114">
        <f t="shared" si="11"/>
        <v>8.4803099999999996E-3</v>
      </c>
      <c r="H118" s="114">
        <f t="shared" si="9"/>
        <v>73.92</v>
      </c>
      <c r="I118" s="115">
        <f t="shared" si="10"/>
        <v>144.8466</v>
      </c>
      <c r="J118" s="110"/>
      <c r="K118" s="110">
        <v>2.5</v>
      </c>
    </row>
    <row r="119" spans="1:11" ht="15.75" thickBot="1" x14ac:dyDescent="0.3">
      <c r="A119" s="113" t="s">
        <v>317</v>
      </c>
      <c r="B119" s="114">
        <v>2</v>
      </c>
      <c r="C119" s="114">
        <f t="shared" si="7"/>
        <v>5</v>
      </c>
      <c r="D119" s="114">
        <v>34.5</v>
      </c>
      <c r="E119" s="114">
        <v>22.5</v>
      </c>
      <c r="F119" s="114">
        <v>1.813675E-2</v>
      </c>
      <c r="G119" s="114">
        <f t="shared" si="11"/>
        <v>8.4803099999999996E-3</v>
      </c>
      <c r="H119" s="114">
        <f t="shared" si="9"/>
        <v>73.92</v>
      </c>
      <c r="I119" s="115">
        <f t="shared" si="10"/>
        <v>144.8466</v>
      </c>
      <c r="J119" s="110"/>
      <c r="K119" s="110">
        <v>2.5</v>
      </c>
    </row>
    <row r="120" spans="1:11" ht="15.75" thickBot="1" x14ac:dyDescent="0.3">
      <c r="A120" s="113" t="s">
        <v>73</v>
      </c>
      <c r="B120" s="114">
        <v>1</v>
      </c>
      <c r="C120" s="114">
        <f t="shared" si="7"/>
        <v>2.5</v>
      </c>
      <c r="D120" s="114">
        <v>34.5</v>
      </c>
      <c r="E120" s="114">
        <v>22.5</v>
      </c>
      <c r="F120" s="114">
        <v>1.813675E-2</v>
      </c>
      <c r="G120" s="114">
        <f t="shared" si="11"/>
        <v>8.4803099999999996E-3</v>
      </c>
      <c r="H120" s="114">
        <f t="shared" si="9"/>
        <v>36.96</v>
      </c>
      <c r="I120" s="115">
        <f t="shared" si="10"/>
        <v>72.423299999999998</v>
      </c>
      <c r="J120" s="110"/>
      <c r="K120" s="110">
        <v>2.5</v>
      </c>
    </row>
    <row r="121" spans="1:11" ht="15.75" thickBot="1" x14ac:dyDescent="0.3">
      <c r="A121" s="113" t="s">
        <v>76</v>
      </c>
      <c r="B121" s="114">
        <v>1</v>
      </c>
      <c r="C121" s="114">
        <f t="shared" si="7"/>
        <v>2.5</v>
      </c>
      <c r="D121" s="114">
        <v>34.5</v>
      </c>
      <c r="E121" s="114">
        <v>22.5</v>
      </c>
      <c r="F121" s="114">
        <v>1.813675E-2</v>
      </c>
      <c r="G121" s="114">
        <f t="shared" si="11"/>
        <v>8.4803099999999996E-3</v>
      </c>
      <c r="H121" s="114">
        <f t="shared" si="9"/>
        <v>36.96</v>
      </c>
      <c r="I121" s="115">
        <f t="shared" si="10"/>
        <v>72.423299999999998</v>
      </c>
      <c r="J121" s="110"/>
      <c r="K121" s="110">
        <v>2.5</v>
      </c>
    </row>
    <row r="122" spans="1:11" ht="15.75" thickBot="1" x14ac:dyDescent="0.3">
      <c r="A122" s="113" t="s">
        <v>77</v>
      </c>
      <c r="B122" s="114">
        <v>1</v>
      </c>
      <c r="C122" s="114">
        <f t="shared" si="7"/>
        <v>2.5</v>
      </c>
      <c r="D122" s="114">
        <v>34.5</v>
      </c>
      <c r="E122" s="114">
        <v>22.5</v>
      </c>
      <c r="F122" s="114">
        <v>1.813675E-2</v>
      </c>
      <c r="G122" s="114">
        <f t="shared" si="11"/>
        <v>8.4803099999999996E-3</v>
      </c>
      <c r="H122" s="114">
        <f t="shared" si="9"/>
        <v>36.96</v>
      </c>
      <c r="I122" s="115">
        <f t="shared" si="10"/>
        <v>72.423299999999998</v>
      </c>
      <c r="J122" s="110"/>
      <c r="K122" s="110">
        <v>2.5</v>
      </c>
    </row>
    <row r="123" spans="1:11" x14ac:dyDescent="0.25">
      <c r="A123" s="116" t="s">
        <v>320</v>
      </c>
      <c r="B123" s="117">
        <v>10</v>
      </c>
      <c r="C123" s="117">
        <f t="shared" si="7"/>
        <v>80</v>
      </c>
      <c r="D123" s="117">
        <v>34.5</v>
      </c>
      <c r="E123" s="117">
        <v>22.5</v>
      </c>
      <c r="F123" s="117">
        <v>1.813675E-2</v>
      </c>
      <c r="G123" s="117">
        <f t="shared" si="11"/>
        <v>8.4803099999999996E-3</v>
      </c>
      <c r="H123" s="117">
        <f t="shared" si="9"/>
        <v>1182.72</v>
      </c>
      <c r="I123" s="118">
        <f t="shared" si="10"/>
        <v>2317.5455999999999</v>
      </c>
      <c r="J123" s="110"/>
      <c r="K123" s="110">
        <v>8</v>
      </c>
    </row>
  </sheetData>
  <mergeCells count="4">
    <mergeCell ref="A2:I2"/>
    <mergeCell ref="A1:I1"/>
    <mergeCell ref="A43:I43"/>
    <mergeCell ref="A92:I92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4E0F3-7EEF-4833-B64B-6192CDB0C6F8}">
  <dimension ref="A1:I123"/>
  <sheetViews>
    <sheetView topLeftCell="A16" zoomScale="85" zoomScaleNormal="85" workbookViewId="0">
      <selection activeCell="L12" sqref="L12"/>
    </sheetView>
  </sheetViews>
  <sheetFormatPr defaultRowHeight="15" x14ac:dyDescent="0.25"/>
  <cols>
    <col min="1" max="1" width="39.7109375" style="108" customWidth="1"/>
    <col min="2" max="2" width="6.28515625" style="108" customWidth="1"/>
    <col min="3" max="3" width="14.28515625" style="108" customWidth="1"/>
    <col min="4" max="4" width="10.7109375" style="108" customWidth="1"/>
    <col min="5" max="6" width="9.140625" style="108"/>
    <col min="7" max="7" width="9.28515625" style="108" customWidth="1"/>
    <col min="8" max="8" width="9.140625" style="108"/>
    <col min="9" max="16384" width="9.140625" style="110"/>
  </cols>
  <sheetData>
    <row r="1" spans="1:9" ht="24.75" customHeight="1" x14ac:dyDescent="0.25">
      <c r="A1" s="130" t="s">
        <v>513</v>
      </c>
      <c r="B1" s="130"/>
      <c r="C1" s="130"/>
      <c r="D1" s="130"/>
      <c r="E1" s="130"/>
      <c r="F1" s="130"/>
      <c r="G1" s="130"/>
      <c r="H1" s="130"/>
      <c r="I1" s="131"/>
    </row>
    <row r="2" spans="1:9" ht="24" thickBot="1" x14ac:dyDescent="0.4">
      <c r="A2" s="92" t="s">
        <v>161</v>
      </c>
      <c r="B2" s="92"/>
      <c r="C2" s="92"/>
      <c r="D2" s="92"/>
      <c r="E2" s="92"/>
      <c r="F2" s="92"/>
      <c r="G2" s="92"/>
      <c r="H2" s="92"/>
      <c r="I2" s="122"/>
    </row>
    <row r="3" spans="1:9" ht="15.75" thickBot="1" x14ac:dyDescent="0.3">
      <c r="A3" s="119" t="s">
        <v>20</v>
      </c>
      <c r="B3" s="120" t="s">
        <v>495</v>
      </c>
      <c r="C3" s="120" t="s">
        <v>510</v>
      </c>
      <c r="D3" s="120" t="s">
        <v>511</v>
      </c>
      <c r="E3" s="120" t="s">
        <v>512</v>
      </c>
      <c r="F3" s="120" t="s">
        <v>342</v>
      </c>
      <c r="G3" s="120" t="s">
        <v>24</v>
      </c>
      <c r="H3" s="121" t="s">
        <v>25</v>
      </c>
    </row>
    <row r="4" spans="1:9" ht="15.75" thickBot="1" x14ac:dyDescent="0.3">
      <c r="A4" s="113" t="s">
        <v>241</v>
      </c>
      <c r="B4" s="114">
        <v>3</v>
      </c>
      <c r="C4" s="114">
        <v>70</v>
      </c>
      <c r="D4" s="114">
        <v>0.6</v>
      </c>
      <c r="E4" s="114">
        <v>0.4</v>
      </c>
      <c r="F4" s="114">
        <v>0.92</v>
      </c>
      <c r="G4" s="114">
        <f t="shared" ref="G4:G40" si="0">B4*C4*D4*F4</f>
        <v>115.92</v>
      </c>
      <c r="H4" s="115">
        <f t="shared" ref="H4:H40" si="1">C4*E4*F4</f>
        <v>25.76</v>
      </c>
    </row>
    <row r="5" spans="1:9" ht="15.75" thickBot="1" x14ac:dyDescent="0.3">
      <c r="A5" s="113" t="s">
        <v>244</v>
      </c>
      <c r="B5" s="114">
        <v>6</v>
      </c>
      <c r="C5" s="114">
        <v>150</v>
      </c>
      <c r="D5" s="114">
        <v>0.5</v>
      </c>
      <c r="E5" s="114">
        <v>0.5</v>
      </c>
      <c r="F5" s="114">
        <v>0.92</v>
      </c>
      <c r="G5" s="114">
        <f t="shared" si="0"/>
        <v>414</v>
      </c>
      <c r="H5" s="115">
        <f t="shared" si="1"/>
        <v>69</v>
      </c>
    </row>
    <row r="6" spans="1:9" ht="15.75" thickBot="1" x14ac:dyDescent="0.3">
      <c r="A6" s="113" t="s">
        <v>246</v>
      </c>
      <c r="B6" s="114">
        <v>6</v>
      </c>
      <c r="C6" s="114">
        <v>100</v>
      </c>
      <c r="D6" s="114">
        <v>0.6</v>
      </c>
      <c r="E6" s="114">
        <v>0.4</v>
      </c>
      <c r="F6" s="114">
        <v>0.92</v>
      </c>
      <c r="G6" s="114">
        <f t="shared" si="0"/>
        <v>331.2</v>
      </c>
      <c r="H6" s="115">
        <f t="shared" si="1"/>
        <v>36.800000000000004</v>
      </c>
    </row>
    <row r="7" spans="1:9" ht="15.75" thickBot="1" x14ac:dyDescent="0.3">
      <c r="A7" s="113" t="s">
        <v>248</v>
      </c>
      <c r="B7" s="114">
        <v>2</v>
      </c>
      <c r="C7" s="114">
        <v>150</v>
      </c>
      <c r="D7" s="114">
        <v>0.5</v>
      </c>
      <c r="E7" s="114">
        <v>0.5</v>
      </c>
      <c r="F7" s="114">
        <v>0.92</v>
      </c>
      <c r="G7" s="114">
        <f t="shared" si="0"/>
        <v>138</v>
      </c>
      <c r="H7" s="115">
        <f t="shared" si="1"/>
        <v>69</v>
      </c>
    </row>
    <row r="8" spans="1:9" ht="15.75" thickBot="1" x14ac:dyDescent="0.3">
      <c r="A8" s="113" t="s">
        <v>250</v>
      </c>
      <c r="B8" s="114">
        <v>4</v>
      </c>
      <c r="C8" s="114">
        <v>150</v>
      </c>
      <c r="D8" s="114">
        <v>0.5</v>
      </c>
      <c r="E8" s="114">
        <v>0.5</v>
      </c>
      <c r="F8" s="114">
        <v>0.92</v>
      </c>
      <c r="G8" s="114">
        <f t="shared" si="0"/>
        <v>276</v>
      </c>
      <c r="H8" s="115">
        <f t="shared" si="1"/>
        <v>69</v>
      </c>
    </row>
    <row r="9" spans="1:9" ht="15.75" thickBot="1" x14ac:dyDescent="0.3">
      <c r="A9" s="113" t="s">
        <v>251</v>
      </c>
      <c r="B9" s="114">
        <v>2</v>
      </c>
      <c r="C9" s="114">
        <v>150</v>
      </c>
      <c r="D9" s="114">
        <v>0.55000000000000004</v>
      </c>
      <c r="E9" s="114">
        <v>0.45</v>
      </c>
      <c r="F9" s="114">
        <v>0.92</v>
      </c>
      <c r="G9" s="114">
        <f t="shared" si="0"/>
        <v>151.80000000000001</v>
      </c>
      <c r="H9" s="115">
        <f t="shared" si="1"/>
        <v>62.1</v>
      </c>
    </row>
    <row r="10" spans="1:9" ht="15.75" thickBot="1" x14ac:dyDescent="0.3">
      <c r="A10" s="113" t="s">
        <v>253</v>
      </c>
      <c r="B10" s="114">
        <v>5</v>
      </c>
      <c r="C10" s="114">
        <v>150</v>
      </c>
      <c r="D10" s="114">
        <v>0.55000000000000004</v>
      </c>
      <c r="E10" s="114">
        <v>0.45</v>
      </c>
      <c r="F10" s="114">
        <v>0.92</v>
      </c>
      <c r="G10" s="114">
        <f t="shared" si="0"/>
        <v>379.50000000000006</v>
      </c>
      <c r="H10" s="115">
        <f t="shared" si="1"/>
        <v>62.1</v>
      </c>
    </row>
    <row r="11" spans="1:9" ht="15.75" thickBot="1" x14ac:dyDescent="0.3">
      <c r="A11" s="113" t="s">
        <v>254</v>
      </c>
      <c r="B11" s="114">
        <v>4</v>
      </c>
      <c r="C11" s="114">
        <v>100</v>
      </c>
      <c r="D11" s="114">
        <v>0.6</v>
      </c>
      <c r="E11" s="114">
        <v>0.4</v>
      </c>
      <c r="F11" s="114">
        <v>0.92</v>
      </c>
      <c r="G11" s="114">
        <f t="shared" si="0"/>
        <v>220.8</v>
      </c>
      <c r="H11" s="115">
        <f t="shared" si="1"/>
        <v>36.800000000000004</v>
      </c>
    </row>
    <row r="12" spans="1:9" ht="15.75" thickBot="1" x14ac:dyDescent="0.3">
      <c r="A12" s="113" t="s">
        <v>255</v>
      </c>
      <c r="B12" s="114">
        <v>6</v>
      </c>
      <c r="C12" s="114">
        <v>100</v>
      </c>
      <c r="D12" s="114">
        <v>0.6</v>
      </c>
      <c r="E12" s="114">
        <v>0.4</v>
      </c>
      <c r="F12" s="114">
        <v>0.92</v>
      </c>
      <c r="G12" s="114">
        <f t="shared" si="0"/>
        <v>331.2</v>
      </c>
      <c r="H12" s="115">
        <f t="shared" si="1"/>
        <v>36.800000000000004</v>
      </c>
    </row>
    <row r="13" spans="1:9" ht="15.75" thickBot="1" x14ac:dyDescent="0.3">
      <c r="A13" s="113" t="s">
        <v>256</v>
      </c>
      <c r="B13" s="114">
        <v>4</v>
      </c>
      <c r="C13" s="114">
        <v>150</v>
      </c>
      <c r="D13" s="114">
        <v>0.5</v>
      </c>
      <c r="E13" s="114">
        <v>0.5</v>
      </c>
      <c r="F13" s="114">
        <v>0.92</v>
      </c>
      <c r="G13" s="114">
        <f t="shared" si="0"/>
        <v>276</v>
      </c>
      <c r="H13" s="115">
        <f t="shared" si="1"/>
        <v>69</v>
      </c>
    </row>
    <row r="14" spans="1:9" ht="15.75" thickBot="1" x14ac:dyDescent="0.3">
      <c r="A14" s="113" t="s">
        <v>258</v>
      </c>
      <c r="B14" s="114">
        <v>2</v>
      </c>
      <c r="C14" s="114">
        <v>150</v>
      </c>
      <c r="D14" s="114">
        <v>0.5</v>
      </c>
      <c r="E14" s="114">
        <v>0.5</v>
      </c>
      <c r="F14" s="114">
        <v>0.92</v>
      </c>
      <c r="G14" s="114">
        <f t="shared" si="0"/>
        <v>138</v>
      </c>
      <c r="H14" s="115">
        <f t="shared" si="1"/>
        <v>69</v>
      </c>
    </row>
    <row r="15" spans="1:9" ht="15.75" thickBot="1" x14ac:dyDescent="0.3">
      <c r="A15" s="113" t="s">
        <v>259</v>
      </c>
      <c r="B15" s="114">
        <v>2</v>
      </c>
      <c r="C15" s="114">
        <v>150</v>
      </c>
      <c r="D15" s="114">
        <v>0.5</v>
      </c>
      <c r="E15" s="114">
        <v>0.5</v>
      </c>
      <c r="F15" s="114">
        <v>0.92</v>
      </c>
      <c r="G15" s="114">
        <f t="shared" si="0"/>
        <v>138</v>
      </c>
      <c r="H15" s="115">
        <f t="shared" si="1"/>
        <v>69</v>
      </c>
    </row>
    <row r="16" spans="1:9" ht="15.75" thickBot="1" x14ac:dyDescent="0.3">
      <c r="A16" s="113" t="s">
        <v>261</v>
      </c>
      <c r="B16" s="114">
        <v>3</v>
      </c>
      <c r="C16" s="114">
        <v>150</v>
      </c>
      <c r="D16" s="114">
        <v>0.5</v>
      </c>
      <c r="E16" s="114">
        <v>0.5</v>
      </c>
      <c r="F16" s="114">
        <v>0.92</v>
      </c>
      <c r="G16" s="114">
        <f t="shared" si="0"/>
        <v>207</v>
      </c>
      <c r="H16" s="115">
        <f t="shared" si="1"/>
        <v>69</v>
      </c>
    </row>
    <row r="17" spans="1:8" ht="15.75" thickBot="1" x14ac:dyDescent="0.3">
      <c r="A17" s="113" t="s">
        <v>262</v>
      </c>
      <c r="B17" s="114">
        <v>3</v>
      </c>
      <c r="C17" s="114">
        <v>150</v>
      </c>
      <c r="D17" s="114">
        <v>0.5</v>
      </c>
      <c r="E17" s="114">
        <v>0.5</v>
      </c>
      <c r="F17" s="114">
        <v>0.92</v>
      </c>
      <c r="G17" s="114">
        <f t="shared" si="0"/>
        <v>207</v>
      </c>
      <c r="H17" s="115">
        <f t="shared" si="1"/>
        <v>69</v>
      </c>
    </row>
    <row r="18" spans="1:8" ht="15.75" thickBot="1" x14ac:dyDescent="0.3">
      <c r="A18" s="113" t="s">
        <v>263</v>
      </c>
      <c r="B18" s="114">
        <v>1</v>
      </c>
      <c r="C18" s="114">
        <v>150</v>
      </c>
      <c r="D18" s="114">
        <v>0.55000000000000004</v>
      </c>
      <c r="E18" s="114">
        <v>0.45</v>
      </c>
      <c r="F18" s="114">
        <v>0.92</v>
      </c>
      <c r="G18" s="114">
        <f t="shared" si="0"/>
        <v>75.900000000000006</v>
      </c>
      <c r="H18" s="115">
        <f t="shared" si="1"/>
        <v>62.1</v>
      </c>
    </row>
    <row r="19" spans="1:8" ht="15.75" thickBot="1" x14ac:dyDescent="0.3">
      <c r="A19" s="113" t="s">
        <v>264</v>
      </c>
      <c r="B19" s="114">
        <v>1</v>
      </c>
      <c r="C19" s="114">
        <v>150</v>
      </c>
      <c r="D19" s="114">
        <v>0.55000000000000004</v>
      </c>
      <c r="E19" s="114">
        <v>0.45</v>
      </c>
      <c r="F19" s="114">
        <v>0.92</v>
      </c>
      <c r="G19" s="114">
        <f t="shared" si="0"/>
        <v>75.900000000000006</v>
      </c>
      <c r="H19" s="115">
        <f t="shared" si="1"/>
        <v>62.1</v>
      </c>
    </row>
    <row r="20" spans="1:8" ht="15.75" thickBot="1" x14ac:dyDescent="0.3">
      <c r="A20" s="113" t="s">
        <v>265</v>
      </c>
      <c r="B20" s="114">
        <v>1</v>
      </c>
      <c r="C20" s="114">
        <v>150</v>
      </c>
      <c r="D20" s="114">
        <v>0.55000000000000004</v>
      </c>
      <c r="E20" s="114">
        <v>0.45</v>
      </c>
      <c r="F20" s="114">
        <v>0.92</v>
      </c>
      <c r="G20" s="114">
        <f t="shared" si="0"/>
        <v>75.900000000000006</v>
      </c>
      <c r="H20" s="115">
        <f t="shared" si="1"/>
        <v>62.1</v>
      </c>
    </row>
    <row r="21" spans="1:8" ht="15.75" thickBot="1" x14ac:dyDescent="0.3">
      <c r="A21" s="113" t="s">
        <v>267</v>
      </c>
      <c r="B21" s="114">
        <v>5</v>
      </c>
      <c r="C21" s="114">
        <v>150</v>
      </c>
      <c r="D21" s="114">
        <v>0.5</v>
      </c>
      <c r="E21" s="114">
        <v>0.5</v>
      </c>
      <c r="F21" s="114">
        <v>0.92</v>
      </c>
      <c r="G21" s="114">
        <f t="shared" si="0"/>
        <v>345</v>
      </c>
      <c r="H21" s="115">
        <f t="shared" si="1"/>
        <v>69</v>
      </c>
    </row>
    <row r="22" spans="1:8" ht="15.75" thickBot="1" x14ac:dyDescent="0.3">
      <c r="A22" s="113" t="s">
        <v>268</v>
      </c>
      <c r="B22" s="114">
        <v>3</v>
      </c>
      <c r="C22" s="114">
        <v>100</v>
      </c>
      <c r="D22" s="114">
        <v>0.6</v>
      </c>
      <c r="E22" s="114">
        <v>0.4</v>
      </c>
      <c r="F22" s="114">
        <v>0.92</v>
      </c>
      <c r="G22" s="114">
        <f t="shared" si="0"/>
        <v>165.6</v>
      </c>
      <c r="H22" s="115">
        <f t="shared" si="1"/>
        <v>36.800000000000004</v>
      </c>
    </row>
    <row r="23" spans="1:8" ht="15.75" thickBot="1" x14ac:dyDescent="0.3">
      <c r="A23" s="113" t="s">
        <v>269</v>
      </c>
      <c r="B23" s="114">
        <v>4</v>
      </c>
      <c r="C23" s="114">
        <v>100</v>
      </c>
      <c r="D23" s="114">
        <v>0.6</v>
      </c>
      <c r="E23" s="114">
        <v>0.4</v>
      </c>
      <c r="F23" s="114">
        <v>0.92</v>
      </c>
      <c r="G23" s="114">
        <f t="shared" si="0"/>
        <v>220.8</v>
      </c>
      <c r="H23" s="115">
        <f t="shared" si="1"/>
        <v>36.800000000000004</v>
      </c>
    </row>
    <row r="24" spans="1:8" ht="15.75" thickBot="1" x14ac:dyDescent="0.3">
      <c r="A24" s="113" t="s">
        <v>270</v>
      </c>
      <c r="B24" s="114">
        <v>2</v>
      </c>
      <c r="C24" s="114">
        <v>100</v>
      </c>
      <c r="D24" s="114">
        <v>0.6</v>
      </c>
      <c r="E24" s="114">
        <v>0.4</v>
      </c>
      <c r="F24" s="114">
        <v>0.92</v>
      </c>
      <c r="G24" s="114">
        <f t="shared" si="0"/>
        <v>110.4</v>
      </c>
      <c r="H24" s="115">
        <f t="shared" si="1"/>
        <v>36.800000000000004</v>
      </c>
    </row>
    <row r="25" spans="1:8" ht="15.75" thickBot="1" x14ac:dyDescent="0.3">
      <c r="A25" s="113" t="s">
        <v>271</v>
      </c>
      <c r="B25" s="114">
        <v>2</v>
      </c>
      <c r="C25" s="114">
        <v>100</v>
      </c>
      <c r="D25" s="114">
        <v>0.6</v>
      </c>
      <c r="E25" s="114">
        <v>0.4</v>
      </c>
      <c r="F25" s="114">
        <v>0.92</v>
      </c>
      <c r="G25" s="114">
        <f t="shared" si="0"/>
        <v>110.4</v>
      </c>
      <c r="H25" s="115">
        <f t="shared" si="1"/>
        <v>36.800000000000004</v>
      </c>
    </row>
    <row r="26" spans="1:8" ht="15.75" thickBot="1" x14ac:dyDescent="0.3">
      <c r="A26" s="113" t="s">
        <v>273</v>
      </c>
      <c r="B26" s="114">
        <v>3</v>
      </c>
      <c r="C26" s="114">
        <v>150</v>
      </c>
      <c r="D26" s="114">
        <v>0.55000000000000004</v>
      </c>
      <c r="E26" s="114">
        <v>0.45</v>
      </c>
      <c r="F26" s="114">
        <v>0.92</v>
      </c>
      <c r="G26" s="114">
        <f t="shared" si="0"/>
        <v>227.70000000000005</v>
      </c>
      <c r="H26" s="115">
        <f t="shared" si="1"/>
        <v>62.1</v>
      </c>
    </row>
    <row r="27" spans="1:8" ht="15.75" thickBot="1" x14ac:dyDescent="0.3">
      <c r="A27" s="113" t="s">
        <v>274</v>
      </c>
      <c r="B27" s="114">
        <v>2</v>
      </c>
      <c r="C27" s="114">
        <v>100</v>
      </c>
      <c r="D27" s="114">
        <v>0.6</v>
      </c>
      <c r="E27" s="114">
        <v>0.4</v>
      </c>
      <c r="F27" s="114">
        <v>0.92</v>
      </c>
      <c r="G27" s="114">
        <f t="shared" si="0"/>
        <v>110.4</v>
      </c>
      <c r="H27" s="115">
        <f t="shared" si="1"/>
        <v>36.800000000000004</v>
      </c>
    </row>
    <row r="28" spans="1:8" ht="15.75" thickBot="1" x14ac:dyDescent="0.3">
      <c r="A28" s="113" t="s">
        <v>275</v>
      </c>
      <c r="B28" s="114">
        <v>2</v>
      </c>
      <c r="C28" s="114">
        <v>100</v>
      </c>
      <c r="D28" s="114">
        <v>0.6</v>
      </c>
      <c r="E28" s="114">
        <v>0.4</v>
      </c>
      <c r="F28" s="114">
        <v>0.92</v>
      </c>
      <c r="G28" s="114">
        <f t="shared" si="0"/>
        <v>110.4</v>
      </c>
      <c r="H28" s="115">
        <f t="shared" si="1"/>
        <v>36.800000000000004</v>
      </c>
    </row>
    <row r="29" spans="1:8" ht="15.75" thickBot="1" x14ac:dyDescent="0.3">
      <c r="A29" s="113" t="s">
        <v>280</v>
      </c>
      <c r="B29" s="114">
        <v>2</v>
      </c>
      <c r="C29" s="114">
        <v>150</v>
      </c>
      <c r="D29" s="114">
        <v>0.55000000000000004</v>
      </c>
      <c r="E29" s="114">
        <v>0.45</v>
      </c>
      <c r="F29" s="114">
        <v>0.92</v>
      </c>
      <c r="G29" s="114">
        <f t="shared" si="0"/>
        <v>151.80000000000001</v>
      </c>
      <c r="H29" s="115">
        <f t="shared" si="1"/>
        <v>62.1</v>
      </c>
    </row>
    <row r="30" spans="1:8" ht="15.75" thickBot="1" x14ac:dyDescent="0.3">
      <c r="A30" s="113" t="s">
        <v>284</v>
      </c>
      <c r="B30" s="114">
        <v>2</v>
      </c>
      <c r="C30" s="114">
        <v>150</v>
      </c>
      <c r="D30" s="114">
        <v>0.55000000000000004</v>
      </c>
      <c r="E30" s="114">
        <v>0.45</v>
      </c>
      <c r="F30" s="114">
        <v>0.92</v>
      </c>
      <c r="G30" s="114">
        <f t="shared" si="0"/>
        <v>151.80000000000001</v>
      </c>
      <c r="H30" s="115">
        <f t="shared" si="1"/>
        <v>62.1</v>
      </c>
    </row>
    <row r="31" spans="1:8" ht="15.75" thickBot="1" x14ac:dyDescent="0.3">
      <c r="A31" s="113" t="s">
        <v>285</v>
      </c>
      <c r="B31" s="114">
        <v>3</v>
      </c>
      <c r="C31" s="114">
        <v>100</v>
      </c>
      <c r="D31" s="114">
        <v>0.6</v>
      </c>
      <c r="E31" s="114">
        <v>0.4</v>
      </c>
      <c r="F31" s="114">
        <v>0.92</v>
      </c>
      <c r="G31" s="114">
        <f t="shared" si="0"/>
        <v>165.6</v>
      </c>
      <c r="H31" s="115">
        <f t="shared" si="1"/>
        <v>36.800000000000004</v>
      </c>
    </row>
    <row r="32" spans="1:8" ht="15.75" thickBot="1" x14ac:dyDescent="0.3">
      <c r="A32" s="113" t="s">
        <v>287</v>
      </c>
      <c r="B32" s="114">
        <v>3</v>
      </c>
      <c r="C32" s="114">
        <v>150</v>
      </c>
      <c r="D32" s="114">
        <v>0.55000000000000004</v>
      </c>
      <c r="E32" s="114">
        <v>0.45</v>
      </c>
      <c r="F32" s="114">
        <v>0.92</v>
      </c>
      <c r="G32" s="114">
        <f t="shared" si="0"/>
        <v>227.70000000000005</v>
      </c>
      <c r="H32" s="115">
        <f t="shared" si="1"/>
        <v>62.1</v>
      </c>
    </row>
    <row r="33" spans="1:9" ht="15.75" thickBot="1" x14ac:dyDescent="0.3">
      <c r="A33" s="113" t="s">
        <v>288</v>
      </c>
      <c r="B33" s="114"/>
      <c r="C33" s="114"/>
      <c r="D33" s="114"/>
      <c r="E33" s="114"/>
      <c r="F33" s="114">
        <v>0.92</v>
      </c>
      <c r="G33" s="114">
        <f t="shared" si="0"/>
        <v>0</v>
      </c>
      <c r="H33" s="115">
        <f t="shared" si="1"/>
        <v>0</v>
      </c>
    </row>
    <row r="34" spans="1:9" ht="15.75" thickBot="1" x14ac:dyDescent="0.3">
      <c r="A34" s="113" t="s">
        <v>289</v>
      </c>
      <c r="B34" s="114">
        <v>4</v>
      </c>
      <c r="C34" s="114">
        <v>100</v>
      </c>
      <c r="D34" s="114">
        <v>0.6</v>
      </c>
      <c r="E34" s="114">
        <v>0.4</v>
      </c>
      <c r="F34" s="114">
        <v>0.92</v>
      </c>
      <c r="G34" s="114">
        <f t="shared" si="0"/>
        <v>220.8</v>
      </c>
      <c r="H34" s="115">
        <f t="shared" si="1"/>
        <v>36.800000000000004</v>
      </c>
    </row>
    <row r="35" spans="1:9" ht="15.75" thickBot="1" x14ac:dyDescent="0.3">
      <c r="A35" s="113" t="s">
        <v>293</v>
      </c>
      <c r="B35" s="114">
        <v>2</v>
      </c>
      <c r="C35" s="114">
        <v>150</v>
      </c>
      <c r="D35" s="114">
        <v>0.5</v>
      </c>
      <c r="E35" s="114">
        <v>0.5</v>
      </c>
      <c r="F35" s="114">
        <v>0.92</v>
      </c>
      <c r="G35" s="114">
        <f t="shared" si="0"/>
        <v>138</v>
      </c>
      <c r="H35" s="115">
        <f t="shared" si="1"/>
        <v>69</v>
      </c>
    </row>
    <row r="36" spans="1:9" ht="15.75" thickBot="1" x14ac:dyDescent="0.3">
      <c r="A36" s="113" t="s">
        <v>294</v>
      </c>
      <c r="B36" s="114">
        <v>3</v>
      </c>
      <c r="C36" s="114">
        <v>150</v>
      </c>
      <c r="D36" s="114">
        <v>0.55000000000000004</v>
      </c>
      <c r="E36" s="114">
        <v>0.45</v>
      </c>
      <c r="F36" s="114">
        <v>0.92</v>
      </c>
      <c r="G36" s="114">
        <f t="shared" si="0"/>
        <v>227.70000000000005</v>
      </c>
      <c r="H36" s="115">
        <f t="shared" si="1"/>
        <v>62.1</v>
      </c>
    </row>
    <row r="37" spans="1:9" ht="15.75" thickBot="1" x14ac:dyDescent="0.3">
      <c r="A37" s="113" t="s">
        <v>295</v>
      </c>
      <c r="B37" s="114">
        <v>3</v>
      </c>
      <c r="C37" s="114">
        <v>100</v>
      </c>
      <c r="D37" s="114">
        <v>0.6</v>
      </c>
      <c r="E37" s="114">
        <v>0.4</v>
      </c>
      <c r="F37" s="114">
        <v>0.92</v>
      </c>
      <c r="G37" s="114">
        <f t="shared" si="0"/>
        <v>165.6</v>
      </c>
      <c r="H37" s="115">
        <f t="shared" si="1"/>
        <v>36.800000000000004</v>
      </c>
    </row>
    <row r="38" spans="1:9" ht="15.75" thickBot="1" x14ac:dyDescent="0.3">
      <c r="A38" s="113" t="s">
        <v>296</v>
      </c>
      <c r="B38" s="114">
        <v>8</v>
      </c>
      <c r="C38" s="114">
        <v>100</v>
      </c>
      <c r="D38" s="114">
        <v>0.6</v>
      </c>
      <c r="E38" s="114">
        <v>0.4</v>
      </c>
      <c r="F38" s="114">
        <v>0.92</v>
      </c>
      <c r="G38" s="114">
        <f t="shared" si="0"/>
        <v>441.6</v>
      </c>
      <c r="H38" s="115">
        <f t="shared" si="1"/>
        <v>36.800000000000004</v>
      </c>
    </row>
    <row r="39" spans="1:9" ht="15.75" thickBot="1" x14ac:dyDescent="0.3">
      <c r="A39" s="113" t="s">
        <v>297</v>
      </c>
      <c r="B39" s="114">
        <v>4</v>
      </c>
      <c r="C39" s="114">
        <v>100</v>
      </c>
      <c r="D39" s="114">
        <v>0.6</v>
      </c>
      <c r="E39" s="114">
        <v>0.4</v>
      </c>
      <c r="F39" s="114">
        <v>0.92</v>
      </c>
      <c r="G39" s="114">
        <f t="shared" si="0"/>
        <v>220.8</v>
      </c>
      <c r="H39" s="115">
        <f t="shared" si="1"/>
        <v>36.800000000000004</v>
      </c>
    </row>
    <row r="40" spans="1:9" x14ac:dyDescent="0.25">
      <c r="A40" s="116" t="s">
        <v>299</v>
      </c>
      <c r="B40" s="117">
        <v>20</v>
      </c>
      <c r="C40" s="117">
        <v>100</v>
      </c>
      <c r="D40" s="117">
        <v>0.6</v>
      </c>
      <c r="E40" s="117">
        <v>0.4</v>
      </c>
      <c r="F40" s="117">
        <v>0.92</v>
      </c>
      <c r="G40" s="117">
        <f t="shared" si="0"/>
        <v>1104</v>
      </c>
      <c r="H40" s="118">
        <f t="shared" si="1"/>
        <v>36.800000000000004</v>
      </c>
    </row>
    <row r="43" spans="1:9" ht="24" customHeight="1" thickBot="1" x14ac:dyDescent="0.4">
      <c r="A43" s="92" t="s">
        <v>42</v>
      </c>
      <c r="B43" s="92"/>
      <c r="C43" s="92"/>
      <c r="D43" s="92"/>
      <c r="E43" s="92"/>
      <c r="F43" s="92"/>
      <c r="G43" s="92"/>
      <c r="H43" s="92"/>
      <c r="I43" s="122"/>
    </row>
    <row r="44" spans="1:9" ht="15.75" customHeight="1" thickBot="1" x14ac:dyDescent="0.3">
      <c r="A44" s="119" t="s">
        <v>20</v>
      </c>
      <c r="B44" s="120" t="s">
        <v>495</v>
      </c>
      <c r="C44" s="120" t="s">
        <v>510</v>
      </c>
      <c r="D44" s="120" t="s">
        <v>511</v>
      </c>
      <c r="E44" s="120" t="s">
        <v>512</v>
      </c>
      <c r="F44" s="120" t="s">
        <v>342</v>
      </c>
      <c r="G44" s="120" t="s">
        <v>24</v>
      </c>
      <c r="H44" s="121" t="s">
        <v>25</v>
      </c>
    </row>
    <row r="45" spans="1:9" ht="15.75" customHeight="1" thickBot="1" x14ac:dyDescent="0.3">
      <c r="A45" s="48" t="s">
        <v>124</v>
      </c>
      <c r="B45" s="126">
        <v>5</v>
      </c>
      <c r="C45" s="126">
        <v>70</v>
      </c>
      <c r="D45" s="126">
        <v>0.75</v>
      </c>
      <c r="E45" s="126">
        <v>0.25</v>
      </c>
      <c r="F45" s="126">
        <v>0.92</v>
      </c>
      <c r="G45" s="126">
        <f>B45*C45*D45*F45</f>
        <v>241.5</v>
      </c>
      <c r="H45" s="127">
        <f>B45*C45*E45</f>
        <v>87.5</v>
      </c>
    </row>
    <row r="46" spans="1:9" ht="15.75" customHeight="1" thickBot="1" x14ac:dyDescent="0.3">
      <c r="A46" s="48" t="s">
        <v>170</v>
      </c>
      <c r="B46" s="126">
        <v>5</v>
      </c>
      <c r="C46" s="126">
        <v>70</v>
      </c>
      <c r="D46" s="126">
        <v>0.75</v>
      </c>
      <c r="E46" s="126">
        <v>0.25</v>
      </c>
      <c r="F46" s="126">
        <v>0.92</v>
      </c>
      <c r="G46" s="126">
        <f t="shared" ref="G46:G89" si="2">B46*C46*D46*F46</f>
        <v>241.5</v>
      </c>
      <c r="H46" s="127">
        <f t="shared" ref="H46:H89" si="3">B46*C46*E46</f>
        <v>87.5</v>
      </c>
    </row>
    <row r="47" spans="1:9" ht="15.75" customHeight="1" thickBot="1" x14ac:dyDescent="0.3">
      <c r="A47" s="48" t="s">
        <v>125</v>
      </c>
      <c r="B47" s="126">
        <v>5</v>
      </c>
      <c r="C47" s="126">
        <v>70</v>
      </c>
      <c r="D47" s="126">
        <v>0.75</v>
      </c>
      <c r="E47" s="126">
        <v>0.25</v>
      </c>
      <c r="F47" s="126">
        <v>0.92</v>
      </c>
      <c r="G47" s="126">
        <f t="shared" si="2"/>
        <v>241.5</v>
      </c>
      <c r="H47" s="127">
        <f t="shared" si="3"/>
        <v>87.5</v>
      </c>
    </row>
    <row r="48" spans="1:9" ht="15.75" customHeight="1" thickBot="1" x14ac:dyDescent="0.3">
      <c r="A48" s="48" t="s">
        <v>126</v>
      </c>
      <c r="B48" s="126">
        <v>5</v>
      </c>
      <c r="C48" s="126">
        <v>70</v>
      </c>
      <c r="D48" s="126">
        <v>0.75</v>
      </c>
      <c r="E48" s="126">
        <v>0.25</v>
      </c>
      <c r="F48" s="126">
        <v>0.92</v>
      </c>
      <c r="G48" s="126">
        <f t="shared" si="2"/>
        <v>241.5</v>
      </c>
      <c r="H48" s="127">
        <f t="shared" si="3"/>
        <v>87.5</v>
      </c>
    </row>
    <row r="49" spans="1:8" ht="15.75" customHeight="1" thickBot="1" x14ac:dyDescent="0.3">
      <c r="A49" s="48" t="s">
        <v>171</v>
      </c>
      <c r="B49" s="126">
        <v>3</v>
      </c>
      <c r="C49" s="126">
        <v>70</v>
      </c>
      <c r="D49" s="126">
        <v>0.75</v>
      </c>
      <c r="E49" s="126">
        <v>0.25</v>
      </c>
      <c r="F49" s="126">
        <v>0.92</v>
      </c>
      <c r="G49" s="126">
        <f t="shared" si="2"/>
        <v>144.9</v>
      </c>
      <c r="H49" s="127">
        <f t="shared" si="3"/>
        <v>52.5</v>
      </c>
    </row>
    <row r="50" spans="1:8" ht="15.75" customHeight="1" thickBot="1" x14ac:dyDescent="0.3">
      <c r="A50" s="48" t="s">
        <v>172</v>
      </c>
      <c r="B50" s="126">
        <v>2</v>
      </c>
      <c r="C50" s="126">
        <v>70</v>
      </c>
      <c r="D50" s="126">
        <v>0.75</v>
      </c>
      <c r="E50" s="126">
        <v>0.25</v>
      </c>
      <c r="F50" s="126">
        <v>0.92</v>
      </c>
      <c r="G50" s="126">
        <f t="shared" si="2"/>
        <v>96.600000000000009</v>
      </c>
      <c r="H50" s="127">
        <f t="shared" si="3"/>
        <v>35</v>
      </c>
    </row>
    <row r="51" spans="1:8" ht="15.75" thickBot="1" x14ac:dyDescent="0.3">
      <c r="A51" s="48" t="s">
        <v>173</v>
      </c>
      <c r="B51" s="126">
        <v>2</v>
      </c>
      <c r="C51" s="126">
        <v>70</v>
      </c>
      <c r="D51" s="126">
        <v>0.75</v>
      </c>
      <c r="E51" s="126">
        <v>0.25</v>
      </c>
      <c r="F51" s="126">
        <v>0.92</v>
      </c>
      <c r="G51" s="126">
        <f t="shared" si="2"/>
        <v>96.600000000000009</v>
      </c>
      <c r="H51" s="127">
        <f t="shared" si="3"/>
        <v>35</v>
      </c>
    </row>
    <row r="52" spans="1:8" ht="15.75" thickBot="1" x14ac:dyDescent="0.3">
      <c r="A52" s="48" t="s">
        <v>174</v>
      </c>
      <c r="B52" s="126">
        <v>4</v>
      </c>
      <c r="C52" s="126">
        <v>100</v>
      </c>
      <c r="D52" s="126">
        <v>0.6</v>
      </c>
      <c r="E52" s="126">
        <v>0.4</v>
      </c>
      <c r="F52" s="126">
        <v>0.92</v>
      </c>
      <c r="G52" s="126">
        <f t="shared" si="2"/>
        <v>220.8</v>
      </c>
      <c r="H52" s="127">
        <f t="shared" si="3"/>
        <v>160</v>
      </c>
    </row>
    <row r="53" spans="1:8" ht="15.75" thickBot="1" x14ac:dyDescent="0.3">
      <c r="A53" s="48" t="s">
        <v>175</v>
      </c>
      <c r="B53" s="126">
        <v>3</v>
      </c>
      <c r="C53" s="126">
        <v>70</v>
      </c>
      <c r="D53" s="126">
        <v>0.75</v>
      </c>
      <c r="E53" s="126">
        <v>0.25</v>
      </c>
      <c r="F53" s="126">
        <v>0.92</v>
      </c>
      <c r="G53" s="126">
        <f t="shared" si="2"/>
        <v>144.9</v>
      </c>
      <c r="H53" s="127">
        <f t="shared" si="3"/>
        <v>52.5</v>
      </c>
    </row>
    <row r="54" spans="1:8" ht="15.75" thickBot="1" x14ac:dyDescent="0.3">
      <c r="A54" s="48" t="s">
        <v>176</v>
      </c>
      <c r="B54" s="126">
        <v>8</v>
      </c>
      <c r="C54" s="126">
        <v>100</v>
      </c>
      <c r="D54" s="126">
        <v>0.6</v>
      </c>
      <c r="E54" s="126">
        <v>0.4</v>
      </c>
      <c r="F54" s="126">
        <v>0.92</v>
      </c>
      <c r="G54" s="126">
        <f t="shared" si="2"/>
        <v>441.6</v>
      </c>
      <c r="H54" s="127">
        <f t="shared" si="3"/>
        <v>320</v>
      </c>
    </row>
    <row r="55" spans="1:8" ht="15.75" thickBot="1" x14ac:dyDescent="0.3">
      <c r="A55" s="48" t="s">
        <v>177</v>
      </c>
      <c r="B55" s="126">
        <v>1</v>
      </c>
      <c r="C55" s="126">
        <v>150</v>
      </c>
      <c r="D55" s="126">
        <v>0.5</v>
      </c>
      <c r="E55" s="126">
        <v>0.5</v>
      </c>
      <c r="F55" s="126">
        <v>0.92</v>
      </c>
      <c r="G55" s="126">
        <f t="shared" si="2"/>
        <v>69</v>
      </c>
      <c r="H55" s="127">
        <f t="shared" si="3"/>
        <v>75</v>
      </c>
    </row>
    <row r="56" spans="1:8" ht="15.75" thickBot="1" x14ac:dyDescent="0.3">
      <c r="A56" s="48" t="s">
        <v>178</v>
      </c>
      <c r="B56" s="126">
        <v>1</v>
      </c>
      <c r="C56" s="126">
        <v>150</v>
      </c>
      <c r="D56" s="126">
        <v>0.5</v>
      </c>
      <c r="E56" s="126">
        <v>0.5</v>
      </c>
      <c r="F56" s="126">
        <v>0.92</v>
      </c>
      <c r="G56" s="126">
        <f t="shared" si="2"/>
        <v>69</v>
      </c>
      <c r="H56" s="127">
        <f t="shared" si="3"/>
        <v>75</v>
      </c>
    </row>
    <row r="57" spans="1:8" ht="15.75" thickBot="1" x14ac:dyDescent="0.3">
      <c r="A57" s="48" t="s">
        <v>179</v>
      </c>
      <c r="B57" s="126">
        <v>2</v>
      </c>
      <c r="C57" s="126">
        <v>70</v>
      </c>
      <c r="D57" s="126">
        <v>0.75</v>
      </c>
      <c r="E57" s="126">
        <v>0.25</v>
      </c>
      <c r="F57" s="126">
        <v>0.92</v>
      </c>
      <c r="G57" s="126">
        <f t="shared" si="2"/>
        <v>96.600000000000009</v>
      </c>
      <c r="H57" s="127">
        <f t="shared" si="3"/>
        <v>35</v>
      </c>
    </row>
    <row r="58" spans="1:8" ht="15.75" thickBot="1" x14ac:dyDescent="0.3">
      <c r="A58" s="48" t="s">
        <v>180</v>
      </c>
      <c r="B58" s="126">
        <v>2</v>
      </c>
      <c r="C58" s="126">
        <v>70</v>
      </c>
      <c r="D58" s="126">
        <v>0.75</v>
      </c>
      <c r="E58" s="126">
        <v>0.25</v>
      </c>
      <c r="F58" s="126">
        <v>0.92</v>
      </c>
      <c r="G58" s="126">
        <f t="shared" si="2"/>
        <v>96.600000000000009</v>
      </c>
      <c r="H58" s="127">
        <f t="shared" si="3"/>
        <v>35</v>
      </c>
    </row>
    <row r="59" spans="1:8" ht="15.75" thickBot="1" x14ac:dyDescent="0.3">
      <c r="A59" s="48" t="s">
        <v>181</v>
      </c>
      <c r="B59" s="126">
        <v>3</v>
      </c>
      <c r="C59" s="126">
        <v>70</v>
      </c>
      <c r="D59" s="126">
        <v>0.75</v>
      </c>
      <c r="E59" s="126">
        <v>0.25</v>
      </c>
      <c r="F59" s="126">
        <v>0.92</v>
      </c>
      <c r="G59" s="126">
        <f t="shared" si="2"/>
        <v>144.9</v>
      </c>
      <c r="H59" s="127">
        <f t="shared" si="3"/>
        <v>52.5</v>
      </c>
    </row>
    <row r="60" spans="1:8" ht="15.75" thickBot="1" x14ac:dyDescent="0.3">
      <c r="A60" s="48" t="s">
        <v>182</v>
      </c>
      <c r="B60" s="126">
        <v>5</v>
      </c>
      <c r="C60" s="126">
        <v>100</v>
      </c>
      <c r="D60" s="126">
        <v>0.6</v>
      </c>
      <c r="E60" s="126">
        <v>0.4</v>
      </c>
      <c r="F60" s="126">
        <v>0.92</v>
      </c>
      <c r="G60" s="126">
        <f t="shared" si="2"/>
        <v>276</v>
      </c>
      <c r="H60" s="127">
        <f t="shared" si="3"/>
        <v>200</v>
      </c>
    </row>
    <row r="61" spans="1:8" ht="15.75" thickBot="1" x14ac:dyDescent="0.3">
      <c r="A61" s="48" t="s">
        <v>183</v>
      </c>
      <c r="B61" s="126">
        <v>2</v>
      </c>
      <c r="C61" s="126">
        <v>70</v>
      </c>
      <c r="D61" s="126">
        <v>0.75</v>
      </c>
      <c r="E61" s="126">
        <v>0.25</v>
      </c>
      <c r="F61" s="126">
        <v>0.92</v>
      </c>
      <c r="G61" s="126">
        <f t="shared" si="2"/>
        <v>96.600000000000009</v>
      </c>
      <c r="H61" s="127">
        <f t="shared" si="3"/>
        <v>35</v>
      </c>
    </row>
    <row r="62" spans="1:8" ht="15.75" thickBot="1" x14ac:dyDescent="0.3">
      <c r="A62" s="48" t="s">
        <v>143</v>
      </c>
      <c r="B62" s="126">
        <v>4</v>
      </c>
      <c r="C62" s="126">
        <v>100</v>
      </c>
      <c r="D62" s="126">
        <v>0.6</v>
      </c>
      <c r="E62" s="126">
        <v>0.4</v>
      </c>
      <c r="F62" s="126">
        <v>0.92</v>
      </c>
      <c r="G62" s="126">
        <f t="shared" si="2"/>
        <v>220.8</v>
      </c>
      <c r="H62" s="127">
        <f t="shared" si="3"/>
        <v>160</v>
      </c>
    </row>
    <row r="63" spans="1:8" ht="15.75" thickBot="1" x14ac:dyDescent="0.3">
      <c r="A63" s="48" t="s">
        <v>184</v>
      </c>
      <c r="B63" s="126">
        <v>3</v>
      </c>
      <c r="C63" s="126">
        <v>70</v>
      </c>
      <c r="D63" s="126">
        <v>0.75</v>
      </c>
      <c r="E63" s="126">
        <v>0.25</v>
      </c>
      <c r="F63" s="126">
        <v>0.92</v>
      </c>
      <c r="G63" s="126">
        <f t="shared" si="2"/>
        <v>144.9</v>
      </c>
      <c r="H63" s="127">
        <f t="shared" si="3"/>
        <v>52.5</v>
      </c>
    </row>
    <row r="64" spans="1:8" ht="15.75" thickBot="1" x14ac:dyDescent="0.3">
      <c r="A64" s="48" t="s">
        <v>186</v>
      </c>
      <c r="B64" s="126">
        <v>3</v>
      </c>
      <c r="C64" s="126">
        <v>70</v>
      </c>
      <c r="D64" s="126">
        <v>0.75</v>
      </c>
      <c r="E64" s="126">
        <v>0.25</v>
      </c>
      <c r="F64" s="126">
        <v>0.92</v>
      </c>
      <c r="G64" s="126">
        <f t="shared" si="2"/>
        <v>144.9</v>
      </c>
      <c r="H64" s="127">
        <f t="shared" si="3"/>
        <v>52.5</v>
      </c>
    </row>
    <row r="65" spans="1:8" ht="15.75" thickBot="1" x14ac:dyDescent="0.3">
      <c r="A65" s="48" t="s">
        <v>187</v>
      </c>
      <c r="B65" s="126">
        <v>2</v>
      </c>
      <c r="C65" s="126">
        <v>70</v>
      </c>
      <c r="D65" s="126">
        <v>0.75</v>
      </c>
      <c r="E65" s="126">
        <v>0.25</v>
      </c>
      <c r="F65" s="126">
        <v>0.92</v>
      </c>
      <c r="G65" s="126">
        <f t="shared" si="2"/>
        <v>96.600000000000009</v>
      </c>
      <c r="H65" s="127">
        <f t="shared" si="3"/>
        <v>35</v>
      </c>
    </row>
    <row r="66" spans="1:8" ht="15.75" thickBot="1" x14ac:dyDescent="0.3">
      <c r="A66" s="48" t="s">
        <v>142</v>
      </c>
      <c r="B66" s="126">
        <v>20</v>
      </c>
      <c r="C66" s="126">
        <v>175</v>
      </c>
      <c r="D66" s="126">
        <v>0.5</v>
      </c>
      <c r="E66" s="126">
        <v>0.5</v>
      </c>
      <c r="F66" s="126">
        <v>0.92</v>
      </c>
      <c r="G66" s="126">
        <f t="shared" si="2"/>
        <v>1610</v>
      </c>
      <c r="H66" s="127">
        <f t="shared" si="3"/>
        <v>1750</v>
      </c>
    </row>
    <row r="67" spans="1:8" ht="15.75" thickBot="1" x14ac:dyDescent="0.3">
      <c r="A67" s="48" t="s">
        <v>188</v>
      </c>
      <c r="B67" s="126">
        <v>3</v>
      </c>
      <c r="C67" s="126">
        <v>70</v>
      </c>
      <c r="D67" s="126">
        <v>0.75</v>
      </c>
      <c r="E67" s="126">
        <v>0.25</v>
      </c>
      <c r="F67" s="126">
        <v>0.92</v>
      </c>
      <c r="G67" s="126">
        <f t="shared" si="2"/>
        <v>144.9</v>
      </c>
      <c r="H67" s="127">
        <f t="shared" si="3"/>
        <v>52.5</v>
      </c>
    </row>
    <row r="68" spans="1:8" ht="15.75" thickBot="1" x14ac:dyDescent="0.3">
      <c r="A68" s="48" t="s">
        <v>189</v>
      </c>
      <c r="B68" s="126">
        <v>3</v>
      </c>
      <c r="C68" s="126">
        <v>70</v>
      </c>
      <c r="D68" s="126">
        <v>0.75</v>
      </c>
      <c r="E68" s="126">
        <v>0.25</v>
      </c>
      <c r="F68" s="126">
        <v>0.92</v>
      </c>
      <c r="G68" s="126">
        <f t="shared" si="2"/>
        <v>144.9</v>
      </c>
      <c r="H68" s="127">
        <f t="shared" si="3"/>
        <v>52.5</v>
      </c>
    </row>
    <row r="69" spans="1:8" ht="15.75" thickBot="1" x14ac:dyDescent="0.3">
      <c r="A69" s="48" t="s">
        <v>223</v>
      </c>
      <c r="B69" s="126"/>
      <c r="C69" s="126"/>
      <c r="D69" s="126"/>
      <c r="E69" s="126"/>
      <c r="F69" s="126">
        <v>0.92</v>
      </c>
      <c r="G69" s="126">
        <f t="shared" si="2"/>
        <v>0</v>
      </c>
      <c r="H69" s="127">
        <f t="shared" si="3"/>
        <v>0</v>
      </c>
    </row>
    <row r="70" spans="1:8" ht="15.75" thickBot="1" x14ac:dyDescent="0.3">
      <c r="A70" s="48" t="s">
        <v>190</v>
      </c>
      <c r="B70" s="126">
        <v>2</v>
      </c>
      <c r="C70" s="126">
        <v>70</v>
      </c>
      <c r="D70" s="126">
        <v>0.75</v>
      </c>
      <c r="E70" s="126">
        <v>0.25</v>
      </c>
      <c r="F70" s="126">
        <v>0.92</v>
      </c>
      <c r="G70" s="126">
        <f t="shared" si="2"/>
        <v>96.600000000000009</v>
      </c>
      <c r="H70" s="127">
        <f t="shared" si="3"/>
        <v>35</v>
      </c>
    </row>
    <row r="71" spans="1:8" ht="15.75" thickBot="1" x14ac:dyDescent="0.3">
      <c r="A71" s="48" t="s">
        <v>191</v>
      </c>
      <c r="B71" s="126">
        <v>2</v>
      </c>
      <c r="C71" s="126">
        <v>70</v>
      </c>
      <c r="D71" s="126">
        <v>0.75</v>
      </c>
      <c r="E71" s="126">
        <v>0.25</v>
      </c>
      <c r="F71" s="126">
        <v>0.92</v>
      </c>
      <c r="G71" s="126">
        <f t="shared" si="2"/>
        <v>96.600000000000009</v>
      </c>
      <c r="H71" s="127">
        <f t="shared" si="3"/>
        <v>35</v>
      </c>
    </row>
    <row r="72" spans="1:8" ht="15.75" thickBot="1" x14ac:dyDescent="0.3">
      <c r="A72" s="48" t="s">
        <v>141</v>
      </c>
      <c r="B72" s="126">
        <v>4</v>
      </c>
      <c r="C72" s="126">
        <v>150</v>
      </c>
      <c r="D72" s="126">
        <v>0.55000000000000004</v>
      </c>
      <c r="E72" s="126">
        <v>0.45</v>
      </c>
      <c r="F72" s="126">
        <v>0.92</v>
      </c>
      <c r="G72" s="126">
        <f t="shared" si="2"/>
        <v>303.60000000000002</v>
      </c>
      <c r="H72" s="127">
        <f t="shared" si="3"/>
        <v>270</v>
      </c>
    </row>
    <row r="73" spans="1:8" ht="15.75" thickBot="1" x14ac:dyDescent="0.3">
      <c r="A73" s="48" t="s">
        <v>140</v>
      </c>
      <c r="B73" s="126">
        <v>5</v>
      </c>
      <c r="C73" s="126">
        <v>150</v>
      </c>
      <c r="D73" s="126">
        <v>0.5</v>
      </c>
      <c r="E73" s="126">
        <v>0.5</v>
      </c>
      <c r="F73" s="126">
        <v>0.92</v>
      </c>
      <c r="G73" s="126">
        <f t="shared" si="2"/>
        <v>345</v>
      </c>
      <c r="H73" s="127">
        <f t="shared" si="3"/>
        <v>375</v>
      </c>
    </row>
    <row r="74" spans="1:8" ht="15.75" thickBot="1" x14ac:dyDescent="0.3">
      <c r="A74" s="48" t="s">
        <v>192</v>
      </c>
      <c r="B74" s="126">
        <v>2</v>
      </c>
      <c r="C74" s="126">
        <v>150</v>
      </c>
      <c r="D74" s="126">
        <v>0.5</v>
      </c>
      <c r="E74" s="126">
        <v>0.5</v>
      </c>
      <c r="F74" s="126">
        <v>0.92</v>
      </c>
      <c r="G74" s="126">
        <f t="shared" si="2"/>
        <v>138</v>
      </c>
      <c r="H74" s="127">
        <f t="shared" si="3"/>
        <v>150</v>
      </c>
    </row>
    <row r="75" spans="1:8" ht="15.75" thickBot="1" x14ac:dyDescent="0.3">
      <c r="A75" s="48" t="s">
        <v>193</v>
      </c>
      <c r="B75" s="126">
        <v>3</v>
      </c>
      <c r="C75" s="126">
        <v>150</v>
      </c>
      <c r="D75" s="126">
        <v>0.5</v>
      </c>
      <c r="E75" s="126">
        <v>0.5</v>
      </c>
      <c r="F75" s="126">
        <v>0.92</v>
      </c>
      <c r="G75" s="126">
        <f t="shared" si="2"/>
        <v>207</v>
      </c>
      <c r="H75" s="127">
        <f t="shared" si="3"/>
        <v>225</v>
      </c>
    </row>
    <row r="76" spans="1:8" ht="15.75" thickBot="1" x14ac:dyDescent="0.3">
      <c r="A76" s="48" t="s">
        <v>194</v>
      </c>
      <c r="B76" s="126">
        <v>4</v>
      </c>
      <c r="C76" s="126">
        <v>70</v>
      </c>
      <c r="D76" s="126">
        <v>0.75</v>
      </c>
      <c r="E76" s="126">
        <v>0.25</v>
      </c>
      <c r="F76" s="126">
        <v>0.92</v>
      </c>
      <c r="G76" s="126">
        <f t="shared" si="2"/>
        <v>193.20000000000002</v>
      </c>
      <c r="H76" s="127">
        <f t="shared" si="3"/>
        <v>70</v>
      </c>
    </row>
    <row r="77" spans="1:8" ht="15.75" thickBot="1" x14ac:dyDescent="0.3">
      <c r="A77" s="48" t="s">
        <v>195</v>
      </c>
      <c r="B77" s="126">
        <v>10</v>
      </c>
      <c r="C77" s="126">
        <v>70</v>
      </c>
      <c r="D77" s="126">
        <v>0.75</v>
      </c>
      <c r="E77" s="126">
        <v>0.25</v>
      </c>
      <c r="F77" s="126">
        <v>0.92</v>
      </c>
      <c r="G77" s="126">
        <f t="shared" si="2"/>
        <v>483</v>
      </c>
      <c r="H77" s="127">
        <f t="shared" si="3"/>
        <v>175</v>
      </c>
    </row>
    <row r="78" spans="1:8" ht="15.75" thickBot="1" x14ac:dyDescent="0.3">
      <c r="A78" s="48" t="s">
        <v>196</v>
      </c>
      <c r="B78" s="126">
        <v>3</v>
      </c>
      <c r="C78" s="126">
        <v>100</v>
      </c>
      <c r="D78" s="126">
        <v>0.6</v>
      </c>
      <c r="E78" s="126">
        <v>0.4</v>
      </c>
      <c r="F78" s="126">
        <v>0.92</v>
      </c>
      <c r="G78" s="126">
        <f t="shared" si="2"/>
        <v>165.6</v>
      </c>
      <c r="H78" s="127">
        <f t="shared" si="3"/>
        <v>120</v>
      </c>
    </row>
    <row r="79" spans="1:8" ht="15.75" thickBot="1" x14ac:dyDescent="0.3">
      <c r="A79" s="48" t="s">
        <v>197</v>
      </c>
      <c r="B79" s="126">
        <v>4</v>
      </c>
      <c r="C79" s="126">
        <v>150</v>
      </c>
      <c r="D79" s="126">
        <v>0.5</v>
      </c>
      <c r="E79" s="126">
        <v>0.5</v>
      </c>
      <c r="F79" s="126">
        <v>0.92</v>
      </c>
      <c r="G79" s="126">
        <f t="shared" si="2"/>
        <v>276</v>
      </c>
      <c r="H79" s="127">
        <f t="shared" si="3"/>
        <v>300</v>
      </c>
    </row>
    <row r="80" spans="1:8" ht="15.75" thickBot="1" x14ac:dyDescent="0.3">
      <c r="A80" s="48" t="s">
        <v>198</v>
      </c>
      <c r="B80" s="126">
        <v>4</v>
      </c>
      <c r="C80" s="126">
        <v>100</v>
      </c>
      <c r="D80" s="126">
        <v>0.6</v>
      </c>
      <c r="E80" s="126">
        <v>0.4</v>
      </c>
      <c r="F80" s="126">
        <v>0.92</v>
      </c>
      <c r="G80" s="126">
        <f t="shared" si="2"/>
        <v>220.8</v>
      </c>
      <c r="H80" s="127">
        <f t="shared" si="3"/>
        <v>160</v>
      </c>
    </row>
    <row r="81" spans="1:9" ht="15.75" thickBot="1" x14ac:dyDescent="0.3">
      <c r="A81" s="48" t="s">
        <v>199</v>
      </c>
      <c r="B81" s="126">
        <v>2</v>
      </c>
      <c r="C81" s="126">
        <v>100</v>
      </c>
      <c r="D81" s="126">
        <v>0.6</v>
      </c>
      <c r="E81" s="126">
        <v>0.4</v>
      </c>
      <c r="F81" s="126">
        <v>0.92</v>
      </c>
      <c r="G81" s="126">
        <f t="shared" si="2"/>
        <v>110.4</v>
      </c>
      <c r="H81" s="127">
        <f t="shared" si="3"/>
        <v>80</v>
      </c>
    </row>
    <row r="82" spans="1:9" ht="15.75" thickBot="1" x14ac:dyDescent="0.3">
      <c r="A82" s="48" t="s">
        <v>201</v>
      </c>
      <c r="B82" s="126">
        <v>5</v>
      </c>
      <c r="C82" s="126">
        <v>150</v>
      </c>
      <c r="D82" s="126">
        <v>0.5</v>
      </c>
      <c r="E82" s="126">
        <v>0.5</v>
      </c>
      <c r="F82" s="126">
        <v>0.92</v>
      </c>
      <c r="G82" s="126">
        <f t="shared" si="2"/>
        <v>345</v>
      </c>
      <c r="H82" s="127">
        <f t="shared" si="3"/>
        <v>375</v>
      </c>
    </row>
    <row r="83" spans="1:9" ht="15.75" thickBot="1" x14ac:dyDescent="0.3">
      <c r="A83" s="48" t="s">
        <v>202</v>
      </c>
      <c r="B83" s="126">
        <v>2</v>
      </c>
      <c r="C83" s="126">
        <v>150</v>
      </c>
      <c r="D83" s="126">
        <v>0.5</v>
      </c>
      <c r="E83" s="126">
        <v>0.5</v>
      </c>
      <c r="F83" s="126">
        <v>0.92</v>
      </c>
      <c r="G83" s="126">
        <f t="shared" si="2"/>
        <v>138</v>
      </c>
      <c r="H83" s="127">
        <f t="shared" si="3"/>
        <v>150</v>
      </c>
    </row>
    <row r="84" spans="1:9" ht="15.75" thickBot="1" x14ac:dyDescent="0.3">
      <c r="A84" s="48" t="s">
        <v>203</v>
      </c>
      <c r="B84" s="126">
        <v>2</v>
      </c>
      <c r="C84" s="126">
        <v>150</v>
      </c>
      <c r="D84" s="126">
        <v>0.5</v>
      </c>
      <c r="E84" s="126">
        <v>0.5</v>
      </c>
      <c r="F84" s="126">
        <v>0.92</v>
      </c>
      <c r="G84" s="126">
        <f t="shared" si="2"/>
        <v>138</v>
      </c>
      <c r="H84" s="127">
        <f t="shared" si="3"/>
        <v>150</v>
      </c>
    </row>
    <row r="85" spans="1:9" ht="15.75" thickBot="1" x14ac:dyDescent="0.3">
      <c r="A85" s="48" t="s">
        <v>204</v>
      </c>
      <c r="B85" s="126">
        <v>2</v>
      </c>
      <c r="C85" s="126">
        <v>150</v>
      </c>
      <c r="D85" s="126">
        <v>0.5</v>
      </c>
      <c r="E85" s="126">
        <v>0.5</v>
      </c>
      <c r="F85" s="126">
        <v>0.92</v>
      </c>
      <c r="G85" s="126">
        <f t="shared" si="2"/>
        <v>138</v>
      </c>
      <c r="H85" s="127">
        <f t="shared" si="3"/>
        <v>150</v>
      </c>
    </row>
    <row r="86" spans="1:9" ht="15.75" thickBot="1" x14ac:dyDescent="0.3">
      <c r="A86" s="48" t="s">
        <v>229</v>
      </c>
      <c r="B86" s="126">
        <v>5</v>
      </c>
      <c r="C86" s="126">
        <v>100</v>
      </c>
      <c r="D86" s="126">
        <v>0.6</v>
      </c>
      <c r="E86" s="126">
        <v>0.4</v>
      </c>
      <c r="F86" s="126">
        <v>0.92</v>
      </c>
      <c r="G86" s="126">
        <f t="shared" si="2"/>
        <v>276</v>
      </c>
      <c r="H86" s="127">
        <f t="shared" si="3"/>
        <v>200</v>
      </c>
    </row>
    <row r="87" spans="1:9" ht="15.75" thickBot="1" x14ac:dyDescent="0.3">
      <c r="A87" s="48" t="s">
        <v>230</v>
      </c>
      <c r="B87" s="126">
        <v>2</v>
      </c>
      <c r="C87" s="126">
        <v>150</v>
      </c>
      <c r="D87" s="126">
        <v>0.55000000000000004</v>
      </c>
      <c r="E87" s="126">
        <v>0.45</v>
      </c>
      <c r="F87" s="126">
        <v>0.92</v>
      </c>
      <c r="G87" s="126">
        <f t="shared" si="2"/>
        <v>151.80000000000001</v>
      </c>
      <c r="H87" s="127">
        <f t="shared" si="3"/>
        <v>135</v>
      </c>
    </row>
    <row r="88" spans="1:9" ht="15.75" thickBot="1" x14ac:dyDescent="0.3">
      <c r="A88" s="48" t="s">
        <v>132</v>
      </c>
      <c r="B88" s="126">
        <v>3</v>
      </c>
      <c r="C88" s="126">
        <v>150</v>
      </c>
      <c r="D88" s="126">
        <v>0.5</v>
      </c>
      <c r="E88" s="126">
        <v>0.5</v>
      </c>
      <c r="F88" s="126">
        <v>0.92</v>
      </c>
      <c r="G88" s="126">
        <f t="shared" si="2"/>
        <v>207</v>
      </c>
      <c r="H88" s="127">
        <f t="shared" si="3"/>
        <v>225</v>
      </c>
    </row>
    <row r="89" spans="1:9" x14ac:dyDescent="0.25">
      <c r="A89" s="81" t="s">
        <v>130</v>
      </c>
      <c r="B89" s="128">
        <v>3</v>
      </c>
      <c r="C89" s="128">
        <v>70</v>
      </c>
      <c r="D89" s="128">
        <v>0.75</v>
      </c>
      <c r="E89" s="128">
        <v>0.25</v>
      </c>
      <c r="F89" s="128">
        <v>0.92</v>
      </c>
      <c r="G89" s="128">
        <f t="shared" si="2"/>
        <v>144.9</v>
      </c>
      <c r="H89" s="129">
        <f t="shared" si="3"/>
        <v>52.5</v>
      </c>
    </row>
    <row r="92" spans="1:9" ht="23.25" x14ac:dyDescent="0.35">
      <c r="A92" s="93" t="s">
        <v>60</v>
      </c>
      <c r="B92" s="93"/>
      <c r="C92" s="93"/>
      <c r="D92" s="93"/>
      <c r="E92" s="93"/>
      <c r="F92" s="93"/>
      <c r="G92" s="93"/>
      <c r="H92" s="93"/>
      <c r="I92" s="125"/>
    </row>
    <row r="93" spans="1:9" ht="15.75" thickBot="1" x14ac:dyDescent="0.3">
      <c r="A93" s="119" t="s">
        <v>20</v>
      </c>
      <c r="B93" s="120" t="s">
        <v>495</v>
      </c>
      <c r="C93" s="120" t="s">
        <v>510</v>
      </c>
      <c r="D93" s="120" t="s">
        <v>511</v>
      </c>
      <c r="E93" s="120" t="s">
        <v>512</v>
      </c>
      <c r="F93" s="120" t="s">
        <v>342</v>
      </c>
      <c r="G93" s="120" t="s">
        <v>24</v>
      </c>
      <c r="H93" s="121" t="s">
        <v>25</v>
      </c>
    </row>
    <row r="94" spans="1:9" ht="15.75" thickBot="1" x14ac:dyDescent="0.3">
      <c r="A94" s="48" t="s">
        <v>124</v>
      </c>
      <c r="B94" s="126">
        <v>5</v>
      </c>
      <c r="C94" s="126">
        <v>70</v>
      </c>
      <c r="D94" s="126">
        <v>0.75</v>
      </c>
      <c r="E94" s="126">
        <v>0.25</v>
      </c>
      <c r="F94" s="126">
        <v>0.92</v>
      </c>
      <c r="G94" s="126">
        <f>B94*C94*D94*F94</f>
        <v>241.5</v>
      </c>
      <c r="H94" s="127">
        <f>B94*C94*E94*F94</f>
        <v>80.5</v>
      </c>
    </row>
    <row r="95" spans="1:9" ht="15.75" thickBot="1" x14ac:dyDescent="0.3">
      <c r="A95" s="48" t="s">
        <v>170</v>
      </c>
      <c r="B95" s="126">
        <v>5</v>
      </c>
      <c r="C95" s="126">
        <v>70</v>
      </c>
      <c r="D95" s="126">
        <v>0.75</v>
      </c>
      <c r="E95" s="126">
        <v>0.25</v>
      </c>
      <c r="F95" s="126">
        <v>0.92</v>
      </c>
      <c r="G95" s="126">
        <f t="shared" ref="G95:G123" si="4">B95*C95*D95*F95</f>
        <v>241.5</v>
      </c>
      <c r="H95" s="127">
        <f t="shared" ref="H95:H123" si="5">B95*C95*E95*F95</f>
        <v>80.5</v>
      </c>
    </row>
    <row r="96" spans="1:9" ht="15.75" thickBot="1" x14ac:dyDescent="0.3">
      <c r="A96" s="48" t="s">
        <v>125</v>
      </c>
      <c r="B96" s="126">
        <v>5</v>
      </c>
      <c r="C96" s="126">
        <v>70</v>
      </c>
      <c r="D96" s="126">
        <v>0.75</v>
      </c>
      <c r="E96" s="126">
        <v>0.25</v>
      </c>
      <c r="F96" s="126">
        <v>0.92</v>
      </c>
      <c r="G96" s="126">
        <f t="shared" si="4"/>
        <v>241.5</v>
      </c>
      <c r="H96" s="127">
        <f t="shared" si="5"/>
        <v>80.5</v>
      </c>
    </row>
    <row r="97" spans="1:8" ht="15.75" thickBot="1" x14ac:dyDescent="0.3">
      <c r="A97" s="48" t="s">
        <v>126</v>
      </c>
      <c r="B97" s="126">
        <v>5</v>
      </c>
      <c r="C97" s="126">
        <v>70</v>
      </c>
      <c r="D97" s="126">
        <v>0.75</v>
      </c>
      <c r="E97" s="126">
        <v>0.25</v>
      </c>
      <c r="F97" s="126">
        <v>0.92</v>
      </c>
      <c r="G97" s="126">
        <f t="shared" si="4"/>
        <v>241.5</v>
      </c>
      <c r="H97" s="127">
        <f t="shared" si="5"/>
        <v>80.5</v>
      </c>
    </row>
    <row r="98" spans="1:8" ht="15.75" thickBot="1" x14ac:dyDescent="0.3">
      <c r="A98" s="48" t="s">
        <v>171</v>
      </c>
      <c r="B98" s="126">
        <v>3</v>
      </c>
      <c r="C98" s="126">
        <v>70</v>
      </c>
      <c r="D98" s="126">
        <v>0.75</v>
      </c>
      <c r="E98" s="126">
        <v>0.25</v>
      </c>
      <c r="F98" s="126">
        <v>0.92</v>
      </c>
      <c r="G98" s="126">
        <f t="shared" si="4"/>
        <v>144.9</v>
      </c>
      <c r="H98" s="127">
        <f t="shared" si="5"/>
        <v>48.300000000000004</v>
      </c>
    </row>
    <row r="99" spans="1:8" ht="15.75" thickBot="1" x14ac:dyDescent="0.3">
      <c r="A99" s="48" t="s">
        <v>172</v>
      </c>
      <c r="B99" s="126">
        <v>2</v>
      </c>
      <c r="C99" s="126">
        <v>70</v>
      </c>
      <c r="D99" s="126">
        <v>0.75</v>
      </c>
      <c r="E99" s="126">
        <v>0.25</v>
      </c>
      <c r="F99" s="126">
        <v>0.92</v>
      </c>
      <c r="G99" s="126">
        <f t="shared" si="4"/>
        <v>96.600000000000009</v>
      </c>
      <c r="H99" s="127">
        <f t="shared" si="5"/>
        <v>32.200000000000003</v>
      </c>
    </row>
    <row r="100" spans="1:8" ht="15.75" thickBot="1" x14ac:dyDescent="0.3">
      <c r="A100" s="48" t="s">
        <v>173</v>
      </c>
      <c r="B100" s="126">
        <v>2</v>
      </c>
      <c r="C100" s="126">
        <v>70</v>
      </c>
      <c r="D100" s="126">
        <v>0.75</v>
      </c>
      <c r="E100" s="126">
        <v>0.25</v>
      </c>
      <c r="F100" s="126">
        <v>0.92</v>
      </c>
      <c r="G100" s="126">
        <f t="shared" si="4"/>
        <v>96.600000000000009</v>
      </c>
      <c r="H100" s="127">
        <f t="shared" si="5"/>
        <v>32.200000000000003</v>
      </c>
    </row>
    <row r="101" spans="1:8" ht="15.75" thickBot="1" x14ac:dyDescent="0.3">
      <c r="A101" s="48" t="s">
        <v>174</v>
      </c>
      <c r="B101" s="126">
        <v>4</v>
      </c>
      <c r="C101" s="126">
        <v>150</v>
      </c>
      <c r="D101" s="126">
        <v>0.55000000000000004</v>
      </c>
      <c r="E101" s="126">
        <v>0.45</v>
      </c>
      <c r="F101" s="126">
        <v>0.92</v>
      </c>
      <c r="G101" s="126">
        <f t="shared" si="4"/>
        <v>303.60000000000002</v>
      </c>
      <c r="H101" s="127">
        <f t="shared" si="5"/>
        <v>248.4</v>
      </c>
    </row>
    <row r="102" spans="1:8" ht="15.75" thickBot="1" x14ac:dyDescent="0.3">
      <c r="A102" s="48" t="s">
        <v>175</v>
      </c>
      <c r="B102" s="126">
        <v>3</v>
      </c>
      <c r="C102" s="126">
        <v>100</v>
      </c>
      <c r="D102" s="126">
        <v>0.6</v>
      </c>
      <c r="E102" s="126">
        <v>0.4</v>
      </c>
      <c r="F102" s="126">
        <v>0.92</v>
      </c>
      <c r="G102" s="126">
        <f t="shared" si="4"/>
        <v>165.6</v>
      </c>
      <c r="H102" s="127">
        <f t="shared" si="5"/>
        <v>110.4</v>
      </c>
    </row>
    <row r="103" spans="1:8" ht="15.75" thickBot="1" x14ac:dyDescent="0.3">
      <c r="A103" s="48" t="s">
        <v>179</v>
      </c>
      <c r="B103" s="126">
        <v>2</v>
      </c>
      <c r="C103" s="126">
        <v>70</v>
      </c>
      <c r="D103" s="126">
        <v>0.75</v>
      </c>
      <c r="E103" s="126">
        <v>0.25</v>
      </c>
      <c r="F103" s="126">
        <v>0.92</v>
      </c>
      <c r="G103" s="126">
        <f t="shared" si="4"/>
        <v>96.600000000000009</v>
      </c>
      <c r="H103" s="127">
        <f t="shared" si="5"/>
        <v>32.200000000000003</v>
      </c>
    </row>
    <row r="104" spans="1:8" ht="15.75" thickBot="1" x14ac:dyDescent="0.3">
      <c r="A104" s="48" t="s">
        <v>180</v>
      </c>
      <c r="B104" s="126">
        <v>2</v>
      </c>
      <c r="C104" s="126">
        <v>70</v>
      </c>
      <c r="D104" s="126">
        <v>0.75</v>
      </c>
      <c r="E104" s="126">
        <v>0.25</v>
      </c>
      <c r="F104" s="126">
        <v>0.92</v>
      </c>
      <c r="G104" s="126">
        <f t="shared" si="4"/>
        <v>96.600000000000009</v>
      </c>
      <c r="H104" s="127">
        <f t="shared" si="5"/>
        <v>32.200000000000003</v>
      </c>
    </row>
    <row r="105" spans="1:8" ht="15.75" thickBot="1" x14ac:dyDescent="0.3">
      <c r="A105" s="48" t="s">
        <v>181</v>
      </c>
      <c r="B105" s="126">
        <v>3</v>
      </c>
      <c r="C105" s="126">
        <v>70</v>
      </c>
      <c r="D105" s="126">
        <v>0.75</v>
      </c>
      <c r="E105" s="126">
        <v>0.25</v>
      </c>
      <c r="F105" s="126">
        <v>0.92</v>
      </c>
      <c r="G105" s="126">
        <f t="shared" si="4"/>
        <v>144.9</v>
      </c>
      <c r="H105" s="127">
        <f t="shared" si="5"/>
        <v>48.300000000000004</v>
      </c>
    </row>
    <row r="106" spans="1:8" ht="15.75" thickBot="1" x14ac:dyDescent="0.3">
      <c r="A106" s="48" t="s">
        <v>183</v>
      </c>
      <c r="B106" s="126">
        <v>2</v>
      </c>
      <c r="C106" s="126">
        <v>70</v>
      </c>
      <c r="D106" s="126">
        <v>0.75</v>
      </c>
      <c r="E106" s="126">
        <v>0.25</v>
      </c>
      <c r="F106" s="126">
        <v>0.92</v>
      </c>
      <c r="G106" s="126">
        <f t="shared" si="4"/>
        <v>96.600000000000009</v>
      </c>
      <c r="H106" s="127">
        <f t="shared" si="5"/>
        <v>32.200000000000003</v>
      </c>
    </row>
    <row r="107" spans="1:8" ht="15.75" thickBot="1" x14ac:dyDescent="0.3">
      <c r="A107" s="48" t="s">
        <v>187</v>
      </c>
      <c r="B107" s="126">
        <v>2</v>
      </c>
      <c r="C107" s="126">
        <v>70</v>
      </c>
      <c r="D107" s="126">
        <v>0.75</v>
      </c>
      <c r="E107" s="126">
        <v>0.25</v>
      </c>
      <c r="F107" s="126">
        <v>0.92</v>
      </c>
      <c r="G107" s="126">
        <f t="shared" si="4"/>
        <v>96.600000000000009</v>
      </c>
      <c r="H107" s="127">
        <f t="shared" si="5"/>
        <v>32.200000000000003</v>
      </c>
    </row>
    <row r="108" spans="1:8" ht="15.75" thickBot="1" x14ac:dyDescent="0.3">
      <c r="A108" s="48" t="s">
        <v>184</v>
      </c>
      <c r="B108" s="126">
        <v>3</v>
      </c>
      <c r="C108" s="126">
        <v>70</v>
      </c>
      <c r="D108" s="126">
        <v>0.75</v>
      </c>
      <c r="E108" s="126">
        <v>0.25</v>
      </c>
      <c r="F108" s="126">
        <v>0.92</v>
      </c>
      <c r="G108" s="126">
        <f t="shared" si="4"/>
        <v>144.9</v>
      </c>
      <c r="H108" s="127">
        <f t="shared" si="5"/>
        <v>48.300000000000004</v>
      </c>
    </row>
    <row r="109" spans="1:8" ht="15.75" thickBot="1" x14ac:dyDescent="0.3">
      <c r="A109" s="48" t="s">
        <v>186</v>
      </c>
      <c r="B109" s="126">
        <v>3</v>
      </c>
      <c r="C109" s="126">
        <v>70</v>
      </c>
      <c r="D109" s="126">
        <v>0.75</v>
      </c>
      <c r="E109" s="126">
        <v>0.25</v>
      </c>
      <c r="F109" s="126">
        <v>0.92</v>
      </c>
      <c r="G109" s="126">
        <f t="shared" si="4"/>
        <v>144.9</v>
      </c>
      <c r="H109" s="127">
        <f t="shared" si="5"/>
        <v>48.300000000000004</v>
      </c>
    </row>
    <row r="110" spans="1:8" ht="15.75" thickBot="1" x14ac:dyDescent="0.3">
      <c r="A110" s="48" t="s">
        <v>190</v>
      </c>
      <c r="B110" s="126">
        <v>2</v>
      </c>
      <c r="C110" s="126">
        <v>70</v>
      </c>
      <c r="D110" s="126">
        <v>0.75</v>
      </c>
      <c r="E110" s="126">
        <v>0.25</v>
      </c>
      <c r="F110" s="126">
        <v>0.92</v>
      </c>
      <c r="G110" s="126">
        <f t="shared" si="4"/>
        <v>96.600000000000009</v>
      </c>
      <c r="H110" s="127">
        <f t="shared" si="5"/>
        <v>32.200000000000003</v>
      </c>
    </row>
    <row r="111" spans="1:8" ht="15.75" thickBot="1" x14ac:dyDescent="0.3">
      <c r="A111" s="48" t="s">
        <v>191</v>
      </c>
      <c r="B111" s="126">
        <v>2</v>
      </c>
      <c r="C111" s="126">
        <v>70</v>
      </c>
      <c r="D111" s="126">
        <v>0.75</v>
      </c>
      <c r="E111" s="126">
        <v>0.25</v>
      </c>
      <c r="F111" s="126">
        <v>0.92</v>
      </c>
      <c r="G111" s="126">
        <f t="shared" si="4"/>
        <v>96.600000000000009</v>
      </c>
      <c r="H111" s="127">
        <f t="shared" si="5"/>
        <v>32.200000000000003</v>
      </c>
    </row>
    <row r="112" spans="1:8" ht="15.75" thickBot="1" x14ac:dyDescent="0.3">
      <c r="A112" s="48" t="s">
        <v>307</v>
      </c>
      <c r="B112" s="126">
        <v>2</v>
      </c>
      <c r="C112" s="126">
        <v>70</v>
      </c>
      <c r="D112" s="126">
        <v>0.75</v>
      </c>
      <c r="E112" s="126">
        <v>0.25</v>
      </c>
      <c r="F112" s="126">
        <v>0.92</v>
      </c>
      <c r="G112" s="126">
        <f t="shared" si="4"/>
        <v>96.600000000000009</v>
      </c>
      <c r="H112" s="127">
        <f t="shared" si="5"/>
        <v>32.200000000000003</v>
      </c>
    </row>
    <row r="113" spans="1:8" ht="15.75" thickBot="1" x14ac:dyDescent="0.3">
      <c r="A113" s="48" t="s">
        <v>308</v>
      </c>
      <c r="B113" s="126">
        <v>2</v>
      </c>
      <c r="C113" s="126">
        <v>70</v>
      </c>
      <c r="D113" s="126">
        <v>0.75</v>
      </c>
      <c r="E113" s="126">
        <v>0.25</v>
      </c>
      <c r="F113" s="126">
        <v>0.92</v>
      </c>
      <c r="G113" s="126">
        <f t="shared" si="4"/>
        <v>96.600000000000009</v>
      </c>
      <c r="H113" s="127">
        <f t="shared" si="5"/>
        <v>32.200000000000003</v>
      </c>
    </row>
    <row r="114" spans="1:8" ht="15.75" thickBot="1" x14ac:dyDescent="0.3">
      <c r="A114" s="48" t="s">
        <v>309</v>
      </c>
      <c r="B114" s="126">
        <v>2</v>
      </c>
      <c r="C114" s="126">
        <v>70</v>
      </c>
      <c r="D114" s="126">
        <v>0.75</v>
      </c>
      <c r="E114" s="126">
        <v>0.25</v>
      </c>
      <c r="F114" s="126">
        <v>0.92</v>
      </c>
      <c r="G114" s="126">
        <f t="shared" si="4"/>
        <v>96.600000000000009</v>
      </c>
      <c r="H114" s="127">
        <f t="shared" si="5"/>
        <v>32.200000000000003</v>
      </c>
    </row>
    <row r="115" spans="1:8" ht="15.75" thickBot="1" x14ac:dyDescent="0.3">
      <c r="A115" s="48" t="s">
        <v>310</v>
      </c>
      <c r="B115" s="126">
        <v>2</v>
      </c>
      <c r="C115" s="126">
        <v>70</v>
      </c>
      <c r="D115" s="126">
        <v>0.75</v>
      </c>
      <c r="E115" s="126">
        <v>0.25</v>
      </c>
      <c r="F115" s="126">
        <v>0.92</v>
      </c>
      <c r="G115" s="126">
        <f t="shared" si="4"/>
        <v>96.600000000000009</v>
      </c>
      <c r="H115" s="127">
        <f t="shared" si="5"/>
        <v>32.200000000000003</v>
      </c>
    </row>
    <row r="116" spans="1:8" ht="15.75" thickBot="1" x14ac:dyDescent="0.3">
      <c r="A116" s="48" t="s">
        <v>312</v>
      </c>
      <c r="B116" s="126">
        <v>2</v>
      </c>
      <c r="C116" s="126">
        <v>70</v>
      </c>
      <c r="D116" s="126">
        <v>0.75</v>
      </c>
      <c r="E116" s="126">
        <v>0.25</v>
      </c>
      <c r="F116" s="126">
        <v>0.92</v>
      </c>
      <c r="G116" s="126">
        <f t="shared" si="4"/>
        <v>96.600000000000009</v>
      </c>
      <c r="H116" s="127">
        <f t="shared" si="5"/>
        <v>32.200000000000003</v>
      </c>
    </row>
    <row r="117" spans="1:8" ht="15.75" thickBot="1" x14ac:dyDescent="0.3">
      <c r="A117" s="48" t="s">
        <v>313</v>
      </c>
      <c r="B117" s="126">
        <v>2</v>
      </c>
      <c r="C117" s="126">
        <v>70</v>
      </c>
      <c r="D117" s="126">
        <v>0.75</v>
      </c>
      <c r="E117" s="126">
        <v>0.25</v>
      </c>
      <c r="F117" s="126">
        <v>0.92</v>
      </c>
      <c r="G117" s="126">
        <f t="shared" si="4"/>
        <v>96.600000000000009</v>
      </c>
      <c r="H117" s="127">
        <f t="shared" si="5"/>
        <v>32.200000000000003</v>
      </c>
    </row>
    <row r="118" spans="1:8" ht="15.75" thickBot="1" x14ac:dyDescent="0.3">
      <c r="A118" s="48" t="s">
        <v>314</v>
      </c>
      <c r="B118" s="126">
        <v>2</v>
      </c>
      <c r="C118" s="126">
        <v>70</v>
      </c>
      <c r="D118" s="126">
        <v>0.75</v>
      </c>
      <c r="E118" s="126">
        <v>0.25</v>
      </c>
      <c r="F118" s="126">
        <v>0.92</v>
      </c>
      <c r="G118" s="126">
        <f t="shared" si="4"/>
        <v>96.600000000000009</v>
      </c>
      <c r="H118" s="127">
        <f t="shared" si="5"/>
        <v>32.200000000000003</v>
      </c>
    </row>
    <row r="119" spans="1:8" ht="15.75" thickBot="1" x14ac:dyDescent="0.3">
      <c r="A119" s="48" t="s">
        <v>317</v>
      </c>
      <c r="B119" s="126">
        <v>2</v>
      </c>
      <c r="C119" s="126">
        <v>70</v>
      </c>
      <c r="D119" s="126">
        <v>0.75</v>
      </c>
      <c r="E119" s="126">
        <v>0.25</v>
      </c>
      <c r="F119" s="126">
        <v>0.92</v>
      </c>
      <c r="G119" s="126">
        <f t="shared" si="4"/>
        <v>96.600000000000009</v>
      </c>
      <c r="H119" s="127">
        <f t="shared" si="5"/>
        <v>32.200000000000003</v>
      </c>
    </row>
    <row r="120" spans="1:8" ht="15.75" thickBot="1" x14ac:dyDescent="0.3">
      <c r="A120" s="48" t="s">
        <v>73</v>
      </c>
      <c r="B120" s="126">
        <v>1</v>
      </c>
      <c r="C120" s="126">
        <v>150</v>
      </c>
      <c r="D120" s="126">
        <v>0.55000000000000004</v>
      </c>
      <c r="E120" s="126">
        <v>0.45</v>
      </c>
      <c r="F120" s="126">
        <v>0.92</v>
      </c>
      <c r="G120" s="126">
        <f t="shared" si="4"/>
        <v>75.900000000000006</v>
      </c>
      <c r="H120" s="127">
        <f t="shared" si="5"/>
        <v>62.1</v>
      </c>
    </row>
    <row r="121" spans="1:8" ht="15.75" thickBot="1" x14ac:dyDescent="0.3">
      <c r="A121" s="48" t="s">
        <v>76</v>
      </c>
      <c r="B121" s="126">
        <v>1</v>
      </c>
      <c r="C121" s="126">
        <v>150</v>
      </c>
      <c r="D121" s="126">
        <v>0.55000000000000004</v>
      </c>
      <c r="E121" s="126">
        <v>0.45</v>
      </c>
      <c r="F121" s="126">
        <v>0.92</v>
      </c>
      <c r="G121" s="126">
        <f t="shared" si="4"/>
        <v>75.900000000000006</v>
      </c>
      <c r="H121" s="127">
        <f t="shared" si="5"/>
        <v>62.1</v>
      </c>
    </row>
    <row r="122" spans="1:8" ht="15.75" thickBot="1" x14ac:dyDescent="0.3">
      <c r="A122" s="48" t="s">
        <v>77</v>
      </c>
      <c r="B122" s="126">
        <v>1</v>
      </c>
      <c r="C122" s="126">
        <v>150</v>
      </c>
      <c r="D122" s="126">
        <v>0.55000000000000004</v>
      </c>
      <c r="E122" s="126">
        <v>0.45</v>
      </c>
      <c r="F122" s="126">
        <v>0.92</v>
      </c>
      <c r="G122" s="126">
        <f t="shared" si="4"/>
        <v>75.900000000000006</v>
      </c>
      <c r="H122" s="127">
        <f t="shared" si="5"/>
        <v>62.1</v>
      </c>
    </row>
    <row r="123" spans="1:8" x14ac:dyDescent="0.25">
      <c r="A123" s="81" t="s">
        <v>320</v>
      </c>
      <c r="B123" s="128">
        <v>10</v>
      </c>
      <c r="C123" s="128">
        <v>100</v>
      </c>
      <c r="D123" s="128">
        <v>0.6</v>
      </c>
      <c r="E123" s="128">
        <v>0.4</v>
      </c>
      <c r="F123" s="128">
        <v>0.92</v>
      </c>
      <c r="G123" s="128">
        <f t="shared" si="4"/>
        <v>552</v>
      </c>
      <c r="H123" s="129">
        <f t="shared" si="5"/>
        <v>368</v>
      </c>
    </row>
  </sheetData>
  <mergeCells count="4">
    <mergeCell ref="A92:H92"/>
    <mergeCell ref="A1:H1"/>
    <mergeCell ref="A2:H2"/>
    <mergeCell ref="A43:H43"/>
  </mergeCells>
  <phoneticPr fontId="1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28499-B28D-46B2-A7C0-E8D0FB2FCBD6}">
  <dimension ref="A1:I165"/>
  <sheetViews>
    <sheetView topLeftCell="A100" workbookViewId="0">
      <selection activeCell="O170" sqref="O170"/>
    </sheetView>
  </sheetViews>
  <sheetFormatPr defaultRowHeight="15" x14ac:dyDescent="0.25"/>
  <sheetData>
    <row r="1" spans="1:9" x14ac:dyDescent="0.25">
      <c r="A1" s="95" t="s">
        <v>515</v>
      </c>
      <c r="B1" s="95"/>
      <c r="C1" s="95"/>
      <c r="D1" s="95"/>
      <c r="E1" s="95"/>
      <c r="F1" s="95"/>
    </row>
    <row r="2" spans="1:9" x14ac:dyDescent="0.25">
      <c r="A2" s="103" t="s">
        <v>337</v>
      </c>
      <c r="B2" s="103"/>
      <c r="C2" s="103"/>
      <c r="D2" s="103"/>
      <c r="E2" s="103"/>
      <c r="F2" s="103"/>
    </row>
    <row r="3" spans="1:9" ht="15.75" thickBot="1" x14ac:dyDescent="0.3">
      <c r="A3" s="5" t="s">
        <v>20</v>
      </c>
      <c r="B3" s="5" t="s">
        <v>49</v>
      </c>
      <c r="C3" s="5" t="s">
        <v>516</v>
      </c>
      <c r="D3" s="5" t="s">
        <v>517</v>
      </c>
      <c r="E3" s="5" t="s">
        <v>342</v>
      </c>
      <c r="F3" s="5" t="s">
        <v>24</v>
      </c>
      <c r="I3" s="5" t="s">
        <v>54</v>
      </c>
    </row>
    <row r="4" spans="1:9" x14ac:dyDescent="0.25">
      <c r="A4" s="132" t="s">
        <v>238</v>
      </c>
      <c r="B4">
        <f>13*I4</f>
        <v>486.70179999999999</v>
      </c>
      <c r="C4">
        <v>0.75</v>
      </c>
      <c r="D4">
        <v>1.2</v>
      </c>
      <c r="E4">
        <v>0.94</v>
      </c>
      <c r="F4">
        <f>B4*C4*D4*E4</f>
        <v>411.74972279999997</v>
      </c>
      <c r="I4" s="21">
        <v>37.438600000000001</v>
      </c>
    </row>
    <row r="5" spans="1:9" x14ac:dyDescent="0.25">
      <c r="A5" s="132" t="s">
        <v>239</v>
      </c>
      <c r="B5">
        <f t="shared" ref="B5:B62" si="0">13*I5</f>
        <v>125.46559999999999</v>
      </c>
      <c r="C5">
        <v>0.75</v>
      </c>
      <c r="D5">
        <v>1.2</v>
      </c>
      <c r="E5">
        <v>0.94</v>
      </c>
      <c r="F5">
        <f t="shared" ref="F5:F61" si="1">B5*C5*D5*E5</f>
        <v>106.14389759999999</v>
      </c>
      <c r="I5" s="133">
        <v>9.6511999999999993</v>
      </c>
    </row>
    <row r="6" spans="1:9" x14ac:dyDescent="0.25">
      <c r="A6" s="132" t="s">
        <v>240</v>
      </c>
      <c r="B6">
        <f t="shared" si="0"/>
        <v>101.6275</v>
      </c>
      <c r="C6">
        <v>0.5</v>
      </c>
      <c r="D6">
        <v>1.2</v>
      </c>
      <c r="E6">
        <v>0.94</v>
      </c>
      <c r="F6">
        <f t="shared" si="1"/>
        <v>57.317909999999991</v>
      </c>
      <c r="I6" s="133">
        <v>7.8174999999999999</v>
      </c>
    </row>
    <row r="7" spans="1:9" x14ac:dyDescent="0.25">
      <c r="A7" s="132" t="s">
        <v>241</v>
      </c>
      <c r="B7">
        <f t="shared" si="0"/>
        <v>212.02350000000001</v>
      </c>
      <c r="C7">
        <v>0.5</v>
      </c>
      <c r="D7">
        <v>1.2</v>
      </c>
      <c r="E7">
        <v>0.94</v>
      </c>
      <c r="F7">
        <f t="shared" si="1"/>
        <v>119.581254</v>
      </c>
      <c r="I7" s="133">
        <v>16.3095</v>
      </c>
    </row>
    <row r="8" spans="1:9" x14ac:dyDescent="0.25">
      <c r="A8" s="132" t="s">
        <v>242</v>
      </c>
      <c r="B8">
        <f t="shared" si="0"/>
        <v>237.88829999999999</v>
      </c>
      <c r="C8">
        <v>0.5</v>
      </c>
      <c r="D8">
        <v>1.2</v>
      </c>
      <c r="E8">
        <v>0.94</v>
      </c>
      <c r="F8">
        <f t="shared" si="1"/>
        <v>134.1690012</v>
      </c>
      <c r="I8" s="133">
        <v>18.299099999999999</v>
      </c>
    </row>
    <row r="9" spans="1:9" x14ac:dyDescent="0.25">
      <c r="A9" s="132" t="s">
        <v>243</v>
      </c>
      <c r="B9">
        <f t="shared" si="0"/>
        <v>238.50319999999999</v>
      </c>
      <c r="C9">
        <v>0.5</v>
      </c>
      <c r="D9">
        <v>1.2</v>
      </c>
      <c r="E9">
        <v>0.94</v>
      </c>
      <c r="F9">
        <f t="shared" si="1"/>
        <v>134.51580479999998</v>
      </c>
      <c r="I9" s="133">
        <v>18.346399999999999</v>
      </c>
    </row>
    <row r="10" spans="1:9" x14ac:dyDescent="0.25">
      <c r="A10" s="132" t="s">
        <v>244</v>
      </c>
      <c r="B10">
        <f t="shared" si="0"/>
        <v>304.05180000000001</v>
      </c>
      <c r="C10">
        <v>0.5</v>
      </c>
      <c r="D10">
        <v>1.2</v>
      </c>
      <c r="E10">
        <v>0.94</v>
      </c>
      <c r="F10">
        <f t="shared" si="1"/>
        <v>171.4852152</v>
      </c>
      <c r="I10" s="133">
        <v>23.3886</v>
      </c>
    </row>
    <row r="11" spans="1:9" x14ac:dyDescent="0.25">
      <c r="A11" s="132" t="s">
        <v>245</v>
      </c>
      <c r="B11">
        <f t="shared" si="0"/>
        <v>72.930000000000007</v>
      </c>
      <c r="C11">
        <v>0.75</v>
      </c>
      <c r="D11">
        <v>1.2</v>
      </c>
      <c r="E11">
        <v>0.94</v>
      </c>
      <c r="F11">
        <f t="shared" si="1"/>
        <v>61.698779999999999</v>
      </c>
      <c r="I11" s="133">
        <v>5.61</v>
      </c>
    </row>
    <row r="12" spans="1:9" x14ac:dyDescent="0.25">
      <c r="A12" s="132" t="s">
        <v>246</v>
      </c>
      <c r="B12">
        <f t="shared" si="0"/>
        <v>548.50250000000005</v>
      </c>
      <c r="C12">
        <v>0.75</v>
      </c>
      <c r="D12">
        <v>1.2</v>
      </c>
      <c r="E12">
        <v>0.94</v>
      </c>
      <c r="F12">
        <f t="shared" si="1"/>
        <v>464.03311500000001</v>
      </c>
      <c r="I12" s="133">
        <v>42.192500000000003</v>
      </c>
    </row>
    <row r="13" spans="1:9" x14ac:dyDescent="0.25">
      <c r="A13" s="132" t="s">
        <v>247</v>
      </c>
      <c r="B13">
        <f t="shared" si="0"/>
        <v>255.29139999999998</v>
      </c>
      <c r="C13">
        <v>0.5</v>
      </c>
      <c r="D13">
        <v>1.2</v>
      </c>
      <c r="E13">
        <v>0.94</v>
      </c>
      <c r="F13">
        <f t="shared" si="1"/>
        <v>143.98434959999997</v>
      </c>
      <c r="I13" s="133">
        <v>19.637799999999999</v>
      </c>
    </row>
    <row r="14" spans="1:9" x14ac:dyDescent="0.25">
      <c r="A14" s="132" t="s">
        <v>248</v>
      </c>
      <c r="B14">
        <f t="shared" si="0"/>
        <v>406.76089999999999</v>
      </c>
      <c r="C14">
        <v>0.5</v>
      </c>
      <c r="D14">
        <v>1.2</v>
      </c>
      <c r="E14">
        <v>0.94</v>
      </c>
      <c r="F14">
        <f t="shared" si="1"/>
        <v>229.41314759999997</v>
      </c>
      <c r="I14" s="133">
        <v>31.289300000000001</v>
      </c>
    </row>
    <row r="15" spans="1:9" x14ac:dyDescent="0.25">
      <c r="A15" s="132" t="s">
        <v>249</v>
      </c>
      <c r="B15">
        <f t="shared" si="0"/>
        <v>51.703599999999994</v>
      </c>
      <c r="C15">
        <v>0.5</v>
      </c>
      <c r="D15">
        <v>1.2</v>
      </c>
      <c r="E15">
        <v>0.94</v>
      </c>
      <c r="F15">
        <f t="shared" si="1"/>
        <v>29.160830399999995</v>
      </c>
      <c r="I15" s="133">
        <v>3.9771999999999998</v>
      </c>
    </row>
    <row r="16" spans="1:9" x14ac:dyDescent="0.25">
      <c r="A16" s="132" t="s">
        <v>250</v>
      </c>
      <c r="B16">
        <f t="shared" si="0"/>
        <v>269.73309999999998</v>
      </c>
      <c r="C16">
        <v>0.75</v>
      </c>
      <c r="D16">
        <v>1.2</v>
      </c>
      <c r="E16">
        <v>0.94</v>
      </c>
      <c r="F16">
        <f t="shared" si="1"/>
        <v>228.19420259999998</v>
      </c>
      <c r="I16" s="133">
        <v>20.748699999999999</v>
      </c>
    </row>
    <row r="17" spans="1:9" x14ac:dyDescent="0.25">
      <c r="A17" s="132" t="s">
        <v>251</v>
      </c>
      <c r="B17">
        <f t="shared" si="0"/>
        <v>233.3656</v>
      </c>
      <c r="C17">
        <v>0.75</v>
      </c>
      <c r="D17">
        <v>1.2</v>
      </c>
      <c r="E17">
        <v>0.94</v>
      </c>
      <c r="F17">
        <f t="shared" si="1"/>
        <v>197.4272976</v>
      </c>
      <c r="I17" s="133">
        <v>17.9512</v>
      </c>
    </row>
    <row r="18" spans="1:9" x14ac:dyDescent="0.25">
      <c r="A18" s="132" t="s">
        <v>252</v>
      </c>
      <c r="B18">
        <f t="shared" si="0"/>
        <v>242.2004</v>
      </c>
      <c r="C18">
        <v>0.75</v>
      </c>
      <c r="D18">
        <v>1.2</v>
      </c>
      <c r="E18">
        <v>0.94</v>
      </c>
      <c r="F18">
        <f t="shared" si="1"/>
        <v>204.90153839999999</v>
      </c>
      <c r="I18" s="133">
        <v>18.630800000000001</v>
      </c>
    </row>
    <row r="19" spans="1:9" x14ac:dyDescent="0.25">
      <c r="A19" s="132" t="s">
        <v>253</v>
      </c>
      <c r="B19">
        <f t="shared" si="0"/>
        <v>222.79139999999998</v>
      </c>
      <c r="C19">
        <v>0.5</v>
      </c>
      <c r="D19">
        <v>1.2</v>
      </c>
      <c r="E19">
        <v>0.94</v>
      </c>
      <c r="F19">
        <f t="shared" si="1"/>
        <v>125.65434959999999</v>
      </c>
      <c r="I19" s="133">
        <v>17.137799999999999</v>
      </c>
    </row>
    <row r="20" spans="1:9" x14ac:dyDescent="0.25">
      <c r="A20" s="132" t="s">
        <v>254</v>
      </c>
      <c r="B20">
        <f t="shared" si="0"/>
        <v>150.88059999999999</v>
      </c>
      <c r="C20">
        <v>0.5</v>
      </c>
      <c r="D20">
        <v>1.2</v>
      </c>
      <c r="E20">
        <v>0.94</v>
      </c>
      <c r="F20">
        <f t="shared" si="1"/>
        <v>85.096658399999981</v>
      </c>
      <c r="I20" s="133">
        <v>11.606199999999999</v>
      </c>
    </row>
    <row r="21" spans="1:9" x14ac:dyDescent="0.25">
      <c r="A21" s="132" t="s">
        <v>255</v>
      </c>
      <c r="B21">
        <f t="shared" si="0"/>
        <v>1702.5865999999999</v>
      </c>
      <c r="C21">
        <v>0.75</v>
      </c>
      <c r="D21">
        <v>1.2</v>
      </c>
      <c r="E21">
        <v>0.94</v>
      </c>
      <c r="F21">
        <f t="shared" si="1"/>
        <v>1440.3882635999998</v>
      </c>
      <c r="I21" s="133">
        <v>130.9682</v>
      </c>
    </row>
    <row r="22" spans="1:9" x14ac:dyDescent="0.25">
      <c r="A22" s="132" t="s">
        <v>256</v>
      </c>
      <c r="B22">
        <f t="shared" si="0"/>
        <v>427.18</v>
      </c>
      <c r="C22">
        <v>0.75</v>
      </c>
      <c r="D22">
        <v>1.2</v>
      </c>
      <c r="E22">
        <v>0.94</v>
      </c>
      <c r="F22">
        <f t="shared" si="1"/>
        <v>361.39427999999998</v>
      </c>
      <c r="I22" s="133">
        <v>32.86</v>
      </c>
    </row>
    <row r="23" spans="1:9" x14ac:dyDescent="0.25">
      <c r="A23" s="132" t="s">
        <v>257</v>
      </c>
      <c r="B23">
        <f t="shared" si="0"/>
        <v>164.8075</v>
      </c>
      <c r="C23">
        <v>0.75</v>
      </c>
      <c r="D23">
        <v>1.2</v>
      </c>
      <c r="E23">
        <v>0.94</v>
      </c>
      <c r="F23">
        <f t="shared" si="1"/>
        <v>139.427145</v>
      </c>
      <c r="I23" s="133">
        <v>12.6775</v>
      </c>
    </row>
    <row r="24" spans="1:9" x14ac:dyDescent="0.25">
      <c r="A24" s="132" t="s">
        <v>258</v>
      </c>
      <c r="B24">
        <f t="shared" si="0"/>
        <v>186.95429999999999</v>
      </c>
      <c r="C24">
        <v>0.5</v>
      </c>
      <c r="D24">
        <v>1.2</v>
      </c>
      <c r="E24">
        <v>0.94</v>
      </c>
      <c r="F24">
        <f t="shared" si="1"/>
        <v>105.4422252</v>
      </c>
      <c r="I24" s="133">
        <v>14.3811</v>
      </c>
    </row>
    <row r="25" spans="1:9" x14ac:dyDescent="0.25">
      <c r="A25" s="132" t="s">
        <v>259</v>
      </c>
      <c r="B25">
        <f t="shared" si="0"/>
        <v>186.95429999999999</v>
      </c>
      <c r="C25">
        <v>0.5</v>
      </c>
      <c r="D25">
        <v>1.2</v>
      </c>
      <c r="E25">
        <v>0.94</v>
      </c>
      <c r="F25">
        <f t="shared" si="1"/>
        <v>105.4422252</v>
      </c>
      <c r="I25" s="133">
        <v>14.3811</v>
      </c>
    </row>
    <row r="26" spans="1:9" x14ac:dyDescent="0.25">
      <c r="A26" s="132" t="s">
        <v>261</v>
      </c>
      <c r="B26">
        <f t="shared" si="0"/>
        <v>187.6628</v>
      </c>
      <c r="C26">
        <v>0.5</v>
      </c>
      <c r="D26">
        <v>1.2</v>
      </c>
      <c r="E26">
        <v>0.94</v>
      </c>
      <c r="F26">
        <f t="shared" si="1"/>
        <v>105.84181919999999</v>
      </c>
      <c r="I26" s="133">
        <v>14.435600000000001</v>
      </c>
    </row>
    <row r="27" spans="1:9" x14ac:dyDescent="0.25">
      <c r="A27" s="132" t="s">
        <v>262</v>
      </c>
      <c r="B27">
        <f t="shared" si="0"/>
        <v>187.6628</v>
      </c>
      <c r="C27">
        <v>0.5</v>
      </c>
      <c r="D27">
        <v>1.2</v>
      </c>
      <c r="E27">
        <v>0.94</v>
      </c>
      <c r="F27">
        <f t="shared" si="1"/>
        <v>105.84181919999999</v>
      </c>
      <c r="I27" s="133">
        <v>14.435600000000001</v>
      </c>
    </row>
    <row r="28" spans="1:9" x14ac:dyDescent="0.25">
      <c r="A28" s="132" t="s">
        <v>263</v>
      </c>
      <c r="B28">
        <f t="shared" si="0"/>
        <v>71.337499999999991</v>
      </c>
      <c r="C28">
        <v>0.75</v>
      </c>
      <c r="D28">
        <v>1.2</v>
      </c>
      <c r="E28">
        <v>0.94</v>
      </c>
      <c r="F28">
        <f t="shared" si="1"/>
        <v>60.351524999999995</v>
      </c>
      <c r="I28" s="133">
        <v>5.4874999999999998</v>
      </c>
    </row>
    <row r="29" spans="1:9" x14ac:dyDescent="0.25">
      <c r="A29" s="132" t="s">
        <v>264</v>
      </c>
      <c r="B29">
        <f t="shared" si="0"/>
        <v>71.63</v>
      </c>
      <c r="C29">
        <v>0.75</v>
      </c>
      <c r="D29">
        <v>1.2</v>
      </c>
      <c r="E29">
        <v>0.94</v>
      </c>
      <c r="F29">
        <f t="shared" si="1"/>
        <v>60.598979999999997</v>
      </c>
      <c r="I29" s="133">
        <v>5.51</v>
      </c>
    </row>
    <row r="30" spans="1:9" x14ac:dyDescent="0.25">
      <c r="A30" s="132" t="s">
        <v>265</v>
      </c>
      <c r="B30">
        <f t="shared" si="0"/>
        <v>73.271900000000002</v>
      </c>
      <c r="C30">
        <v>0.75</v>
      </c>
      <c r="D30">
        <v>1.2</v>
      </c>
      <c r="E30">
        <v>0.94</v>
      </c>
      <c r="F30">
        <f t="shared" si="1"/>
        <v>61.9880274</v>
      </c>
      <c r="I30" s="133">
        <v>5.6363000000000003</v>
      </c>
    </row>
    <row r="31" spans="1:9" x14ac:dyDescent="0.25">
      <c r="A31" s="132" t="s">
        <v>266</v>
      </c>
      <c r="B31">
        <f t="shared" si="0"/>
        <v>71.763899999999992</v>
      </c>
      <c r="C31">
        <v>0.5</v>
      </c>
      <c r="D31">
        <v>1.2</v>
      </c>
      <c r="E31">
        <v>0.94</v>
      </c>
      <c r="F31">
        <f t="shared" si="1"/>
        <v>40.474839599999989</v>
      </c>
      <c r="I31" s="133">
        <v>5.5202999999999998</v>
      </c>
    </row>
    <row r="32" spans="1:9" x14ac:dyDescent="0.25">
      <c r="A32" s="132" t="s">
        <v>267</v>
      </c>
      <c r="B32">
        <f t="shared" si="0"/>
        <v>118.93960000000001</v>
      </c>
      <c r="C32">
        <v>0.5</v>
      </c>
      <c r="D32">
        <v>1.2</v>
      </c>
      <c r="E32">
        <v>0.94</v>
      </c>
      <c r="F32">
        <f t="shared" si="1"/>
        <v>67.081934399999994</v>
      </c>
      <c r="I32" s="133">
        <v>9.1492000000000004</v>
      </c>
    </row>
    <row r="33" spans="1:9" x14ac:dyDescent="0.25">
      <c r="A33" s="132" t="s">
        <v>268</v>
      </c>
      <c r="B33">
        <f t="shared" si="0"/>
        <v>64.378600000000006</v>
      </c>
      <c r="C33">
        <v>0.5</v>
      </c>
      <c r="D33">
        <v>1.2</v>
      </c>
      <c r="E33">
        <v>0.94</v>
      </c>
      <c r="F33">
        <f t="shared" si="1"/>
        <v>36.3095304</v>
      </c>
      <c r="I33" s="133">
        <v>4.9522000000000004</v>
      </c>
    </row>
    <row r="34" spans="1:9" x14ac:dyDescent="0.25">
      <c r="A34" s="132" t="s">
        <v>269</v>
      </c>
      <c r="B34">
        <f t="shared" si="0"/>
        <v>328.29939999999999</v>
      </c>
      <c r="C34">
        <v>0.5</v>
      </c>
      <c r="D34">
        <v>1.2</v>
      </c>
      <c r="E34">
        <v>0.94</v>
      </c>
      <c r="F34">
        <f t="shared" si="1"/>
        <v>185.16086159999998</v>
      </c>
      <c r="I34" s="133">
        <v>25.253799999999998</v>
      </c>
    </row>
    <row r="35" spans="1:9" x14ac:dyDescent="0.25">
      <c r="A35" s="132" t="s">
        <v>270</v>
      </c>
      <c r="B35">
        <f t="shared" si="0"/>
        <v>186.95429999999999</v>
      </c>
      <c r="C35">
        <v>0.5</v>
      </c>
      <c r="D35">
        <v>1.2</v>
      </c>
      <c r="E35">
        <v>0.94</v>
      </c>
      <c r="F35">
        <f t="shared" si="1"/>
        <v>105.4422252</v>
      </c>
      <c r="I35" s="133">
        <v>14.3811</v>
      </c>
    </row>
    <row r="36" spans="1:9" x14ac:dyDescent="0.25">
      <c r="A36" s="132" t="s">
        <v>271</v>
      </c>
      <c r="B36">
        <f t="shared" si="0"/>
        <v>186.95429999999999</v>
      </c>
      <c r="C36">
        <v>0.5</v>
      </c>
      <c r="D36">
        <v>1.2</v>
      </c>
      <c r="E36">
        <v>0.94</v>
      </c>
      <c r="F36">
        <f t="shared" si="1"/>
        <v>105.4422252</v>
      </c>
      <c r="I36" s="133">
        <v>14.3811</v>
      </c>
    </row>
    <row r="37" spans="1:9" x14ac:dyDescent="0.25">
      <c r="A37" s="132" t="s">
        <v>272</v>
      </c>
      <c r="B37">
        <f t="shared" si="0"/>
        <v>135.434</v>
      </c>
      <c r="C37">
        <v>0.5</v>
      </c>
      <c r="D37">
        <v>1.2</v>
      </c>
      <c r="E37">
        <v>0.94</v>
      </c>
      <c r="F37">
        <f t="shared" si="1"/>
        <v>76.384775999999988</v>
      </c>
      <c r="I37" s="133">
        <v>10.417999999999999</v>
      </c>
    </row>
    <row r="38" spans="1:9" x14ac:dyDescent="0.25">
      <c r="A38" s="132" t="s">
        <v>273</v>
      </c>
      <c r="B38">
        <f t="shared" si="0"/>
        <v>129.7465</v>
      </c>
      <c r="C38">
        <v>0.5</v>
      </c>
      <c r="D38">
        <v>1.2</v>
      </c>
      <c r="E38">
        <v>0.94</v>
      </c>
      <c r="F38">
        <f t="shared" si="1"/>
        <v>73.177025999999998</v>
      </c>
      <c r="I38" s="133">
        <v>9.9804999999999993</v>
      </c>
    </row>
    <row r="39" spans="1:9" x14ac:dyDescent="0.25">
      <c r="A39" s="132" t="s">
        <v>274</v>
      </c>
      <c r="B39">
        <f t="shared" si="0"/>
        <v>187.6628</v>
      </c>
      <c r="C39">
        <v>0.5</v>
      </c>
      <c r="D39">
        <v>1.2</v>
      </c>
      <c r="E39">
        <v>0.94</v>
      </c>
      <c r="F39">
        <f t="shared" si="1"/>
        <v>105.84181919999999</v>
      </c>
      <c r="I39" s="133">
        <v>14.435600000000001</v>
      </c>
    </row>
    <row r="40" spans="1:9" x14ac:dyDescent="0.25">
      <c r="A40" s="132" t="s">
        <v>275</v>
      </c>
      <c r="B40">
        <f t="shared" si="0"/>
        <v>187.6628</v>
      </c>
      <c r="C40">
        <v>0.5</v>
      </c>
      <c r="D40">
        <v>1.2</v>
      </c>
      <c r="E40">
        <v>0.94</v>
      </c>
      <c r="F40">
        <f t="shared" si="1"/>
        <v>105.84181919999999</v>
      </c>
      <c r="I40" s="133">
        <v>14.435600000000001</v>
      </c>
    </row>
    <row r="41" spans="1:9" x14ac:dyDescent="0.25">
      <c r="A41" s="134" t="s">
        <v>518</v>
      </c>
      <c r="B41">
        <f t="shared" si="0"/>
        <v>0</v>
      </c>
      <c r="C41">
        <v>1</v>
      </c>
      <c r="D41">
        <v>1.2</v>
      </c>
      <c r="E41">
        <v>0.94</v>
      </c>
      <c r="F41">
        <f t="shared" si="1"/>
        <v>0</v>
      </c>
      <c r="I41" s="133"/>
    </row>
    <row r="42" spans="1:9" x14ac:dyDescent="0.25">
      <c r="A42" s="132" t="s">
        <v>277</v>
      </c>
      <c r="B42">
        <f t="shared" si="0"/>
        <v>109.60299999999999</v>
      </c>
      <c r="C42">
        <v>0.5</v>
      </c>
      <c r="D42">
        <v>1.2</v>
      </c>
      <c r="E42">
        <v>0.94</v>
      </c>
      <c r="F42">
        <f t="shared" si="1"/>
        <v>61.81609199999999</v>
      </c>
      <c r="I42" s="133">
        <v>8.4309999999999992</v>
      </c>
    </row>
    <row r="43" spans="1:9" x14ac:dyDescent="0.25">
      <c r="A43" s="132" t="s">
        <v>278</v>
      </c>
      <c r="B43">
        <f t="shared" si="0"/>
        <v>108.07810000000001</v>
      </c>
      <c r="C43">
        <v>0.5</v>
      </c>
      <c r="D43">
        <v>1.2</v>
      </c>
      <c r="E43">
        <v>0.94</v>
      </c>
      <c r="F43">
        <f t="shared" si="1"/>
        <v>60.9560484</v>
      </c>
      <c r="I43" s="133">
        <v>8.3137000000000008</v>
      </c>
    </row>
    <row r="44" spans="1:9" x14ac:dyDescent="0.25">
      <c r="A44" s="132" t="s">
        <v>279</v>
      </c>
      <c r="B44">
        <f t="shared" si="0"/>
        <v>109.6875</v>
      </c>
      <c r="C44">
        <v>0.5</v>
      </c>
      <c r="D44">
        <v>1.2</v>
      </c>
      <c r="E44">
        <v>0.94</v>
      </c>
      <c r="F44">
        <f t="shared" si="1"/>
        <v>61.863749999999996</v>
      </c>
      <c r="I44" s="133">
        <v>8.4375</v>
      </c>
    </row>
    <row r="45" spans="1:9" x14ac:dyDescent="0.25">
      <c r="A45" s="132" t="s">
        <v>280</v>
      </c>
      <c r="B45">
        <f t="shared" si="0"/>
        <v>176.89099999999999</v>
      </c>
      <c r="C45">
        <v>0.5</v>
      </c>
      <c r="D45">
        <v>1.2</v>
      </c>
      <c r="E45">
        <v>0.94</v>
      </c>
      <c r="F45">
        <f t="shared" si="1"/>
        <v>99.76652399999999</v>
      </c>
      <c r="I45" s="133">
        <v>13.606999999999999</v>
      </c>
    </row>
    <row r="46" spans="1:9" x14ac:dyDescent="0.25">
      <c r="A46" s="132" t="s">
        <v>281</v>
      </c>
      <c r="B46">
        <f t="shared" si="0"/>
        <v>224.37869999999998</v>
      </c>
      <c r="C46">
        <v>0.5</v>
      </c>
      <c r="D46">
        <v>1.2</v>
      </c>
      <c r="E46">
        <v>0.94</v>
      </c>
      <c r="F46">
        <f t="shared" si="1"/>
        <v>126.54958679999999</v>
      </c>
      <c r="I46" s="133">
        <v>17.259899999999998</v>
      </c>
    </row>
    <row r="47" spans="1:9" x14ac:dyDescent="0.25">
      <c r="A47" s="132" t="s">
        <v>282</v>
      </c>
      <c r="B47">
        <f t="shared" si="0"/>
        <v>222.64709999999999</v>
      </c>
      <c r="C47">
        <v>0.5</v>
      </c>
      <c r="D47">
        <v>1.2</v>
      </c>
      <c r="E47">
        <v>0.94</v>
      </c>
      <c r="F47">
        <f t="shared" si="1"/>
        <v>125.57296439999999</v>
      </c>
      <c r="I47" s="133">
        <v>17.1267</v>
      </c>
    </row>
    <row r="48" spans="1:9" x14ac:dyDescent="0.25">
      <c r="A48" s="132" t="s">
        <v>283</v>
      </c>
      <c r="B48">
        <f t="shared" si="0"/>
        <v>111.42429999999999</v>
      </c>
      <c r="C48">
        <v>0.5</v>
      </c>
      <c r="D48">
        <v>1.2</v>
      </c>
      <c r="E48">
        <v>0.94</v>
      </c>
      <c r="F48">
        <f t="shared" si="1"/>
        <v>62.843305199999982</v>
      </c>
      <c r="I48" s="133">
        <v>8.5710999999999995</v>
      </c>
    </row>
    <row r="49" spans="1:9" x14ac:dyDescent="0.25">
      <c r="A49" s="132" t="s">
        <v>285</v>
      </c>
      <c r="B49">
        <f t="shared" si="0"/>
        <v>176.7792</v>
      </c>
      <c r="C49">
        <v>0.5</v>
      </c>
      <c r="D49">
        <v>1.2</v>
      </c>
      <c r="E49">
        <v>0.94</v>
      </c>
      <c r="F49">
        <f t="shared" si="1"/>
        <v>99.703468799999996</v>
      </c>
      <c r="I49" s="133">
        <v>13.5984</v>
      </c>
    </row>
    <row r="50" spans="1:9" x14ac:dyDescent="0.25">
      <c r="A50" s="132" t="s">
        <v>286</v>
      </c>
      <c r="B50">
        <f t="shared" si="0"/>
        <v>221.5564</v>
      </c>
      <c r="C50">
        <v>0.5</v>
      </c>
      <c r="D50">
        <v>1.2</v>
      </c>
      <c r="E50">
        <v>0.94</v>
      </c>
      <c r="F50">
        <f t="shared" si="1"/>
        <v>124.95780959999999</v>
      </c>
      <c r="I50" s="133">
        <v>17.0428</v>
      </c>
    </row>
    <row r="51" spans="1:9" x14ac:dyDescent="0.25">
      <c r="A51" s="132" t="s">
        <v>287</v>
      </c>
      <c r="B51">
        <f t="shared" si="0"/>
        <v>135.74210000000002</v>
      </c>
      <c r="C51">
        <v>0.5</v>
      </c>
      <c r="D51">
        <v>1.2</v>
      </c>
      <c r="E51">
        <v>0.94</v>
      </c>
      <c r="F51">
        <f t="shared" si="1"/>
        <v>76.558544400000002</v>
      </c>
      <c r="I51" s="133">
        <v>10.441700000000001</v>
      </c>
    </row>
    <row r="52" spans="1:9" x14ac:dyDescent="0.25">
      <c r="A52" s="132" t="s">
        <v>288</v>
      </c>
      <c r="B52">
        <f t="shared" si="0"/>
        <v>150.69470000000001</v>
      </c>
      <c r="C52">
        <v>0.5</v>
      </c>
      <c r="D52">
        <v>1.2</v>
      </c>
      <c r="E52">
        <v>0.94</v>
      </c>
      <c r="F52">
        <f t="shared" si="1"/>
        <v>84.991810799999996</v>
      </c>
      <c r="I52" s="133">
        <v>11.591900000000001</v>
      </c>
    </row>
    <row r="53" spans="1:9" x14ac:dyDescent="0.25">
      <c r="A53" s="132" t="s">
        <v>289</v>
      </c>
      <c r="B53">
        <f t="shared" si="0"/>
        <v>247.99969999999999</v>
      </c>
      <c r="C53">
        <v>0.5</v>
      </c>
      <c r="D53">
        <v>1.2</v>
      </c>
      <c r="E53">
        <v>0.94</v>
      </c>
      <c r="F53">
        <f t="shared" si="1"/>
        <v>139.87183079999997</v>
      </c>
      <c r="I53" s="133">
        <v>19.076899999999998</v>
      </c>
    </row>
    <row r="54" spans="1:9" x14ac:dyDescent="0.25">
      <c r="A54" s="132" t="s">
        <v>290</v>
      </c>
      <c r="B54">
        <f t="shared" si="0"/>
        <v>444.79760000000005</v>
      </c>
      <c r="C54">
        <v>0.5</v>
      </c>
      <c r="D54">
        <v>1.2</v>
      </c>
      <c r="E54">
        <v>0.94</v>
      </c>
      <c r="F54">
        <f t="shared" si="1"/>
        <v>250.86584639999998</v>
      </c>
      <c r="I54" s="133">
        <v>34.215200000000003</v>
      </c>
    </row>
    <row r="55" spans="1:9" x14ac:dyDescent="0.25">
      <c r="A55" s="132" t="s">
        <v>291</v>
      </c>
      <c r="B55">
        <f t="shared" si="0"/>
        <v>33.723300000000002</v>
      </c>
      <c r="C55">
        <v>0.5</v>
      </c>
      <c r="D55">
        <v>1.2</v>
      </c>
      <c r="E55">
        <v>0.94</v>
      </c>
      <c r="F55">
        <f t="shared" si="1"/>
        <v>19.019941199999998</v>
      </c>
      <c r="I55" s="133">
        <v>2.5941000000000001</v>
      </c>
    </row>
    <row r="56" spans="1:9" x14ac:dyDescent="0.25">
      <c r="A56" s="132" t="s">
        <v>292</v>
      </c>
      <c r="B56">
        <f t="shared" si="0"/>
        <v>25.512499999999999</v>
      </c>
      <c r="C56">
        <v>0.5</v>
      </c>
      <c r="D56">
        <v>1.2</v>
      </c>
      <c r="E56">
        <v>0.94</v>
      </c>
      <c r="F56">
        <f t="shared" si="1"/>
        <v>14.389049999999999</v>
      </c>
      <c r="I56" s="133">
        <v>1.9624999999999999</v>
      </c>
    </row>
    <row r="57" spans="1:9" x14ac:dyDescent="0.25">
      <c r="A57" s="132" t="s">
        <v>293</v>
      </c>
      <c r="B57">
        <f t="shared" si="0"/>
        <v>74.339200000000005</v>
      </c>
      <c r="C57">
        <v>0.75</v>
      </c>
      <c r="D57">
        <v>1.2</v>
      </c>
      <c r="E57">
        <v>0.94</v>
      </c>
      <c r="F57">
        <f t="shared" si="1"/>
        <v>62.890963200000002</v>
      </c>
      <c r="I57" s="133">
        <v>5.7183999999999999</v>
      </c>
    </row>
    <row r="58" spans="1:9" x14ac:dyDescent="0.25">
      <c r="A58" s="132" t="s">
        <v>294</v>
      </c>
      <c r="B58">
        <f t="shared" si="0"/>
        <v>119.925</v>
      </c>
      <c r="C58">
        <v>0.5</v>
      </c>
      <c r="D58">
        <v>1.2</v>
      </c>
      <c r="E58">
        <v>0.94</v>
      </c>
      <c r="F58">
        <f t="shared" si="1"/>
        <v>67.637699999999995</v>
      </c>
      <c r="I58" s="133">
        <v>9.2249999999999996</v>
      </c>
    </row>
    <row r="59" spans="1:9" x14ac:dyDescent="0.25">
      <c r="A59" s="132" t="s">
        <v>295</v>
      </c>
      <c r="B59">
        <f t="shared" si="0"/>
        <v>494.42250000000001</v>
      </c>
      <c r="C59">
        <v>0.5</v>
      </c>
      <c r="D59">
        <v>1.2</v>
      </c>
      <c r="E59">
        <v>0.94</v>
      </c>
      <c r="F59">
        <f t="shared" si="1"/>
        <v>278.85428999999999</v>
      </c>
      <c r="I59" s="133">
        <v>38.032499999999999</v>
      </c>
    </row>
    <row r="60" spans="1:9" x14ac:dyDescent="0.25">
      <c r="A60" s="132" t="s">
        <v>296</v>
      </c>
      <c r="B60">
        <f t="shared" si="0"/>
        <v>661.5453</v>
      </c>
      <c r="C60">
        <v>0.75</v>
      </c>
      <c r="D60">
        <v>1.2</v>
      </c>
      <c r="E60">
        <v>0.94</v>
      </c>
      <c r="F60">
        <f t="shared" si="1"/>
        <v>559.66732379999996</v>
      </c>
      <c r="I60" s="133">
        <v>50.888100000000001</v>
      </c>
    </row>
    <row r="61" spans="1:9" x14ac:dyDescent="0.25">
      <c r="A61" s="132" t="s">
        <v>297</v>
      </c>
      <c r="B61">
        <f t="shared" si="0"/>
        <v>351.07280000000003</v>
      </c>
      <c r="C61">
        <v>0.5</v>
      </c>
      <c r="D61">
        <v>1.2</v>
      </c>
      <c r="E61">
        <v>0.94</v>
      </c>
      <c r="F61">
        <f t="shared" si="1"/>
        <v>198.00505920000001</v>
      </c>
      <c r="I61" s="133">
        <v>27.005600000000001</v>
      </c>
    </row>
    <row r="62" spans="1:9" ht="15.75" thickBot="1" x14ac:dyDescent="0.3">
      <c r="A62" s="135" t="s">
        <v>299</v>
      </c>
      <c r="B62">
        <f t="shared" si="0"/>
        <v>2362.0895999999998</v>
      </c>
      <c r="C62">
        <v>0.5</v>
      </c>
      <c r="D62">
        <v>1.2</v>
      </c>
      <c r="E62">
        <v>0.94</v>
      </c>
      <c r="F62">
        <f>B62*C62*D62*E62</f>
        <v>1332.2185343999997</v>
      </c>
      <c r="I62" s="36">
        <v>181.69919999999999</v>
      </c>
    </row>
    <row r="66" spans="1:9" x14ac:dyDescent="0.25">
      <c r="A66" s="5" t="s">
        <v>20</v>
      </c>
      <c r="B66" s="5" t="s">
        <v>49</v>
      </c>
      <c r="C66" s="5" t="s">
        <v>516</v>
      </c>
      <c r="D66" s="5" t="s">
        <v>517</v>
      </c>
      <c r="E66" s="5" t="s">
        <v>342</v>
      </c>
      <c r="F66" s="5" t="s">
        <v>24</v>
      </c>
      <c r="G66" s="1"/>
      <c r="I66" s="5" t="s">
        <v>54</v>
      </c>
    </row>
    <row r="67" spans="1:9" x14ac:dyDescent="0.25">
      <c r="A67" s="50" t="s">
        <v>124</v>
      </c>
      <c r="B67">
        <f>13*I67</f>
        <v>445.59969999999998</v>
      </c>
      <c r="C67">
        <v>0.75</v>
      </c>
      <c r="D67">
        <v>1.2</v>
      </c>
      <c r="E67">
        <v>0.94</v>
      </c>
      <c r="F67">
        <f>B67*C67*D67*E67</f>
        <v>376.97734619999994</v>
      </c>
      <c r="I67" s="136">
        <v>34.276899999999998</v>
      </c>
    </row>
    <row r="68" spans="1:9" x14ac:dyDescent="0.25">
      <c r="A68" s="50" t="s">
        <v>170</v>
      </c>
      <c r="B68">
        <f t="shared" ref="B68:B117" si="2">13*I68</f>
        <v>445.38</v>
      </c>
      <c r="C68">
        <v>0.75</v>
      </c>
      <c r="D68">
        <v>1.2</v>
      </c>
      <c r="E68">
        <v>0.94</v>
      </c>
      <c r="F68">
        <f t="shared" ref="F68:F116" si="3">B68*C68*D68*E68</f>
        <v>376.79147999999992</v>
      </c>
      <c r="I68" s="136">
        <v>34.26</v>
      </c>
    </row>
    <row r="69" spans="1:9" x14ac:dyDescent="0.25">
      <c r="A69" s="50" t="s">
        <v>125</v>
      </c>
      <c r="B69">
        <f t="shared" si="2"/>
        <v>445.77</v>
      </c>
      <c r="C69">
        <v>0.75</v>
      </c>
      <c r="D69">
        <v>1.2</v>
      </c>
      <c r="E69">
        <v>0.94</v>
      </c>
      <c r="F69">
        <f t="shared" si="3"/>
        <v>377.12141999999994</v>
      </c>
      <c r="I69" s="136">
        <v>34.29</v>
      </c>
    </row>
    <row r="70" spans="1:9" x14ac:dyDescent="0.25">
      <c r="A70" s="50" t="s">
        <v>126</v>
      </c>
      <c r="B70">
        <f t="shared" si="2"/>
        <v>443.52749999999997</v>
      </c>
      <c r="C70">
        <v>0.75</v>
      </c>
      <c r="D70">
        <v>1.2</v>
      </c>
      <c r="E70">
        <v>0.94</v>
      </c>
      <c r="F70">
        <f t="shared" si="3"/>
        <v>375.22426499999995</v>
      </c>
      <c r="I70" s="136">
        <v>34.1175</v>
      </c>
    </row>
    <row r="71" spans="1:9" x14ac:dyDescent="0.25">
      <c r="A71" s="50" t="s">
        <v>171</v>
      </c>
      <c r="B71">
        <f t="shared" si="2"/>
        <v>177.7594</v>
      </c>
      <c r="C71">
        <v>0.75</v>
      </c>
      <c r="D71">
        <v>1.2</v>
      </c>
      <c r="E71">
        <v>0.94</v>
      </c>
      <c r="F71">
        <f t="shared" si="3"/>
        <v>150.38445239999999</v>
      </c>
      <c r="I71" s="136">
        <v>13.6738</v>
      </c>
    </row>
    <row r="72" spans="1:9" x14ac:dyDescent="0.25">
      <c r="A72" s="50" t="s">
        <v>172</v>
      </c>
      <c r="B72">
        <f t="shared" si="2"/>
        <v>180.96780000000001</v>
      </c>
      <c r="C72">
        <v>0.75</v>
      </c>
      <c r="D72">
        <v>1.2</v>
      </c>
      <c r="E72">
        <v>0.94</v>
      </c>
      <c r="F72">
        <f t="shared" si="3"/>
        <v>153.09875880000001</v>
      </c>
      <c r="I72" s="136">
        <v>13.9206</v>
      </c>
    </row>
    <row r="73" spans="1:9" x14ac:dyDescent="0.25">
      <c r="A73" s="50" t="s">
        <v>173</v>
      </c>
      <c r="B73">
        <f t="shared" si="2"/>
        <v>180.3802</v>
      </c>
      <c r="C73">
        <v>0.75</v>
      </c>
      <c r="D73">
        <v>1.2</v>
      </c>
      <c r="E73">
        <v>0.94</v>
      </c>
      <c r="F73">
        <f t="shared" si="3"/>
        <v>152.60164919999997</v>
      </c>
      <c r="I73" s="136">
        <v>13.875400000000001</v>
      </c>
    </row>
    <row r="74" spans="1:9" x14ac:dyDescent="0.25">
      <c r="A74" s="50" t="s">
        <v>174</v>
      </c>
      <c r="B74">
        <f t="shared" si="2"/>
        <v>399.25599999999997</v>
      </c>
      <c r="C74">
        <v>0.5</v>
      </c>
      <c r="D74">
        <v>1.2</v>
      </c>
      <c r="E74">
        <v>0.94</v>
      </c>
      <c r="F74">
        <f t="shared" si="3"/>
        <v>225.18038399999995</v>
      </c>
      <c r="I74" s="136">
        <v>30.712</v>
      </c>
    </row>
    <row r="75" spans="1:9" x14ac:dyDescent="0.25">
      <c r="A75" s="50" t="s">
        <v>175</v>
      </c>
      <c r="B75">
        <f t="shared" si="2"/>
        <v>233.23689999999999</v>
      </c>
      <c r="C75">
        <v>0.75</v>
      </c>
      <c r="D75">
        <v>1.2</v>
      </c>
      <c r="E75">
        <v>0.94</v>
      </c>
      <c r="F75">
        <f t="shared" si="3"/>
        <v>197.31841739999999</v>
      </c>
      <c r="I75" s="136">
        <v>17.941299999999998</v>
      </c>
    </row>
    <row r="76" spans="1:9" x14ac:dyDescent="0.25">
      <c r="A76" s="50" t="s">
        <v>176</v>
      </c>
      <c r="B76">
        <f t="shared" si="2"/>
        <v>296.77699999999999</v>
      </c>
      <c r="C76">
        <v>0.75</v>
      </c>
      <c r="D76">
        <v>1.2</v>
      </c>
      <c r="E76">
        <v>0.94</v>
      </c>
      <c r="F76">
        <f t="shared" si="3"/>
        <v>251.07334199999997</v>
      </c>
      <c r="I76" s="136">
        <v>22.829000000000001</v>
      </c>
    </row>
    <row r="77" spans="1:9" x14ac:dyDescent="0.25">
      <c r="A77" s="50" t="s">
        <v>177</v>
      </c>
      <c r="B77">
        <f t="shared" si="2"/>
        <v>62.229700000000001</v>
      </c>
      <c r="C77">
        <v>0.5</v>
      </c>
      <c r="D77">
        <v>1.2</v>
      </c>
      <c r="E77">
        <v>0.94</v>
      </c>
      <c r="F77">
        <f t="shared" si="3"/>
        <v>35.0975508</v>
      </c>
      <c r="I77" s="136">
        <v>4.7869000000000002</v>
      </c>
    </row>
    <row r="78" spans="1:9" x14ac:dyDescent="0.25">
      <c r="A78" s="50" t="s">
        <v>178</v>
      </c>
      <c r="B78">
        <f t="shared" si="2"/>
        <v>31.955300000000001</v>
      </c>
      <c r="C78">
        <v>0.5</v>
      </c>
      <c r="D78">
        <v>1.2</v>
      </c>
      <c r="E78">
        <v>0.94</v>
      </c>
      <c r="F78">
        <f t="shared" si="3"/>
        <v>18.022789199999998</v>
      </c>
      <c r="I78" s="136">
        <v>2.4581</v>
      </c>
    </row>
    <row r="79" spans="1:9" x14ac:dyDescent="0.25">
      <c r="A79" s="50" t="s">
        <v>179</v>
      </c>
      <c r="B79">
        <f t="shared" si="2"/>
        <v>180.35550000000001</v>
      </c>
      <c r="C79">
        <v>0.75</v>
      </c>
      <c r="D79">
        <v>1.2</v>
      </c>
      <c r="E79">
        <v>0.94</v>
      </c>
      <c r="F79">
        <f t="shared" si="3"/>
        <v>152.58075299999999</v>
      </c>
      <c r="I79" s="136">
        <v>13.8735</v>
      </c>
    </row>
    <row r="80" spans="1:9" x14ac:dyDescent="0.25">
      <c r="A80" s="50" t="s">
        <v>180</v>
      </c>
      <c r="B80">
        <f t="shared" si="2"/>
        <v>180.60639999999998</v>
      </c>
      <c r="C80">
        <v>0.75</v>
      </c>
      <c r="D80">
        <v>1.2</v>
      </c>
      <c r="E80">
        <v>0.94</v>
      </c>
      <c r="F80">
        <f t="shared" si="3"/>
        <v>152.79301439999998</v>
      </c>
      <c r="I80" s="136">
        <v>13.892799999999999</v>
      </c>
    </row>
    <row r="81" spans="1:9" x14ac:dyDescent="0.25">
      <c r="A81" s="50" t="s">
        <v>181</v>
      </c>
      <c r="B81">
        <f t="shared" si="2"/>
        <v>178.1858</v>
      </c>
      <c r="C81">
        <v>0.75</v>
      </c>
      <c r="D81">
        <v>1.2</v>
      </c>
      <c r="E81">
        <v>0.94</v>
      </c>
      <c r="F81">
        <f t="shared" si="3"/>
        <v>150.7451868</v>
      </c>
      <c r="I81" s="136">
        <v>13.7066</v>
      </c>
    </row>
    <row r="82" spans="1:9" x14ac:dyDescent="0.25">
      <c r="A82" s="50" t="s">
        <v>182</v>
      </c>
      <c r="B82">
        <f t="shared" si="2"/>
        <v>143.67859999999999</v>
      </c>
      <c r="C82">
        <v>0.5</v>
      </c>
      <c r="D82">
        <v>1.2</v>
      </c>
      <c r="E82">
        <v>0.94</v>
      </c>
      <c r="F82">
        <f t="shared" si="3"/>
        <v>81.034730399999987</v>
      </c>
      <c r="I82" s="136">
        <v>11.052199999999999</v>
      </c>
    </row>
    <row r="83" spans="1:9" x14ac:dyDescent="0.25">
      <c r="A83" s="50" t="s">
        <v>183</v>
      </c>
      <c r="B83">
        <f t="shared" si="2"/>
        <v>177.8569</v>
      </c>
      <c r="C83">
        <v>0.75</v>
      </c>
      <c r="D83">
        <v>1.2</v>
      </c>
      <c r="E83">
        <v>0.94</v>
      </c>
      <c r="F83">
        <f t="shared" si="3"/>
        <v>150.46693739999998</v>
      </c>
      <c r="I83" s="136">
        <v>13.6813</v>
      </c>
    </row>
    <row r="84" spans="1:9" x14ac:dyDescent="0.25">
      <c r="A84" s="50" t="s">
        <v>143</v>
      </c>
      <c r="B84">
        <f t="shared" si="2"/>
        <v>243.5147</v>
      </c>
      <c r="C84">
        <v>0.5</v>
      </c>
      <c r="D84">
        <v>1.2</v>
      </c>
      <c r="E84">
        <v>0.94</v>
      </c>
      <c r="F84">
        <f t="shared" si="3"/>
        <v>137.3422908</v>
      </c>
      <c r="I84" s="136">
        <v>18.7319</v>
      </c>
    </row>
    <row r="85" spans="1:9" x14ac:dyDescent="0.25">
      <c r="A85" s="50" t="s">
        <v>184</v>
      </c>
      <c r="B85">
        <f t="shared" si="2"/>
        <v>329.83600000000001</v>
      </c>
      <c r="C85">
        <v>0.75</v>
      </c>
      <c r="D85">
        <v>1.2</v>
      </c>
      <c r="E85">
        <v>0.94</v>
      </c>
      <c r="F85">
        <f t="shared" si="3"/>
        <v>279.04125599999998</v>
      </c>
      <c r="I85" s="136">
        <v>25.372</v>
      </c>
    </row>
    <row r="86" spans="1:9" x14ac:dyDescent="0.25">
      <c r="A86" s="50" t="s">
        <v>186</v>
      </c>
      <c r="B86">
        <f t="shared" si="2"/>
        <v>331.24</v>
      </c>
      <c r="C86">
        <v>0.75</v>
      </c>
      <c r="D86">
        <v>1.2</v>
      </c>
      <c r="E86">
        <v>0.94</v>
      </c>
      <c r="F86">
        <f t="shared" si="3"/>
        <v>280.22904</v>
      </c>
      <c r="I86" s="136">
        <v>25.48</v>
      </c>
    </row>
    <row r="87" spans="1:9" x14ac:dyDescent="0.25">
      <c r="A87" s="50" t="s">
        <v>187</v>
      </c>
      <c r="B87">
        <f t="shared" si="2"/>
        <v>178.76560000000001</v>
      </c>
      <c r="C87">
        <v>0.75</v>
      </c>
      <c r="D87">
        <v>1.2</v>
      </c>
      <c r="E87">
        <v>0.94</v>
      </c>
      <c r="F87">
        <f t="shared" si="3"/>
        <v>151.23569760000001</v>
      </c>
      <c r="I87" s="136">
        <v>13.751200000000001</v>
      </c>
    </row>
    <row r="88" spans="1:9" x14ac:dyDescent="0.25">
      <c r="A88" s="50" t="s">
        <v>142</v>
      </c>
      <c r="B88">
        <f t="shared" si="2"/>
        <v>499.8981</v>
      </c>
      <c r="C88">
        <v>0.5</v>
      </c>
      <c r="D88">
        <v>1.2</v>
      </c>
      <c r="E88">
        <v>0.94</v>
      </c>
      <c r="F88">
        <f t="shared" si="3"/>
        <v>281.94252839999996</v>
      </c>
      <c r="I88" s="136">
        <v>38.453699999999998</v>
      </c>
    </row>
    <row r="89" spans="1:9" x14ac:dyDescent="0.25">
      <c r="A89" s="50" t="s">
        <v>188</v>
      </c>
      <c r="B89">
        <f t="shared" si="2"/>
        <v>329.83600000000001</v>
      </c>
      <c r="C89">
        <v>0.75</v>
      </c>
      <c r="D89">
        <v>1.2</v>
      </c>
      <c r="E89">
        <v>0.94</v>
      </c>
      <c r="F89">
        <f t="shared" si="3"/>
        <v>279.04125599999998</v>
      </c>
      <c r="I89" s="136">
        <v>25.372</v>
      </c>
    </row>
    <row r="90" spans="1:9" x14ac:dyDescent="0.25">
      <c r="A90" s="50" t="s">
        <v>189</v>
      </c>
      <c r="B90">
        <f t="shared" si="2"/>
        <v>331.24</v>
      </c>
      <c r="C90">
        <v>0.75</v>
      </c>
      <c r="D90">
        <v>1.2</v>
      </c>
      <c r="E90">
        <v>0.94</v>
      </c>
      <c r="F90">
        <f t="shared" si="3"/>
        <v>280.22904</v>
      </c>
      <c r="I90" s="136">
        <v>25.48</v>
      </c>
    </row>
    <row r="91" spans="1:9" x14ac:dyDescent="0.25">
      <c r="A91" s="50" t="s">
        <v>190</v>
      </c>
      <c r="B91">
        <f t="shared" si="2"/>
        <v>178.76560000000001</v>
      </c>
      <c r="C91">
        <v>0.75</v>
      </c>
      <c r="D91">
        <v>1.2</v>
      </c>
      <c r="E91">
        <v>0.94</v>
      </c>
      <c r="F91">
        <f t="shared" si="3"/>
        <v>151.23569760000001</v>
      </c>
      <c r="I91" s="136">
        <v>13.751200000000001</v>
      </c>
    </row>
    <row r="92" spans="1:9" x14ac:dyDescent="0.25">
      <c r="A92" s="50" t="s">
        <v>191</v>
      </c>
      <c r="B92">
        <f t="shared" si="2"/>
        <v>178.76560000000001</v>
      </c>
      <c r="C92">
        <v>0.75</v>
      </c>
      <c r="D92">
        <v>1.2</v>
      </c>
      <c r="E92">
        <v>0.94</v>
      </c>
      <c r="F92">
        <f t="shared" si="3"/>
        <v>151.23569760000001</v>
      </c>
      <c r="I92" s="136">
        <v>13.751200000000001</v>
      </c>
    </row>
    <row r="93" spans="1:9" x14ac:dyDescent="0.25">
      <c r="A93" s="50" t="s">
        <v>141</v>
      </c>
      <c r="B93">
        <f t="shared" si="2"/>
        <v>277.70080000000002</v>
      </c>
      <c r="C93">
        <v>0.5</v>
      </c>
      <c r="D93">
        <v>1.2</v>
      </c>
      <c r="E93">
        <v>0.94</v>
      </c>
      <c r="F93">
        <f t="shared" si="3"/>
        <v>156.6232512</v>
      </c>
      <c r="I93" s="136">
        <v>21.361599999999999</v>
      </c>
    </row>
    <row r="94" spans="1:9" x14ac:dyDescent="0.25">
      <c r="A94" s="50" t="s">
        <v>128</v>
      </c>
      <c r="B94">
        <f t="shared" si="2"/>
        <v>408.70440000000002</v>
      </c>
      <c r="C94">
        <v>0.5</v>
      </c>
      <c r="D94">
        <v>1.2</v>
      </c>
      <c r="E94">
        <v>0.94</v>
      </c>
      <c r="F94">
        <f t="shared" si="3"/>
        <v>230.50928160000001</v>
      </c>
      <c r="I94" s="136">
        <v>31.438800000000001</v>
      </c>
    </row>
    <row r="95" spans="1:9" x14ac:dyDescent="0.25">
      <c r="A95" s="50" t="s">
        <v>140</v>
      </c>
      <c r="B95">
        <f t="shared" si="2"/>
        <v>454.82059999999996</v>
      </c>
      <c r="C95">
        <v>0.75</v>
      </c>
      <c r="D95">
        <v>1.2</v>
      </c>
      <c r="E95">
        <v>0.94</v>
      </c>
      <c r="F95">
        <f t="shared" si="3"/>
        <v>384.77822759999987</v>
      </c>
      <c r="I95" s="136">
        <v>34.986199999999997</v>
      </c>
    </row>
    <row r="96" spans="1:9" x14ac:dyDescent="0.25">
      <c r="A96" s="50" t="s">
        <v>192</v>
      </c>
      <c r="B96">
        <f t="shared" si="2"/>
        <v>70.344300000000004</v>
      </c>
      <c r="C96">
        <v>0.75</v>
      </c>
      <c r="D96">
        <v>1.2</v>
      </c>
      <c r="E96">
        <v>0.94</v>
      </c>
      <c r="F96">
        <f t="shared" si="3"/>
        <v>59.511277800000002</v>
      </c>
      <c r="I96" s="136">
        <v>5.4111000000000002</v>
      </c>
    </row>
    <row r="97" spans="1:9" x14ac:dyDescent="0.25">
      <c r="A97" s="50" t="s">
        <v>193</v>
      </c>
      <c r="B97">
        <f t="shared" si="2"/>
        <v>334.73180000000002</v>
      </c>
      <c r="C97">
        <v>0.75</v>
      </c>
      <c r="D97">
        <v>1.2</v>
      </c>
      <c r="E97">
        <v>0.94</v>
      </c>
      <c r="F97">
        <f t="shared" si="3"/>
        <v>283.18310279999997</v>
      </c>
      <c r="I97" s="136">
        <v>25.7486</v>
      </c>
    </row>
    <row r="98" spans="1:9" x14ac:dyDescent="0.25">
      <c r="A98" s="50" t="s">
        <v>194</v>
      </c>
      <c r="B98">
        <f t="shared" si="2"/>
        <v>218.39219999999997</v>
      </c>
      <c r="C98">
        <v>0.75</v>
      </c>
      <c r="D98">
        <v>1.2</v>
      </c>
      <c r="E98">
        <v>0.94</v>
      </c>
      <c r="F98">
        <f t="shared" si="3"/>
        <v>184.75980119999994</v>
      </c>
      <c r="I98" s="136">
        <v>16.799399999999999</v>
      </c>
    </row>
    <row r="99" spans="1:9" x14ac:dyDescent="0.25">
      <c r="A99" s="50" t="s">
        <v>195</v>
      </c>
      <c r="B99">
        <f t="shared" si="2"/>
        <v>218.39870000000002</v>
      </c>
      <c r="C99">
        <v>0.75</v>
      </c>
      <c r="D99">
        <v>1.2</v>
      </c>
      <c r="E99">
        <v>0.94</v>
      </c>
      <c r="F99">
        <f t="shared" si="3"/>
        <v>184.76530020000001</v>
      </c>
      <c r="I99" s="136">
        <v>16.799900000000001</v>
      </c>
    </row>
    <row r="100" spans="1:9" x14ac:dyDescent="0.25">
      <c r="A100" s="50" t="s">
        <v>196</v>
      </c>
      <c r="B100">
        <f t="shared" si="2"/>
        <v>132.93539999999999</v>
      </c>
      <c r="C100">
        <v>0.5</v>
      </c>
      <c r="D100">
        <v>1.2</v>
      </c>
      <c r="E100">
        <v>0.94</v>
      </c>
      <c r="F100">
        <f t="shared" si="3"/>
        <v>74.975565599999982</v>
      </c>
      <c r="I100" s="136">
        <v>10.2258</v>
      </c>
    </row>
    <row r="101" spans="1:9" x14ac:dyDescent="0.25">
      <c r="A101" s="50" t="s">
        <v>197</v>
      </c>
      <c r="B101">
        <f t="shared" si="2"/>
        <v>247.00909999999999</v>
      </c>
      <c r="C101">
        <v>0.5</v>
      </c>
      <c r="D101">
        <v>1.2</v>
      </c>
      <c r="E101">
        <v>0.94</v>
      </c>
      <c r="F101">
        <f t="shared" si="3"/>
        <v>139.31313239999997</v>
      </c>
      <c r="I101" s="136">
        <v>19.000699999999998</v>
      </c>
    </row>
    <row r="102" spans="1:9" x14ac:dyDescent="0.25">
      <c r="A102" s="50" t="s">
        <v>198</v>
      </c>
      <c r="B102">
        <f t="shared" si="2"/>
        <v>194.83750000000001</v>
      </c>
      <c r="C102">
        <v>0.5</v>
      </c>
      <c r="D102">
        <v>1.2</v>
      </c>
      <c r="E102">
        <v>0.94</v>
      </c>
      <c r="F102">
        <f t="shared" si="3"/>
        <v>109.88835</v>
      </c>
      <c r="I102" s="136">
        <v>14.987500000000001</v>
      </c>
    </row>
    <row r="103" spans="1:9" x14ac:dyDescent="0.25">
      <c r="A103" s="50" t="s">
        <v>199</v>
      </c>
      <c r="B103">
        <f t="shared" si="2"/>
        <v>280.80779999999999</v>
      </c>
      <c r="C103">
        <v>0.75</v>
      </c>
      <c r="D103">
        <v>1.2</v>
      </c>
      <c r="E103">
        <v>0.94</v>
      </c>
      <c r="F103">
        <f t="shared" si="3"/>
        <v>237.56339879999993</v>
      </c>
      <c r="I103" s="136">
        <v>21.6006</v>
      </c>
    </row>
    <row r="104" spans="1:9" x14ac:dyDescent="0.25">
      <c r="A104" s="50" t="s">
        <v>200</v>
      </c>
      <c r="B104">
        <f t="shared" si="2"/>
        <v>306.8039</v>
      </c>
      <c r="C104">
        <v>0.75</v>
      </c>
      <c r="D104">
        <v>1.2</v>
      </c>
      <c r="E104">
        <v>0.94</v>
      </c>
      <c r="F104">
        <f t="shared" si="3"/>
        <v>259.55609939999999</v>
      </c>
      <c r="I104" s="136">
        <v>23.600300000000001</v>
      </c>
    </row>
    <row r="105" spans="1:9" x14ac:dyDescent="0.25">
      <c r="A105" s="50" t="s">
        <v>201</v>
      </c>
      <c r="B105">
        <f t="shared" si="2"/>
        <v>455.55249999999995</v>
      </c>
      <c r="C105">
        <v>0.5</v>
      </c>
      <c r="D105">
        <v>1.2</v>
      </c>
      <c r="E105">
        <v>0.94</v>
      </c>
      <c r="F105">
        <f t="shared" si="3"/>
        <v>256.93160999999992</v>
      </c>
      <c r="I105" s="136">
        <v>35.042499999999997</v>
      </c>
    </row>
    <row r="106" spans="1:9" x14ac:dyDescent="0.25">
      <c r="A106" s="50" t="s">
        <v>202</v>
      </c>
      <c r="B106">
        <f t="shared" si="2"/>
        <v>73.985600000000005</v>
      </c>
      <c r="C106">
        <v>0.75</v>
      </c>
      <c r="D106">
        <v>1.2</v>
      </c>
      <c r="E106">
        <v>0.94</v>
      </c>
      <c r="F106">
        <f t="shared" si="3"/>
        <v>62.591817599999999</v>
      </c>
      <c r="I106" s="136">
        <v>5.6912000000000003</v>
      </c>
    </row>
    <row r="107" spans="1:9" x14ac:dyDescent="0.25">
      <c r="A107" s="50" t="s">
        <v>203</v>
      </c>
      <c r="B107">
        <f t="shared" si="2"/>
        <v>53.739399999999996</v>
      </c>
      <c r="C107">
        <v>0.5</v>
      </c>
      <c r="D107">
        <v>1.2</v>
      </c>
      <c r="E107">
        <v>0.94</v>
      </c>
      <c r="F107">
        <f t="shared" si="3"/>
        <v>30.309021599999998</v>
      </c>
      <c r="I107" s="136">
        <v>4.1337999999999999</v>
      </c>
    </row>
    <row r="108" spans="1:9" x14ac:dyDescent="0.25">
      <c r="A108" s="50" t="s">
        <v>204</v>
      </c>
      <c r="B108">
        <f t="shared" si="2"/>
        <v>167.83</v>
      </c>
      <c r="C108">
        <v>0.5</v>
      </c>
      <c r="D108">
        <v>1.2</v>
      </c>
      <c r="E108">
        <v>0.94</v>
      </c>
      <c r="F108">
        <f t="shared" si="3"/>
        <v>94.656120000000001</v>
      </c>
      <c r="I108" s="136">
        <v>12.91</v>
      </c>
    </row>
    <row r="109" spans="1:9" x14ac:dyDescent="0.25">
      <c r="A109" s="137" t="s">
        <v>176</v>
      </c>
      <c r="B109">
        <f t="shared" si="2"/>
        <v>0</v>
      </c>
      <c r="C109">
        <v>0.75</v>
      </c>
      <c r="D109">
        <v>1.2</v>
      </c>
      <c r="E109">
        <v>0.94</v>
      </c>
      <c r="F109">
        <f t="shared" si="3"/>
        <v>0</v>
      </c>
      <c r="I109" s="136"/>
    </row>
    <row r="110" spans="1:9" x14ac:dyDescent="0.25">
      <c r="A110" s="50" t="s">
        <v>519</v>
      </c>
      <c r="B110">
        <f t="shared" si="2"/>
        <v>97.219200000000001</v>
      </c>
      <c r="C110">
        <v>0.75</v>
      </c>
      <c r="D110">
        <v>1.2</v>
      </c>
      <c r="E110">
        <v>0.94</v>
      </c>
      <c r="F110">
        <f t="shared" si="3"/>
        <v>82.247443199999992</v>
      </c>
      <c r="I110" s="136">
        <v>7.4783999999999997</v>
      </c>
    </row>
    <row r="111" spans="1:9" x14ac:dyDescent="0.25">
      <c r="A111" s="50" t="s">
        <v>520</v>
      </c>
      <c r="B111">
        <f t="shared" si="2"/>
        <v>227.76910000000001</v>
      </c>
      <c r="C111">
        <v>0.75</v>
      </c>
      <c r="D111">
        <v>1.2</v>
      </c>
      <c r="E111">
        <v>0.94</v>
      </c>
      <c r="F111">
        <f t="shared" si="3"/>
        <v>192.69265860000002</v>
      </c>
      <c r="I111" s="136">
        <v>17.520700000000001</v>
      </c>
    </row>
    <row r="112" spans="1:9" x14ac:dyDescent="0.25">
      <c r="A112" s="50" t="s">
        <v>133</v>
      </c>
      <c r="B112">
        <f t="shared" si="2"/>
        <v>36.4</v>
      </c>
      <c r="C112">
        <v>0.5</v>
      </c>
      <c r="D112">
        <v>1.2</v>
      </c>
      <c r="E112">
        <v>0.94</v>
      </c>
      <c r="F112">
        <f t="shared" si="3"/>
        <v>20.529599999999999</v>
      </c>
      <c r="I112" s="136">
        <v>2.8</v>
      </c>
    </row>
    <row r="113" spans="1:9" x14ac:dyDescent="0.25">
      <c r="A113" s="50" t="s">
        <v>134</v>
      </c>
      <c r="B113">
        <f t="shared" si="2"/>
        <v>36.4</v>
      </c>
      <c r="C113">
        <v>0.5</v>
      </c>
      <c r="D113">
        <v>1.2</v>
      </c>
      <c r="E113">
        <v>0.94</v>
      </c>
      <c r="F113">
        <f t="shared" si="3"/>
        <v>20.529599999999999</v>
      </c>
      <c r="I113" s="136">
        <v>2.8</v>
      </c>
    </row>
    <row r="114" spans="1:9" x14ac:dyDescent="0.25">
      <c r="A114" s="50" t="s">
        <v>135</v>
      </c>
      <c r="B114">
        <f t="shared" si="2"/>
        <v>36.4</v>
      </c>
      <c r="C114">
        <v>0.5</v>
      </c>
      <c r="D114">
        <v>1.2</v>
      </c>
      <c r="E114">
        <v>0.94</v>
      </c>
      <c r="F114">
        <f t="shared" si="3"/>
        <v>20.529599999999999</v>
      </c>
      <c r="I114" s="136">
        <v>2.8</v>
      </c>
    </row>
    <row r="115" spans="1:9" x14ac:dyDescent="0.25">
      <c r="A115" s="137" t="s">
        <v>132</v>
      </c>
      <c r="B115">
        <f t="shared" si="2"/>
        <v>0</v>
      </c>
      <c r="C115">
        <v>0.75</v>
      </c>
      <c r="D115">
        <v>1.2</v>
      </c>
      <c r="E115">
        <v>0.94</v>
      </c>
      <c r="F115">
        <f t="shared" si="3"/>
        <v>0</v>
      </c>
      <c r="I115" s="136"/>
    </row>
    <row r="116" spans="1:9" x14ac:dyDescent="0.25">
      <c r="A116" s="50" t="s">
        <v>130</v>
      </c>
      <c r="B116">
        <f t="shared" si="2"/>
        <v>610.66460000000006</v>
      </c>
      <c r="C116">
        <v>0.75</v>
      </c>
      <c r="D116">
        <v>1.2</v>
      </c>
      <c r="E116">
        <v>0.94</v>
      </c>
      <c r="F116">
        <f t="shared" si="3"/>
        <v>516.62225160000003</v>
      </c>
      <c r="I116" s="138">
        <v>46.974200000000003</v>
      </c>
    </row>
    <row r="117" spans="1:9" x14ac:dyDescent="0.25">
      <c r="A117" s="105" t="s">
        <v>65</v>
      </c>
      <c r="B117">
        <f t="shared" si="2"/>
        <v>0</v>
      </c>
      <c r="C117">
        <v>0.75</v>
      </c>
      <c r="D117">
        <v>1.2</v>
      </c>
      <c r="E117">
        <v>0.94</v>
      </c>
      <c r="F117">
        <f>B117*C117*D117*E117</f>
        <v>0</v>
      </c>
    </row>
    <row r="121" spans="1:9" x14ac:dyDescent="0.25">
      <c r="A121" s="5" t="s">
        <v>20</v>
      </c>
      <c r="B121" s="5" t="s">
        <v>49</v>
      </c>
      <c r="C121" s="5" t="s">
        <v>516</v>
      </c>
      <c r="D121" s="5" t="s">
        <v>517</v>
      </c>
      <c r="E121" s="5" t="s">
        <v>342</v>
      </c>
      <c r="F121" s="5" t="s">
        <v>24</v>
      </c>
      <c r="I121" s="5" t="s">
        <v>54</v>
      </c>
    </row>
    <row r="122" spans="1:9" x14ac:dyDescent="0.25">
      <c r="A122" s="91" t="s">
        <v>124</v>
      </c>
      <c r="B122">
        <f>13*I122</f>
        <v>445.59969999999998</v>
      </c>
      <c r="C122">
        <v>0.75</v>
      </c>
      <c r="D122">
        <v>1.2</v>
      </c>
      <c r="E122">
        <v>0.94</v>
      </c>
      <c r="F122">
        <f>B122*C122*D122*E122</f>
        <v>376.97734619999994</v>
      </c>
      <c r="I122" s="104">
        <v>34.276899999999998</v>
      </c>
    </row>
    <row r="123" spans="1:9" x14ac:dyDescent="0.25">
      <c r="A123" s="139" t="s">
        <v>170</v>
      </c>
      <c r="B123">
        <f t="shared" ref="B123:B164" si="4">13*I123</f>
        <v>445.38</v>
      </c>
      <c r="C123">
        <v>0.75</v>
      </c>
      <c r="D123">
        <v>1.2</v>
      </c>
      <c r="E123">
        <v>0.94</v>
      </c>
      <c r="F123">
        <f t="shared" ref="F123:F165" si="5">B123*C123*D123*E123</f>
        <v>376.79147999999992</v>
      </c>
      <c r="I123" s="104">
        <v>34.26</v>
      </c>
    </row>
    <row r="124" spans="1:9" x14ac:dyDescent="0.25">
      <c r="A124" s="139" t="s">
        <v>305</v>
      </c>
      <c r="B124">
        <f t="shared" si="4"/>
        <v>486.31310000000002</v>
      </c>
      <c r="C124">
        <v>0.5</v>
      </c>
      <c r="D124">
        <v>1.2</v>
      </c>
      <c r="E124">
        <v>0.94</v>
      </c>
      <c r="F124">
        <f t="shared" si="5"/>
        <v>274.2805884</v>
      </c>
      <c r="I124" s="104">
        <v>37.408700000000003</v>
      </c>
    </row>
    <row r="125" spans="1:9" x14ac:dyDescent="0.25">
      <c r="A125" s="139" t="s">
        <v>306</v>
      </c>
      <c r="B125">
        <f t="shared" si="4"/>
        <v>486.31310000000002</v>
      </c>
      <c r="C125">
        <v>0.5</v>
      </c>
      <c r="D125">
        <v>1.2</v>
      </c>
      <c r="E125">
        <v>0.94</v>
      </c>
      <c r="F125">
        <f t="shared" si="5"/>
        <v>274.2805884</v>
      </c>
      <c r="I125" s="104">
        <v>37.408700000000003</v>
      </c>
    </row>
    <row r="126" spans="1:9" x14ac:dyDescent="0.25">
      <c r="A126" s="139" t="s">
        <v>125</v>
      </c>
      <c r="B126">
        <f t="shared" si="4"/>
        <v>445.38</v>
      </c>
      <c r="C126">
        <v>0.75</v>
      </c>
      <c r="D126">
        <v>1.2</v>
      </c>
      <c r="E126">
        <v>0.94</v>
      </c>
      <c r="F126">
        <f t="shared" si="5"/>
        <v>376.79147999999992</v>
      </c>
      <c r="I126" s="104">
        <v>34.26</v>
      </c>
    </row>
    <row r="127" spans="1:9" x14ac:dyDescent="0.25">
      <c r="A127" s="139" t="s">
        <v>126</v>
      </c>
      <c r="B127">
        <f t="shared" si="4"/>
        <v>445.38</v>
      </c>
      <c r="C127">
        <v>0.75</v>
      </c>
      <c r="D127">
        <v>1.2</v>
      </c>
      <c r="E127">
        <v>0.94</v>
      </c>
      <c r="F127">
        <f t="shared" si="5"/>
        <v>376.79147999999992</v>
      </c>
      <c r="I127" s="104">
        <v>34.26</v>
      </c>
    </row>
    <row r="128" spans="1:9" x14ac:dyDescent="0.25">
      <c r="A128" s="139" t="s">
        <v>171</v>
      </c>
      <c r="B128">
        <f t="shared" si="4"/>
        <v>131.8109</v>
      </c>
      <c r="C128">
        <v>0.75</v>
      </c>
      <c r="D128">
        <v>1.2</v>
      </c>
      <c r="E128">
        <v>0.94</v>
      </c>
      <c r="F128">
        <f t="shared" si="5"/>
        <v>111.51202139999998</v>
      </c>
      <c r="I128" s="104">
        <v>10.1393</v>
      </c>
    </row>
    <row r="129" spans="1:9" x14ac:dyDescent="0.25">
      <c r="A129" s="139" t="s">
        <v>172</v>
      </c>
      <c r="B129">
        <f t="shared" si="4"/>
        <v>180.98859999999999</v>
      </c>
      <c r="C129">
        <v>0.75</v>
      </c>
      <c r="D129">
        <v>1.2</v>
      </c>
      <c r="E129">
        <v>0.94</v>
      </c>
      <c r="F129">
        <f t="shared" si="5"/>
        <v>153.11635559999999</v>
      </c>
      <c r="I129" s="104">
        <v>13.9222</v>
      </c>
    </row>
    <row r="130" spans="1:9" x14ac:dyDescent="0.25">
      <c r="A130" s="139" t="s">
        <v>173</v>
      </c>
      <c r="B130">
        <f t="shared" si="4"/>
        <v>180.35939999999999</v>
      </c>
      <c r="C130">
        <v>0.75</v>
      </c>
      <c r="D130">
        <v>1.2</v>
      </c>
      <c r="E130">
        <v>0.94</v>
      </c>
      <c r="F130">
        <f t="shared" si="5"/>
        <v>152.58405239999996</v>
      </c>
      <c r="I130" s="104">
        <v>13.873799999999999</v>
      </c>
    </row>
    <row r="131" spans="1:9" x14ac:dyDescent="0.25">
      <c r="A131" s="139" t="s">
        <v>174</v>
      </c>
      <c r="B131">
        <f t="shared" si="4"/>
        <v>399.25599999999997</v>
      </c>
      <c r="C131">
        <v>0.5</v>
      </c>
      <c r="D131">
        <v>1.2</v>
      </c>
      <c r="E131">
        <v>0.94</v>
      </c>
      <c r="F131">
        <f t="shared" si="5"/>
        <v>225.18038399999995</v>
      </c>
      <c r="I131" s="104">
        <v>30.712</v>
      </c>
    </row>
    <row r="132" spans="1:9" x14ac:dyDescent="0.25">
      <c r="A132" s="139" t="s">
        <v>175</v>
      </c>
      <c r="B132">
        <f t="shared" si="4"/>
        <v>233.23689999999999</v>
      </c>
      <c r="C132">
        <v>0.5</v>
      </c>
      <c r="D132">
        <v>1.2</v>
      </c>
      <c r="E132">
        <v>0.94</v>
      </c>
      <c r="F132">
        <f t="shared" si="5"/>
        <v>131.5456116</v>
      </c>
      <c r="I132" s="104">
        <v>17.941299999999998</v>
      </c>
    </row>
    <row r="133" spans="1:9" x14ac:dyDescent="0.25">
      <c r="A133" s="139" t="s">
        <v>176</v>
      </c>
      <c r="B133">
        <f t="shared" si="4"/>
        <v>296.77699999999999</v>
      </c>
      <c r="C133">
        <v>0.75</v>
      </c>
      <c r="D133">
        <v>1.2</v>
      </c>
      <c r="E133">
        <v>0.94</v>
      </c>
      <c r="F133">
        <f t="shared" si="5"/>
        <v>251.07334199999997</v>
      </c>
      <c r="I133" s="104">
        <v>22.829000000000001</v>
      </c>
    </row>
    <row r="134" spans="1:9" x14ac:dyDescent="0.25">
      <c r="A134" s="139" t="s">
        <v>177</v>
      </c>
      <c r="B134">
        <f t="shared" si="4"/>
        <v>62.229700000000001</v>
      </c>
      <c r="C134">
        <v>0.5</v>
      </c>
      <c r="D134">
        <v>1.2</v>
      </c>
      <c r="E134">
        <v>0.94</v>
      </c>
      <c r="F134">
        <f t="shared" si="5"/>
        <v>35.0975508</v>
      </c>
      <c r="I134" s="104">
        <v>4.7869000000000002</v>
      </c>
    </row>
    <row r="135" spans="1:9" x14ac:dyDescent="0.25">
      <c r="A135" s="139" t="s">
        <v>178</v>
      </c>
      <c r="B135">
        <f t="shared" si="4"/>
        <v>31.955300000000001</v>
      </c>
      <c r="C135">
        <v>0.5</v>
      </c>
      <c r="D135">
        <v>1.2</v>
      </c>
      <c r="E135">
        <v>0.94</v>
      </c>
      <c r="F135">
        <f t="shared" si="5"/>
        <v>18.022789199999998</v>
      </c>
      <c r="I135" s="104">
        <v>2.4581</v>
      </c>
    </row>
    <row r="136" spans="1:9" x14ac:dyDescent="0.25">
      <c r="A136" s="139" t="s">
        <v>179</v>
      </c>
      <c r="B136">
        <f t="shared" si="4"/>
        <v>180.35550000000001</v>
      </c>
      <c r="C136">
        <v>0.75</v>
      </c>
      <c r="D136">
        <v>1.2</v>
      </c>
      <c r="E136">
        <v>0.94</v>
      </c>
      <c r="F136">
        <f t="shared" si="5"/>
        <v>152.58075299999999</v>
      </c>
      <c r="I136" s="104">
        <v>13.8735</v>
      </c>
    </row>
    <row r="137" spans="1:9" x14ac:dyDescent="0.25">
      <c r="A137" s="139" t="s">
        <v>180</v>
      </c>
      <c r="B137">
        <f t="shared" si="4"/>
        <v>180.60639999999998</v>
      </c>
      <c r="C137">
        <v>0.75</v>
      </c>
      <c r="D137">
        <v>1.2</v>
      </c>
      <c r="E137">
        <v>0.94</v>
      </c>
      <c r="F137">
        <f t="shared" si="5"/>
        <v>152.79301439999998</v>
      </c>
      <c r="I137" s="104">
        <v>13.892799999999999</v>
      </c>
    </row>
    <row r="138" spans="1:9" x14ac:dyDescent="0.25">
      <c r="A138" s="139" t="s">
        <v>181</v>
      </c>
      <c r="B138">
        <f t="shared" si="4"/>
        <v>132.23079999999999</v>
      </c>
      <c r="C138">
        <v>0.75</v>
      </c>
      <c r="D138">
        <v>1.2</v>
      </c>
      <c r="E138">
        <v>0.94</v>
      </c>
      <c r="F138">
        <f t="shared" si="5"/>
        <v>111.86725679999998</v>
      </c>
      <c r="I138" s="104">
        <v>10.1716</v>
      </c>
    </row>
    <row r="139" spans="1:9" x14ac:dyDescent="0.25">
      <c r="A139" s="139" t="s">
        <v>183</v>
      </c>
      <c r="B139">
        <f t="shared" si="4"/>
        <v>206.2047</v>
      </c>
      <c r="C139">
        <v>0.75</v>
      </c>
      <c r="D139">
        <v>1.2</v>
      </c>
      <c r="E139">
        <v>0.94</v>
      </c>
      <c r="F139">
        <f t="shared" si="5"/>
        <v>174.44917619999998</v>
      </c>
      <c r="I139" s="104">
        <v>15.8619</v>
      </c>
    </row>
    <row r="140" spans="1:9" x14ac:dyDescent="0.25">
      <c r="A140" s="139" t="s">
        <v>521</v>
      </c>
      <c r="B140">
        <f t="shared" si="4"/>
        <v>206.2047</v>
      </c>
      <c r="C140">
        <v>0.75</v>
      </c>
      <c r="D140">
        <v>1.2</v>
      </c>
      <c r="E140">
        <v>0.94</v>
      </c>
      <c r="F140">
        <f t="shared" si="5"/>
        <v>174.44917619999998</v>
      </c>
      <c r="I140" s="104">
        <v>15.8619</v>
      </c>
    </row>
    <row r="141" spans="1:9" x14ac:dyDescent="0.25">
      <c r="A141" s="139" t="s">
        <v>184</v>
      </c>
      <c r="B141">
        <f t="shared" si="4"/>
        <v>322.17900000000003</v>
      </c>
      <c r="C141">
        <v>0.75</v>
      </c>
      <c r="D141">
        <v>1.2</v>
      </c>
      <c r="E141">
        <v>0.94</v>
      </c>
      <c r="F141">
        <f t="shared" si="5"/>
        <v>272.56343399999997</v>
      </c>
      <c r="I141" s="104">
        <v>24.783000000000001</v>
      </c>
    </row>
    <row r="142" spans="1:9" x14ac:dyDescent="0.25">
      <c r="A142" s="139" t="s">
        <v>186</v>
      </c>
      <c r="B142">
        <f t="shared" si="4"/>
        <v>323.58169999999996</v>
      </c>
      <c r="C142">
        <v>0.75</v>
      </c>
      <c r="D142">
        <v>1.2</v>
      </c>
      <c r="E142">
        <v>0.94</v>
      </c>
      <c r="F142">
        <f t="shared" si="5"/>
        <v>273.75011819999992</v>
      </c>
      <c r="I142" s="104">
        <v>24.890899999999998</v>
      </c>
    </row>
    <row r="143" spans="1:9" x14ac:dyDescent="0.25">
      <c r="A143" s="139" t="s">
        <v>190</v>
      </c>
      <c r="B143">
        <f t="shared" si="4"/>
        <v>177.8569</v>
      </c>
      <c r="C143">
        <v>0.75</v>
      </c>
      <c r="D143">
        <v>1.2</v>
      </c>
      <c r="E143">
        <v>0.94</v>
      </c>
      <c r="F143">
        <f t="shared" si="5"/>
        <v>150.46693739999998</v>
      </c>
      <c r="I143" s="104">
        <v>13.6813</v>
      </c>
    </row>
    <row r="144" spans="1:9" x14ac:dyDescent="0.25">
      <c r="A144" s="139" t="s">
        <v>191</v>
      </c>
      <c r="B144">
        <f t="shared" si="4"/>
        <v>178.76560000000001</v>
      </c>
      <c r="C144">
        <v>0.75</v>
      </c>
      <c r="D144">
        <v>1.2</v>
      </c>
      <c r="E144">
        <v>0.94</v>
      </c>
      <c r="F144">
        <f t="shared" si="5"/>
        <v>151.23569760000001</v>
      </c>
      <c r="I144" s="104">
        <v>13.751200000000001</v>
      </c>
    </row>
    <row r="145" spans="1:9" x14ac:dyDescent="0.25">
      <c r="A145" s="139" t="s">
        <v>307</v>
      </c>
      <c r="B145">
        <f t="shared" si="4"/>
        <v>208.14559999999997</v>
      </c>
      <c r="C145">
        <v>0.75</v>
      </c>
      <c r="D145">
        <v>1.2</v>
      </c>
      <c r="E145">
        <v>0.94</v>
      </c>
      <c r="F145">
        <f t="shared" si="5"/>
        <v>176.09117759999995</v>
      </c>
      <c r="I145" s="104">
        <v>16.011199999999999</v>
      </c>
    </row>
    <row r="146" spans="1:9" x14ac:dyDescent="0.25">
      <c r="A146" s="139" t="s">
        <v>308</v>
      </c>
      <c r="B146">
        <f t="shared" si="4"/>
        <v>208.14559999999997</v>
      </c>
      <c r="C146">
        <v>0.75</v>
      </c>
      <c r="D146">
        <v>1.2</v>
      </c>
      <c r="E146">
        <v>0.94</v>
      </c>
      <c r="F146">
        <f t="shared" si="5"/>
        <v>176.09117759999995</v>
      </c>
      <c r="I146" s="104">
        <v>16.011199999999999</v>
      </c>
    </row>
    <row r="147" spans="1:9" x14ac:dyDescent="0.25">
      <c r="A147" s="139" t="s">
        <v>309</v>
      </c>
      <c r="B147">
        <f t="shared" si="4"/>
        <v>178.76560000000001</v>
      </c>
      <c r="C147">
        <v>0.75</v>
      </c>
      <c r="D147">
        <v>1.2</v>
      </c>
      <c r="E147">
        <v>0.94</v>
      </c>
      <c r="F147">
        <f t="shared" si="5"/>
        <v>151.23569760000001</v>
      </c>
      <c r="I147" s="104">
        <v>13.751200000000001</v>
      </c>
    </row>
    <row r="148" spans="1:9" x14ac:dyDescent="0.25">
      <c r="A148" s="139" t="s">
        <v>310</v>
      </c>
      <c r="B148">
        <f t="shared" si="4"/>
        <v>178.76560000000001</v>
      </c>
      <c r="C148">
        <v>0.75</v>
      </c>
      <c r="D148">
        <v>1.2</v>
      </c>
      <c r="E148">
        <v>0.94</v>
      </c>
      <c r="F148">
        <f t="shared" si="5"/>
        <v>151.23569760000001</v>
      </c>
      <c r="I148" s="104">
        <v>13.751200000000001</v>
      </c>
    </row>
    <row r="149" spans="1:9" x14ac:dyDescent="0.25">
      <c r="A149" s="139" t="s">
        <v>311</v>
      </c>
      <c r="B149">
        <f t="shared" si="4"/>
        <v>305.27769999999998</v>
      </c>
      <c r="C149">
        <v>0.75</v>
      </c>
      <c r="D149">
        <v>1.2</v>
      </c>
      <c r="E149">
        <v>0.94</v>
      </c>
      <c r="F149">
        <f t="shared" si="5"/>
        <v>258.26493419999991</v>
      </c>
      <c r="I149" s="104">
        <v>23.482900000000001</v>
      </c>
    </row>
    <row r="150" spans="1:9" x14ac:dyDescent="0.25">
      <c r="A150" s="139" t="s">
        <v>312</v>
      </c>
      <c r="B150">
        <f t="shared" si="4"/>
        <v>139.84359999999998</v>
      </c>
      <c r="C150">
        <v>0.75</v>
      </c>
      <c r="D150">
        <v>1.2</v>
      </c>
      <c r="E150">
        <v>0.94</v>
      </c>
      <c r="F150">
        <f t="shared" si="5"/>
        <v>118.30768559999997</v>
      </c>
      <c r="I150" s="104">
        <v>10.757199999999999</v>
      </c>
    </row>
    <row r="151" spans="1:9" x14ac:dyDescent="0.25">
      <c r="A151" s="139" t="s">
        <v>313</v>
      </c>
      <c r="B151">
        <f t="shared" si="4"/>
        <v>147.095</v>
      </c>
      <c r="C151">
        <v>0.75</v>
      </c>
      <c r="D151">
        <v>1.2</v>
      </c>
      <c r="E151">
        <v>0.94</v>
      </c>
      <c r="F151">
        <f t="shared" si="5"/>
        <v>124.44236999999997</v>
      </c>
      <c r="I151" s="104">
        <v>11.315</v>
      </c>
    </row>
    <row r="152" spans="1:9" x14ac:dyDescent="0.25">
      <c r="A152" s="139" t="s">
        <v>314</v>
      </c>
      <c r="B152">
        <f t="shared" si="4"/>
        <v>173.00789999999998</v>
      </c>
      <c r="C152">
        <v>0.5</v>
      </c>
      <c r="D152">
        <v>1.2</v>
      </c>
      <c r="E152">
        <v>0.94</v>
      </c>
      <c r="F152">
        <f t="shared" si="5"/>
        <v>97.576455599999974</v>
      </c>
      <c r="I152" s="104">
        <v>13.308299999999999</v>
      </c>
    </row>
    <row r="153" spans="1:9" x14ac:dyDescent="0.25">
      <c r="A153" s="139" t="s">
        <v>315</v>
      </c>
      <c r="B153">
        <f t="shared" si="4"/>
        <v>144.1336</v>
      </c>
      <c r="C153">
        <v>1</v>
      </c>
      <c r="D153">
        <v>1.2</v>
      </c>
      <c r="E153">
        <v>0.94</v>
      </c>
      <c r="F153">
        <f t="shared" si="5"/>
        <v>162.5827008</v>
      </c>
      <c r="I153" s="104">
        <v>11.087199999999999</v>
      </c>
    </row>
    <row r="154" spans="1:9" x14ac:dyDescent="0.25">
      <c r="A154" s="139" t="s">
        <v>316</v>
      </c>
      <c r="B154">
        <f t="shared" si="4"/>
        <v>107.575</v>
      </c>
      <c r="C154">
        <v>1</v>
      </c>
      <c r="D154">
        <v>1.2</v>
      </c>
      <c r="E154">
        <v>0.94</v>
      </c>
      <c r="F154">
        <f t="shared" si="5"/>
        <v>121.3446</v>
      </c>
      <c r="I154" s="104">
        <v>8.2750000000000004</v>
      </c>
    </row>
    <row r="155" spans="1:9" x14ac:dyDescent="0.25">
      <c r="A155" s="139" t="s">
        <v>317</v>
      </c>
      <c r="B155">
        <f t="shared" si="4"/>
        <v>175.07749999999999</v>
      </c>
      <c r="C155">
        <v>0.5</v>
      </c>
      <c r="D155">
        <v>1.2</v>
      </c>
      <c r="E155">
        <v>0.94</v>
      </c>
      <c r="F155">
        <f t="shared" si="5"/>
        <v>98.743709999999993</v>
      </c>
      <c r="I155" s="104">
        <v>13.467499999999999</v>
      </c>
    </row>
    <row r="156" spans="1:9" x14ac:dyDescent="0.25">
      <c r="A156" s="139" t="s">
        <v>522</v>
      </c>
      <c r="B156">
        <f t="shared" si="4"/>
        <v>2391.2694000000001</v>
      </c>
      <c r="C156">
        <v>0.75</v>
      </c>
      <c r="D156">
        <v>1.2</v>
      </c>
      <c r="E156">
        <v>0.94</v>
      </c>
      <c r="F156">
        <f t="shared" si="5"/>
        <v>2023.0139124</v>
      </c>
      <c r="I156" s="104">
        <v>183.94380000000001</v>
      </c>
    </row>
    <row r="157" spans="1:9" x14ac:dyDescent="0.25">
      <c r="A157" s="139" t="s">
        <v>319</v>
      </c>
      <c r="B157">
        <f t="shared" si="4"/>
        <v>765.18130000000008</v>
      </c>
      <c r="C157">
        <v>1</v>
      </c>
      <c r="D157">
        <v>1.2</v>
      </c>
      <c r="E157">
        <v>0.94</v>
      </c>
      <c r="F157">
        <f t="shared" si="5"/>
        <v>863.12450639999997</v>
      </c>
      <c r="I157" s="104">
        <v>58.860100000000003</v>
      </c>
    </row>
    <row r="158" spans="1:9" x14ac:dyDescent="0.25">
      <c r="A158" s="139" t="s">
        <v>59</v>
      </c>
      <c r="B158">
        <f t="shared" si="4"/>
        <v>226.7876</v>
      </c>
      <c r="C158">
        <v>0.75</v>
      </c>
      <c r="D158">
        <v>1.2</v>
      </c>
      <c r="E158">
        <v>0.94</v>
      </c>
      <c r="F158">
        <f t="shared" si="5"/>
        <v>191.86230959999997</v>
      </c>
      <c r="I158" s="104">
        <v>17.4452</v>
      </c>
    </row>
    <row r="159" spans="1:9" x14ac:dyDescent="0.25">
      <c r="A159" s="139" t="s">
        <v>58</v>
      </c>
      <c r="B159">
        <f t="shared" si="4"/>
        <v>227.24779999999998</v>
      </c>
      <c r="C159">
        <v>0.75</v>
      </c>
      <c r="D159">
        <v>1.2</v>
      </c>
      <c r="E159">
        <v>0.94</v>
      </c>
      <c r="F159">
        <f t="shared" si="5"/>
        <v>192.25163879999997</v>
      </c>
      <c r="I159" s="104">
        <v>17.480599999999999</v>
      </c>
    </row>
    <row r="160" spans="1:9" x14ac:dyDescent="0.25">
      <c r="A160" s="139" t="s">
        <v>311</v>
      </c>
      <c r="B160">
        <f t="shared" si="4"/>
        <v>566.68820000000005</v>
      </c>
      <c r="C160">
        <v>0.5</v>
      </c>
      <c r="D160">
        <v>1.2</v>
      </c>
      <c r="E160">
        <v>0.94</v>
      </c>
      <c r="F160">
        <f t="shared" si="5"/>
        <v>319.61214480000001</v>
      </c>
      <c r="I160" s="104">
        <v>43.5914</v>
      </c>
    </row>
    <row r="161" spans="1:9" x14ac:dyDescent="0.25">
      <c r="A161" s="139" t="s">
        <v>73</v>
      </c>
      <c r="B161">
        <f t="shared" si="4"/>
        <v>141.70780000000002</v>
      </c>
      <c r="C161">
        <v>0.75</v>
      </c>
      <c r="D161">
        <v>1.2</v>
      </c>
      <c r="E161">
        <v>0.94</v>
      </c>
      <c r="F161">
        <f t="shared" si="5"/>
        <v>119.8847988</v>
      </c>
      <c r="I161" s="104">
        <v>10.900600000000001</v>
      </c>
    </row>
    <row r="162" spans="1:9" x14ac:dyDescent="0.25">
      <c r="A162" s="139" t="s">
        <v>76</v>
      </c>
      <c r="B162">
        <f t="shared" si="4"/>
        <v>140.18029999999999</v>
      </c>
      <c r="C162">
        <v>0.75</v>
      </c>
      <c r="D162">
        <v>1.2</v>
      </c>
      <c r="E162">
        <v>0.94</v>
      </c>
      <c r="F162">
        <f t="shared" si="5"/>
        <v>118.59253379999997</v>
      </c>
      <c r="I162" s="104">
        <v>10.783099999999999</v>
      </c>
    </row>
    <row r="163" spans="1:9" x14ac:dyDescent="0.25">
      <c r="A163" s="139" t="s">
        <v>77</v>
      </c>
      <c r="B163">
        <f t="shared" si="4"/>
        <v>122.4119</v>
      </c>
      <c r="C163">
        <v>0.75</v>
      </c>
      <c r="D163">
        <v>1.2</v>
      </c>
      <c r="E163">
        <v>0.94</v>
      </c>
      <c r="F163">
        <f t="shared" si="5"/>
        <v>103.56046739999999</v>
      </c>
      <c r="I163" s="104">
        <v>9.4162999999999997</v>
      </c>
    </row>
    <row r="164" spans="1:9" ht="15.75" thickBot="1" x14ac:dyDescent="0.3">
      <c r="A164" s="91" t="s">
        <v>320</v>
      </c>
      <c r="B164">
        <f t="shared" si="4"/>
        <v>350.94540000000001</v>
      </c>
      <c r="C164">
        <v>0.75</v>
      </c>
      <c r="D164">
        <v>1.2</v>
      </c>
      <c r="E164">
        <v>0.94</v>
      </c>
      <c r="F164">
        <f t="shared" si="5"/>
        <v>296.89980839999993</v>
      </c>
      <c r="I164" s="24">
        <v>26.995799999999999</v>
      </c>
    </row>
    <row r="165" spans="1:9" ht="15.75" thickBot="1" x14ac:dyDescent="0.3">
      <c r="A165" s="91" t="s">
        <v>523</v>
      </c>
      <c r="B165" s="105"/>
      <c r="C165">
        <v>1</v>
      </c>
      <c r="D165">
        <v>1.2</v>
      </c>
      <c r="E165">
        <v>0.94</v>
      </c>
      <c r="F165">
        <f t="shared" si="5"/>
        <v>0</v>
      </c>
      <c r="I165" s="24">
        <v>26.995799999999999</v>
      </c>
    </row>
  </sheetData>
  <mergeCells count="2">
    <mergeCell ref="A1:F1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EXTERNAL WALL LOAD</vt:lpstr>
      <vt:lpstr>GLASS LOAD</vt:lpstr>
      <vt:lpstr>INFILTRATION LOAD</vt:lpstr>
      <vt:lpstr>MISCELLANEOUS LOAD</vt:lpstr>
      <vt:lpstr>ROOF LOAD</vt:lpstr>
      <vt:lpstr>PARTITION LOAD</vt:lpstr>
      <vt:lpstr>VENTILATION LOAD</vt:lpstr>
      <vt:lpstr>OCCUPANT LOAD</vt:lpstr>
      <vt:lpstr>Sheet3</vt:lpstr>
      <vt:lpstr>Sheet4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Adrian</cp:lastModifiedBy>
  <cp:lastPrinted>2019-11-02T15:48:31Z</cp:lastPrinted>
  <dcterms:created xsi:type="dcterms:W3CDTF">2019-11-02T03:45:14Z</dcterms:created>
  <dcterms:modified xsi:type="dcterms:W3CDTF">2019-11-06T16:22:40Z</dcterms:modified>
</cp:coreProperties>
</file>