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hool\Aircon\Aircon\Excel\"/>
    </mc:Choice>
  </mc:AlternateContent>
  <xr:revisionPtr revIDLastSave="0" documentId="13_ncr:1_{366228DE-3BF0-45AD-963A-7D2B58955AB2}" xr6:coauthVersionLast="45" xr6:coauthVersionMax="45" xr10:uidLastSave="{00000000-0000-0000-0000-000000000000}"/>
  <bookViews>
    <workbookView xWindow="28680" yWindow="-120" windowWidth="29040" windowHeight="15990" firstSheet="3" activeTab="5" xr2:uid="{00000000-000D-0000-FFFF-FFFF00000000}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References" sheetId="4" r:id="rId7"/>
  </sheets>
  <definedNames>
    <definedName name="_xlnm._FilterDatabase" localSheetId="0" hidden="1">'EXTERNAL WALL LOAD'!$A$88:$L$130</definedName>
    <definedName name="_xlnm._FilterDatabase" localSheetId="6" hidden="1">References!$A$4:$B$36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8" i="7" l="1"/>
  <c r="L136" i="7"/>
  <c r="L137" i="7"/>
  <c r="K137" i="7"/>
  <c r="L135" i="7"/>
  <c r="K134" i="7"/>
  <c r="L134" i="7"/>
  <c r="L133" i="7"/>
  <c r="K133" i="7"/>
  <c r="D111" i="7" l="1"/>
  <c r="D75" i="7"/>
  <c r="D27" i="7"/>
  <c r="D29" i="7"/>
  <c r="L127" i="7"/>
  <c r="D127" i="7" s="1"/>
  <c r="L126" i="7"/>
  <c r="D126" i="7" s="1"/>
  <c r="L125" i="7"/>
  <c r="D125" i="7" s="1"/>
  <c r="L124" i="7"/>
  <c r="D124" i="7" s="1"/>
  <c r="L123" i="7"/>
  <c r="D123" i="7" s="1"/>
  <c r="L122" i="7"/>
  <c r="D122" i="7" s="1"/>
  <c r="L121" i="7"/>
  <c r="D121" i="7" s="1"/>
  <c r="L120" i="7"/>
  <c r="D120" i="7" s="1"/>
  <c r="K119" i="7"/>
  <c r="L119" i="7"/>
  <c r="L118" i="7"/>
  <c r="D118" i="7" s="1"/>
  <c r="L117" i="7"/>
  <c r="D117" i="7" s="1"/>
  <c r="L116" i="7"/>
  <c r="D116" i="7" s="1"/>
  <c r="L115" i="7"/>
  <c r="D115" i="7" s="1"/>
  <c r="K114" i="7"/>
  <c r="L114" i="7"/>
  <c r="D114" i="7" s="1"/>
  <c r="L113" i="7"/>
  <c r="D113" i="7" s="1"/>
  <c r="L112" i="7"/>
  <c r="D112" i="7" s="1"/>
  <c r="K111" i="7"/>
  <c r="L111" i="7"/>
  <c r="L110" i="7"/>
  <c r="D110" i="7" s="1"/>
  <c r="L109" i="7"/>
  <c r="D109" i="7" s="1"/>
  <c r="L108" i="7"/>
  <c r="D108" i="7" s="1"/>
  <c r="L107" i="7"/>
  <c r="D107" i="7" s="1"/>
  <c r="L106" i="7"/>
  <c r="D106" i="7" s="1"/>
  <c r="L105" i="7"/>
  <c r="D105" i="7" s="1"/>
  <c r="L104" i="7"/>
  <c r="D104" i="7" s="1"/>
  <c r="L103" i="7"/>
  <c r="D103" i="7" s="1"/>
  <c r="L102" i="7"/>
  <c r="D102" i="7" s="1"/>
  <c r="L101" i="7"/>
  <c r="D101" i="7" s="1"/>
  <c r="L100" i="7"/>
  <c r="D100" i="7" s="1"/>
  <c r="L99" i="7"/>
  <c r="D99" i="7" s="1"/>
  <c r="L98" i="7"/>
  <c r="D98" i="7" s="1"/>
  <c r="L97" i="7"/>
  <c r="D97" i="7" s="1"/>
  <c r="L95" i="7"/>
  <c r="D95" i="7" s="1"/>
  <c r="L94" i="7"/>
  <c r="D94" i="7" s="1"/>
  <c r="L96" i="7"/>
  <c r="D96" i="7" s="1"/>
  <c r="L92" i="7"/>
  <c r="D92" i="7" s="1"/>
  <c r="L93" i="7"/>
  <c r="D93" i="7" s="1"/>
  <c r="L91" i="7"/>
  <c r="D91" i="7" s="1"/>
  <c r="L90" i="7"/>
  <c r="D90" i="7" s="1"/>
  <c r="L89" i="7"/>
  <c r="D89" i="7" s="1"/>
  <c r="L88" i="7"/>
  <c r="D88" i="7" s="1"/>
  <c r="L87" i="7"/>
  <c r="D87" i="7" s="1"/>
  <c r="L86" i="7"/>
  <c r="D86" i="7" s="1"/>
  <c r="L85" i="7"/>
  <c r="D85" i="7" s="1"/>
  <c r="L84" i="7"/>
  <c r="D84" i="7" s="1"/>
  <c r="L83" i="7"/>
  <c r="D83" i="7" s="1"/>
  <c r="L82" i="7"/>
  <c r="D82" i="7" s="1"/>
  <c r="L81" i="7"/>
  <c r="D81" i="7" s="1"/>
  <c r="L80" i="7"/>
  <c r="D80" i="7" s="1"/>
  <c r="L79" i="7"/>
  <c r="D79" i="7" s="1"/>
  <c r="L78" i="7"/>
  <c r="D78" i="7" s="1"/>
  <c r="L77" i="7"/>
  <c r="D77" i="7" s="1"/>
  <c r="L76" i="7"/>
  <c r="D76" i="7" s="1"/>
  <c r="L75" i="7"/>
  <c r="L74" i="7"/>
  <c r="D74" i="7" s="1"/>
  <c r="L73" i="7"/>
  <c r="D73" i="7" s="1"/>
  <c r="L72" i="7"/>
  <c r="D72" i="7" s="1"/>
  <c r="L71" i="7"/>
  <c r="D71" i="7" s="1"/>
  <c r="L70" i="7"/>
  <c r="D70" i="7" s="1"/>
  <c r="L69" i="7"/>
  <c r="D69" i="7" s="1"/>
  <c r="L68" i="7"/>
  <c r="D68" i="7" s="1"/>
  <c r="L67" i="7"/>
  <c r="D67" i="7" s="1"/>
  <c r="L64" i="7"/>
  <c r="D64" i="7" s="1"/>
  <c r="L66" i="7"/>
  <c r="D66" i="7" s="1"/>
  <c r="L65" i="7"/>
  <c r="D65" i="7" s="1"/>
  <c r="L63" i="7"/>
  <c r="D63" i="7" s="1"/>
  <c r="L62" i="7"/>
  <c r="D62" i="7" s="1"/>
  <c r="L61" i="7"/>
  <c r="D61" i="7" s="1"/>
  <c r="L60" i="7"/>
  <c r="D60" i="7" s="1"/>
  <c r="L54" i="7"/>
  <c r="D54" i="7" s="1"/>
  <c r="L59" i="7"/>
  <c r="D59" i="7" s="1"/>
  <c r="L58" i="7"/>
  <c r="D58" i="7" s="1"/>
  <c r="K57" i="7"/>
  <c r="L57" i="7"/>
  <c r="L56" i="7"/>
  <c r="D56" i="7" s="1"/>
  <c r="L55" i="7"/>
  <c r="D55" i="7" s="1"/>
  <c r="L53" i="7"/>
  <c r="D53" i="7" s="1"/>
  <c r="K52" i="7"/>
  <c r="L52" i="7"/>
  <c r="D52" i="7" s="1"/>
  <c r="K51" i="7"/>
  <c r="L51" i="7"/>
  <c r="D51" i="7" s="1"/>
  <c r="K50" i="7"/>
  <c r="L50" i="7"/>
  <c r="L49" i="7"/>
  <c r="D49" i="7" s="1"/>
  <c r="L48" i="7"/>
  <c r="D48" i="7" s="1"/>
  <c r="L47" i="7"/>
  <c r="D47" i="7" s="1"/>
  <c r="K46" i="7"/>
  <c r="L46" i="7"/>
  <c r="K45" i="7"/>
  <c r="L45" i="7"/>
  <c r="K44" i="7"/>
  <c r="L44" i="7"/>
  <c r="L43" i="7"/>
  <c r="D43" i="7" s="1"/>
  <c r="L42" i="7"/>
  <c r="D42" i="7" s="1"/>
  <c r="L41" i="7"/>
  <c r="D41" i="7" s="1"/>
  <c r="L40" i="7"/>
  <c r="D40" i="7" s="1"/>
  <c r="K39" i="7"/>
  <c r="L39" i="7"/>
  <c r="L38" i="7"/>
  <c r="D38" i="7" s="1"/>
  <c r="K37" i="7"/>
  <c r="L37" i="7"/>
  <c r="L36" i="7"/>
  <c r="D36" i="7" s="1"/>
  <c r="K35" i="7"/>
  <c r="L35" i="7"/>
  <c r="L34" i="7"/>
  <c r="D34" i="7" s="1"/>
  <c r="L33" i="7"/>
  <c r="D33" i="7" s="1"/>
  <c r="K32" i="7"/>
  <c r="L32" i="7"/>
  <c r="D32" i="7" s="1"/>
  <c r="J32" i="7"/>
  <c r="K31" i="7"/>
  <c r="L31" i="7"/>
  <c r="D31" i="7" s="1"/>
  <c r="L30" i="7"/>
  <c r="D30" i="7" s="1"/>
  <c r="L28" i="7"/>
  <c r="D28" i="7" s="1"/>
  <c r="K26" i="7"/>
  <c r="L26" i="7"/>
  <c r="D26" i="7" s="1"/>
  <c r="L25" i="7"/>
  <c r="D25" i="7" s="1"/>
  <c r="K23" i="7"/>
  <c r="L24" i="7"/>
  <c r="D24" i="7" s="1"/>
  <c r="K22" i="7"/>
  <c r="L22" i="7"/>
  <c r="D22" i="7" s="1"/>
  <c r="L23" i="7"/>
  <c r="L21" i="7"/>
  <c r="D21" i="7" s="1"/>
  <c r="L20" i="7"/>
  <c r="K20" i="7"/>
  <c r="L19" i="7"/>
  <c r="D19" i="7" s="1"/>
  <c r="L18" i="7"/>
  <c r="L17" i="7"/>
  <c r="D17" i="7" s="1"/>
  <c r="L16" i="7"/>
  <c r="D16" i="7" s="1"/>
  <c r="K18" i="7"/>
  <c r="D18" i="7" s="1"/>
  <c r="K15" i="7"/>
  <c r="K12" i="7"/>
  <c r="K13" i="7"/>
  <c r="K14" i="7"/>
  <c r="K11" i="7"/>
  <c r="K10" i="7"/>
  <c r="K7" i="7"/>
  <c r="K6" i="7"/>
  <c r="K3" i="7"/>
  <c r="L15" i="7"/>
  <c r="L14" i="7"/>
  <c r="L13" i="7"/>
  <c r="L12" i="7"/>
  <c r="D12" i="7" s="1"/>
  <c r="L11" i="7"/>
  <c r="L10" i="7"/>
  <c r="L9" i="7"/>
  <c r="D9" i="7" s="1"/>
  <c r="L8" i="7"/>
  <c r="D8" i="7" s="1"/>
  <c r="L7" i="7"/>
  <c r="L6" i="7"/>
  <c r="L5" i="7"/>
  <c r="D5" i="7" s="1"/>
  <c r="L4" i="7"/>
  <c r="D4" i="7" s="1"/>
  <c r="L3" i="7"/>
  <c r="D3" i="7" s="1"/>
  <c r="D10" i="7" l="1"/>
  <c r="D11" i="7"/>
  <c r="D50" i="7"/>
  <c r="D13" i="7"/>
  <c r="D35" i="7"/>
  <c r="D44" i="7"/>
  <c r="D119" i="7"/>
  <c r="D15" i="7"/>
  <c r="D45" i="7"/>
  <c r="D6" i="7"/>
  <c r="D37" i="7"/>
  <c r="D20" i="7"/>
  <c r="D46" i="7"/>
  <c r="D39" i="7"/>
  <c r="D57" i="7"/>
  <c r="D7" i="7"/>
  <c r="D14" i="7"/>
  <c r="D23" i="7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89" i="5" l="1"/>
  <c r="G89" i="5"/>
  <c r="G90" i="5" s="1"/>
  <c r="G44" i="5"/>
  <c r="H44" i="5"/>
  <c r="H46" i="6"/>
  <c r="G127" i="5"/>
  <c r="G128" i="5" s="1"/>
  <c r="H127" i="5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G233" i="3"/>
  <c r="B233" i="3"/>
  <c r="G232" i="3"/>
  <c r="B232" i="3"/>
  <c r="G231" i="3"/>
  <c r="B231" i="3"/>
  <c r="C231" i="3" s="1"/>
  <c r="G230" i="3"/>
  <c r="B230" i="3"/>
  <c r="G229" i="3"/>
  <c r="B229" i="3"/>
  <c r="G228" i="3"/>
  <c r="B228" i="3"/>
  <c r="G227" i="3"/>
  <c r="B227" i="3"/>
  <c r="G226" i="3"/>
  <c r="B226" i="3"/>
  <c r="G225" i="3"/>
  <c r="B225" i="3"/>
  <c r="G224" i="3"/>
  <c r="B224" i="3"/>
  <c r="G223" i="3"/>
  <c r="B223" i="3"/>
  <c r="G222" i="3"/>
  <c r="B222" i="3"/>
  <c r="G221" i="3"/>
  <c r="B221" i="3"/>
  <c r="G220" i="3"/>
  <c r="B220" i="3"/>
  <c r="C220" i="3" s="1"/>
  <c r="G219" i="3"/>
  <c r="B219" i="3"/>
  <c r="G218" i="3"/>
  <c r="B218" i="3"/>
  <c r="G217" i="3"/>
  <c r="B217" i="3"/>
  <c r="G216" i="3"/>
  <c r="B216" i="3"/>
  <c r="G215" i="3"/>
  <c r="B215" i="3"/>
  <c r="G214" i="3"/>
  <c r="B214" i="3"/>
  <c r="G213" i="3"/>
  <c r="B213" i="3"/>
  <c r="G212" i="3"/>
  <c r="B212" i="3"/>
  <c r="G211" i="3"/>
  <c r="B211" i="3"/>
  <c r="G210" i="3"/>
  <c r="B210" i="3"/>
  <c r="G209" i="3"/>
  <c r="B209" i="3"/>
  <c r="C209" i="3" s="1"/>
  <c r="G208" i="3"/>
  <c r="B208" i="3"/>
  <c r="G207" i="3"/>
  <c r="B207" i="3"/>
  <c r="G206" i="3"/>
  <c r="B206" i="3"/>
  <c r="G205" i="3"/>
  <c r="B205" i="3"/>
  <c r="G204" i="3"/>
  <c r="B204" i="3"/>
  <c r="G203" i="3"/>
  <c r="B203" i="3"/>
  <c r="C203" i="3" s="1"/>
  <c r="G202" i="3"/>
  <c r="B202" i="3"/>
  <c r="C202" i="3" s="1"/>
  <c r="G201" i="3"/>
  <c r="B201" i="3"/>
  <c r="G200" i="3"/>
  <c r="B200" i="3"/>
  <c r="G199" i="3"/>
  <c r="B199" i="3"/>
  <c r="G198" i="3"/>
  <c r="B198" i="3"/>
  <c r="G197" i="3"/>
  <c r="B197" i="3"/>
  <c r="G196" i="3"/>
  <c r="B196" i="3"/>
  <c r="C195" i="3"/>
  <c r="G195" i="3"/>
  <c r="B195" i="3"/>
  <c r="G194" i="3"/>
  <c r="B194" i="3"/>
  <c r="G193" i="3"/>
  <c r="B193" i="3"/>
  <c r="G192" i="3"/>
  <c r="B192" i="3"/>
  <c r="G191" i="3"/>
  <c r="B191" i="3"/>
  <c r="G190" i="3"/>
  <c r="B190" i="3"/>
  <c r="G189" i="3"/>
  <c r="B189" i="3"/>
  <c r="G188" i="3"/>
  <c r="B188" i="3"/>
  <c r="G187" i="3"/>
  <c r="B187" i="3"/>
  <c r="G186" i="3"/>
  <c r="B186" i="3"/>
  <c r="C186" i="3" s="1"/>
  <c r="C185" i="3"/>
  <c r="G185" i="3"/>
  <c r="B185" i="3"/>
  <c r="G184" i="3"/>
  <c r="B184" i="3"/>
  <c r="G183" i="3"/>
  <c r="B183" i="3"/>
  <c r="G182" i="3"/>
  <c r="B182" i="3"/>
  <c r="G181" i="3"/>
  <c r="B181" i="3"/>
  <c r="G180" i="3"/>
  <c r="B180" i="3"/>
  <c r="G179" i="3"/>
  <c r="B179" i="3"/>
  <c r="G178" i="3"/>
  <c r="B178" i="3"/>
  <c r="C178" i="3" s="1"/>
  <c r="G177" i="3"/>
  <c r="B177" i="3"/>
  <c r="G176" i="3"/>
  <c r="B176" i="3"/>
  <c r="G175" i="3"/>
  <c r="B175" i="3"/>
  <c r="G174" i="3"/>
  <c r="B174" i="3"/>
  <c r="G173" i="3"/>
  <c r="B173" i="3"/>
  <c r="C173" i="3" s="1"/>
  <c r="G172" i="3"/>
  <c r="B172" i="3"/>
  <c r="G171" i="3"/>
  <c r="B171" i="3"/>
  <c r="G170" i="3"/>
  <c r="B170" i="3"/>
  <c r="G169" i="3"/>
  <c r="B169" i="3"/>
  <c r="G168" i="3"/>
  <c r="B168" i="3"/>
  <c r="G167" i="3"/>
  <c r="B167" i="3"/>
  <c r="C167" i="3" s="1"/>
  <c r="G166" i="3"/>
  <c r="B166" i="3"/>
  <c r="G165" i="3"/>
  <c r="B165" i="3"/>
  <c r="G164" i="3"/>
  <c r="B164" i="3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C12" i="3" s="1"/>
  <c r="B11" i="3"/>
  <c r="B10" i="3"/>
  <c r="B9" i="3"/>
  <c r="B8" i="3"/>
  <c r="B7" i="3"/>
  <c r="B6" i="3"/>
  <c r="B5" i="3"/>
  <c r="B4" i="3"/>
  <c r="C172" i="3" l="1"/>
  <c r="C233" i="3"/>
  <c r="G45" i="5"/>
  <c r="C169" i="3"/>
  <c r="H169" i="3" s="1"/>
  <c r="C181" i="3"/>
  <c r="C193" i="3"/>
  <c r="I193" i="3" s="1"/>
  <c r="C205" i="3"/>
  <c r="C217" i="3"/>
  <c r="I217" i="3" s="1"/>
  <c r="C229" i="3"/>
  <c r="C4" i="3"/>
  <c r="I4" i="3" s="1"/>
  <c r="C226" i="3"/>
  <c r="C170" i="3"/>
  <c r="H170" i="3" s="1"/>
  <c r="C182" i="3"/>
  <c r="C194" i="3"/>
  <c r="I194" i="3" s="1"/>
  <c r="C206" i="3"/>
  <c r="H206" i="3" s="1"/>
  <c r="C218" i="3"/>
  <c r="I218" i="3" s="1"/>
  <c r="C230" i="3"/>
  <c r="C171" i="3"/>
  <c r="H171" i="3" s="1"/>
  <c r="C183" i="3"/>
  <c r="C207" i="3"/>
  <c r="I207" i="3" s="1"/>
  <c r="C219" i="3"/>
  <c r="C197" i="3"/>
  <c r="I197" i="3" s="1"/>
  <c r="C221" i="3"/>
  <c r="I221" i="3" s="1"/>
  <c r="C175" i="3"/>
  <c r="I175" i="3" s="1"/>
  <c r="C187" i="3"/>
  <c r="C199" i="3"/>
  <c r="H199" i="3" s="1"/>
  <c r="C211" i="3"/>
  <c r="I211" i="3" s="1"/>
  <c r="C223" i="3"/>
  <c r="C188" i="3"/>
  <c r="I188" i="3" s="1"/>
  <c r="C200" i="3"/>
  <c r="H200" i="3" s="1"/>
  <c r="C212" i="3"/>
  <c r="C224" i="3"/>
  <c r="I224" i="3" s="1"/>
  <c r="C165" i="3"/>
  <c r="H165" i="3" s="1"/>
  <c r="C177" i="3"/>
  <c r="C189" i="3"/>
  <c r="H189" i="3" s="1"/>
  <c r="C201" i="3"/>
  <c r="I201" i="3" s="1"/>
  <c r="C213" i="3"/>
  <c r="C225" i="3"/>
  <c r="H225" i="3" s="1"/>
  <c r="C179" i="3"/>
  <c r="I179" i="3" s="1"/>
  <c r="C191" i="3"/>
  <c r="C215" i="3"/>
  <c r="I215" i="3" s="1"/>
  <c r="C227" i="3"/>
  <c r="H227" i="3" s="1"/>
  <c r="C228" i="3"/>
  <c r="C196" i="3"/>
  <c r="H196" i="3" s="1"/>
  <c r="C164" i="3"/>
  <c r="H164" i="3" s="1"/>
  <c r="C192" i="3"/>
  <c r="H192" i="3" s="1"/>
  <c r="C210" i="3"/>
  <c r="H210" i="3" s="1"/>
  <c r="C8" i="3"/>
  <c r="I8" i="3" s="1"/>
  <c r="C44" i="3"/>
  <c r="H44" i="3" s="1"/>
  <c r="C32" i="3"/>
  <c r="H32" i="3" s="1"/>
  <c r="C20" i="3"/>
  <c r="I20" i="3" s="1"/>
  <c r="C26" i="3"/>
  <c r="H26" i="3" s="1"/>
  <c r="C222" i="3"/>
  <c r="I222" i="3" s="1"/>
  <c r="C15" i="3"/>
  <c r="H15" i="3" s="1"/>
  <c r="C180" i="3"/>
  <c r="H180" i="3" s="1"/>
  <c r="C190" i="3"/>
  <c r="H190" i="3" s="1"/>
  <c r="C5" i="3"/>
  <c r="H5" i="3" s="1"/>
  <c r="C17" i="3"/>
  <c r="H17" i="3" s="1"/>
  <c r="C29" i="3"/>
  <c r="I29" i="3" s="1"/>
  <c r="C41" i="3"/>
  <c r="I41" i="3" s="1"/>
  <c r="C53" i="3"/>
  <c r="I53" i="3" s="1"/>
  <c r="C65" i="3"/>
  <c r="I65" i="3" s="1"/>
  <c r="C166" i="3"/>
  <c r="I166" i="3" s="1"/>
  <c r="C176" i="3"/>
  <c r="I176" i="3" s="1"/>
  <c r="C6" i="3"/>
  <c r="I6" i="3" s="1"/>
  <c r="C18" i="3"/>
  <c r="H18" i="3" s="1"/>
  <c r="C30" i="3"/>
  <c r="I30" i="3" s="1"/>
  <c r="C42" i="3"/>
  <c r="I42" i="3" s="1"/>
  <c r="C54" i="3"/>
  <c r="I54" i="3" s="1"/>
  <c r="C66" i="3"/>
  <c r="I66" i="3" s="1"/>
  <c r="C216" i="3"/>
  <c r="I216" i="3" s="1"/>
  <c r="C7" i="3"/>
  <c r="I7" i="3" s="1"/>
  <c r="C19" i="3"/>
  <c r="I19" i="3" s="1"/>
  <c r="C31" i="3"/>
  <c r="H31" i="3" s="1"/>
  <c r="C43" i="3"/>
  <c r="I43" i="3" s="1"/>
  <c r="C67" i="3"/>
  <c r="I67" i="3" s="1"/>
  <c r="C168" i="3"/>
  <c r="H168" i="3" s="1"/>
  <c r="C11" i="3"/>
  <c r="H11" i="3" s="1"/>
  <c r="C23" i="3"/>
  <c r="I23" i="3" s="1"/>
  <c r="C35" i="3"/>
  <c r="I35" i="3" s="1"/>
  <c r="C47" i="3"/>
  <c r="I47" i="3" s="1"/>
  <c r="C198" i="3"/>
  <c r="H198" i="3" s="1"/>
  <c r="C208" i="3"/>
  <c r="I208" i="3" s="1"/>
  <c r="C232" i="3"/>
  <c r="I232" i="3" s="1"/>
  <c r="C174" i="3"/>
  <c r="I174" i="3" s="1"/>
  <c r="C184" i="3"/>
  <c r="H184" i="3" s="1"/>
  <c r="C204" i="3"/>
  <c r="H204" i="3" s="1"/>
  <c r="C214" i="3"/>
  <c r="I214" i="3" s="1"/>
  <c r="C10" i="3"/>
  <c r="I10" i="3" s="1"/>
  <c r="C22" i="3"/>
  <c r="I22" i="3" s="1"/>
  <c r="C34" i="3"/>
  <c r="I34" i="3" s="1"/>
  <c r="C27" i="3"/>
  <c r="I27" i="3" s="1"/>
  <c r="C16" i="3"/>
  <c r="I16" i="3" s="1"/>
  <c r="H172" i="3"/>
  <c r="I172" i="3"/>
  <c r="I184" i="3"/>
  <c r="I212" i="3"/>
  <c r="H212" i="3"/>
  <c r="I220" i="3"/>
  <c r="H220" i="3"/>
  <c r="H228" i="3"/>
  <c r="I228" i="3"/>
  <c r="I165" i="3"/>
  <c r="I169" i="3"/>
  <c r="I173" i="3"/>
  <c r="H173" i="3"/>
  <c r="I177" i="3"/>
  <c r="H177" i="3"/>
  <c r="I181" i="3"/>
  <c r="H181" i="3"/>
  <c r="I185" i="3"/>
  <c r="H185" i="3"/>
  <c r="I205" i="3"/>
  <c r="H205" i="3"/>
  <c r="I209" i="3"/>
  <c r="H209" i="3"/>
  <c r="I213" i="3"/>
  <c r="H213" i="3"/>
  <c r="I225" i="3"/>
  <c r="I229" i="3"/>
  <c r="H229" i="3"/>
  <c r="I233" i="3"/>
  <c r="H233" i="3"/>
  <c r="H188" i="3"/>
  <c r="I170" i="3"/>
  <c r="H178" i="3"/>
  <c r="I178" i="3"/>
  <c r="H182" i="3"/>
  <c r="I182" i="3"/>
  <c r="H194" i="3"/>
  <c r="I202" i="3"/>
  <c r="H202" i="3"/>
  <c r="H230" i="3"/>
  <c r="I230" i="3"/>
  <c r="I167" i="3"/>
  <c r="H167" i="3"/>
  <c r="I171" i="3"/>
  <c r="I187" i="3"/>
  <c r="H187" i="3"/>
  <c r="I191" i="3"/>
  <c r="H191" i="3"/>
  <c r="I195" i="3"/>
  <c r="H195" i="3"/>
  <c r="I199" i="3"/>
  <c r="I203" i="3"/>
  <c r="H203" i="3"/>
  <c r="I219" i="3"/>
  <c r="H219" i="3"/>
  <c r="I223" i="3"/>
  <c r="H223" i="3"/>
  <c r="I227" i="3"/>
  <c r="I231" i="3"/>
  <c r="H231" i="3"/>
  <c r="H174" i="3"/>
  <c r="H186" i="3"/>
  <c r="I186" i="3"/>
  <c r="I226" i="3"/>
  <c r="H226" i="3"/>
  <c r="I183" i="3"/>
  <c r="H183" i="3"/>
  <c r="C13" i="3"/>
  <c r="H13" i="3" s="1"/>
  <c r="C25" i="3"/>
  <c r="H25" i="3" s="1"/>
  <c r="C37" i="3"/>
  <c r="I37" i="3" s="1"/>
  <c r="C49" i="3"/>
  <c r="I49" i="3" s="1"/>
  <c r="C51" i="3"/>
  <c r="I51" i="3" s="1"/>
  <c r="C9" i="3"/>
  <c r="H9" i="3" s="1"/>
  <c r="C33" i="3"/>
  <c r="H33" i="3" s="1"/>
  <c r="C45" i="3"/>
  <c r="I45" i="3" s="1"/>
  <c r="C57" i="3"/>
  <c r="H57" i="3" s="1"/>
  <c r="C46" i="3"/>
  <c r="I46" i="3" s="1"/>
  <c r="C58" i="3"/>
  <c r="I58" i="3" s="1"/>
  <c r="C70" i="3"/>
  <c r="I70" i="3" s="1"/>
  <c r="C59" i="3"/>
  <c r="I59" i="3" s="1"/>
  <c r="C71" i="3"/>
  <c r="I71" i="3" s="1"/>
  <c r="C24" i="3"/>
  <c r="I24" i="3" s="1"/>
  <c r="C36" i="3"/>
  <c r="I36" i="3" s="1"/>
  <c r="C48" i="3"/>
  <c r="I48" i="3" s="1"/>
  <c r="C60" i="3"/>
  <c r="I60" i="3" s="1"/>
  <c r="C72" i="3"/>
  <c r="I72" i="3" s="1"/>
  <c r="C68" i="3"/>
  <c r="H68" i="3" s="1"/>
  <c r="C56" i="3"/>
  <c r="I56" i="3" s="1"/>
  <c r="C55" i="3"/>
  <c r="H55" i="3" s="1"/>
  <c r="C61" i="3"/>
  <c r="H61" i="3" s="1"/>
  <c r="C73" i="3"/>
  <c r="I73" i="3" s="1"/>
  <c r="C28" i="3"/>
  <c r="I28" i="3" s="1"/>
  <c r="C39" i="3"/>
  <c r="I39" i="3" s="1"/>
  <c r="C40" i="3"/>
  <c r="I40" i="3" s="1"/>
  <c r="C63" i="3"/>
  <c r="I63" i="3" s="1"/>
  <c r="C52" i="3"/>
  <c r="H52" i="3" s="1"/>
  <c r="C64" i="3"/>
  <c r="I64" i="3" s="1"/>
  <c r="C14" i="3"/>
  <c r="I14" i="3" s="1"/>
  <c r="C21" i="3"/>
  <c r="I21" i="3" s="1"/>
  <c r="C62" i="3"/>
  <c r="I62" i="3" s="1"/>
  <c r="C50" i="3"/>
  <c r="I50" i="3" s="1"/>
  <c r="C69" i="3"/>
  <c r="H69" i="3" s="1"/>
  <c r="C38" i="3"/>
  <c r="I38" i="3" s="1"/>
  <c r="H19" i="3"/>
  <c r="I5" i="3"/>
  <c r="I44" i="3"/>
  <c r="H53" i="3"/>
  <c r="I12" i="3"/>
  <c r="H12" i="3"/>
  <c r="H4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79" i="3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I129" i="3" s="1"/>
  <c r="B130" i="3"/>
  <c r="C130" i="3" s="1"/>
  <c r="H130" i="3" s="1"/>
  <c r="B131" i="3"/>
  <c r="C131" i="3" s="1"/>
  <c r="B132" i="3"/>
  <c r="C132" i="3" s="1"/>
  <c r="B133" i="3"/>
  <c r="C133" i="3" s="1"/>
  <c r="B134" i="3"/>
  <c r="C134" i="3" s="1"/>
  <c r="B135" i="3"/>
  <c r="C135" i="3" s="1"/>
  <c r="B136" i="3"/>
  <c r="C136" i="3" s="1"/>
  <c r="I136" i="3" s="1"/>
  <c r="B137" i="3"/>
  <c r="C137" i="3" s="1"/>
  <c r="H137" i="3" s="1"/>
  <c r="B138" i="3"/>
  <c r="C138" i="3" s="1"/>
  <c r="B139" i="3"/>
  <c r="C139" i="3" s="1"/>
  <c r="B140" i="3"/>
  <c r="C140" i="3" s="1"/>
  <c r="B141" i="3"/>
  <c r="C141" i="3" s="1"/>
  <c r="I141" i="3" s="1"/>
  <c r="B142" i="3"/>
  <c r="C142" i="3" s="1"/>
  <c r="H142" i="3" s="1"/>
  <c r="B143" i="3"/>
  <c r="C143" i="3" s="1"/>
  <c r="B144" i="3"/>
  <c r="C144" i="3" s="1"/>
  <c r="B145" i="3"/>
  <c r="C145" i="3" s="1"/>
  <c r="B146" i="3"/>
  <c r="C146" i="3" s="1"/>
  <c r="I146" i="3" s="1"/>
  <c r="B147" i="3"/>
  <c r="C147" i="3" s="1"/>
  <c r="B148" i="3"/>
  <c r="C148" i="3" s="1"/>
  <c r="I148" i="3" s="1"/>
  <c r="B149" i="3"/>
  <c r="C149" i="3" s="1"/>
  <c r="I149" i="3" s="1"/>
  <c r="B150" i="3"/>
  <c r="C150" i="3" s="1"/>
  <c r="B95" i="3"/>
  <c r="C95" i="3" s="1"/>
  <c r="B96" i="3"/>
  <c r="C96" i="3" s="1"/>
  <c r="H96" i="3" s="1"/>
  <c r="B97" i="3"/>
  <c r="C97" i="3" s="1"/>
  <c r="H97" i="3" s="1"/>
  <c r="B98" i="3"/>
  <c r="C98" i="3" s="1"/>
  <c r="H98" i="3" s="1"/>
  <c r="B99" i="3"/>
  <c r="C99" i="3" s="1"/>
  <c r="B100" i="3"/>
  <c r="C100" i="3" s="1"/>
  <c r="B101" i="3"/>
  <c r="C101" i="3" s="1"/>
  <c r="B102" i="3"/>
  <c r="C102" i="3" s="1"/>
  <c r="B103" i="3"/>
  <c r="C103" i="3" s="1"/>
  <c r="H103" i="3" s="1"/>
  <c r="B104" i="3"/>
  <c r="C104" i="3" s="1"/>
  <c r="H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80" i="3"/>
  <c r="C80" i="3" s="1"/>
  <c r="H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H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H92" i="3" s="1"/>
  <c r="B93" i="3"/>
  <c r="C93" i="3" s="1"/>
  <c r="B94" i="3"/>
  <c r="C94" i="3" s="1"/>
  <c r="B158" i="3"/>
  <c r="C158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7" i="3"/>
  <c r="C157" i="3" s="1"/>
  <c r="H157" i="3" s="1"/>
  <c r="B79" i="3"/>
  <c r="C79" i="3" s="1"/>
  <c r="H201" i="3" l="1"/>
  <c r="I210" i="3"/>
  <c r="H197" i="3"/>
  <c r="H8" i="3"/>
  <c r="I189" i="3"/>
  <c r="H41" i="3"/>
  <c r="H221" i="3"/>
  <c r="H175" i="3"/>
  <c r="H207" i="3"/>
  <c r="H224" i="3"/>
  <c r="H215" i="3"/>
  <c r="H218" i="3"/>
  <c r="H166" i="3"/>
  <c r="I200" i="3"/>
  <c r="H217" i="3"/>
  <c r="H193" i="3"/>
  <c r="I196" i="3"/>
  <c r="H211" i="3"/>
  <c r="H179" i="3"/>
  <c r="I164" i="3"/>
  <c r="I108" i="3"/>
  <c r="I206" i="3"/>
  <c r="H47" i="3"/>
  <c r="I18" i="3"/>
  <c r="H222" i="3"/>
  <c r="I15" i="3"/>
  <c r="H30" i="3"/>
  <c r="H34" i="3"/>
  <c r="I180" i="3"/>
  <c r="H22" i="3"/>
  <c r="H6" i="3"/>
  <c r="I11" i="3"/>
  <c r="H72" i="3"/>
  <c r="I68" i="3"/>
  <c r="H232" i="3"/>
  <c r="H7" i="3"/>
  <c r="I192" i="3"/>
  <c r="I190" i="3"/>
  <c r="H58" i="3"/>
  <c r="H49" i="3"/>
  <c r="I32" i="3"/>
  <c r="I31" i="3"/>
  <c r="H214" i="3"/>
  <c r="I26" i="3"/>
  <c r="H43" i="3"/>
  <c r="H20" i="3"/>
  <c r="H42" i="3"/>
  <c r="H208" i="3"/>
  <c r="I204" i="3"/>
  <c r="I17" i="3"/>
  <c r="H67" i="3"/>
  <c r="H65" i="3"/>
  <c r="H29" i="3"/>
  <c r="H51" i="3"/>
  <c r="H10" i="3"/>
  <c r="H54" i="3"/>
  <c r="I168" i="3"/>
  <c r="H63" i="3"/>
  <c r="H23" i="3"/>
  <c r="H66" i="3"/>
  <c r="H216" i="3"/>
  <c r="H37" i="3"/>
  <c r="H27" i="3"/>
  <c r="I25" i="3"/>
  <c r="H35" i="3"/>
  <c r="H70" i="3"/>
  <c r="I198" i="3"/>
  <c r="H176" i="3"/>
  <c r="H48" i="3"/>
  <c r="H45" i="3"/>
  <c r="I57" i="3"/>
  <c r="H16" i="3"/>
  <c r="H46" i="3"/>
  <c r="H36" i="3"/>
  <c r="I9" i="3"/>
  <c r="H71" i="3"/>
  <c r="I33" i="3"/>
  <c r="H24" i="3"/>
  <c r="H60" i="3"/>
  <c r="I13" i="3"/>
  <c r="H59" i="3"/>
  <c r="H73" i="3"/>
  <c r="I55" i="3"/>
  <c r="H56" i="3"/>
  <c r="I61" i="3"/>
  <c r="I69" i="3"/>
  <c r="H62" i="3"/>
  <c r="H28" i="3"/>
  <c r="H14" i="3"/>
  <c r="H39" i="3"/>
  <c r="H40" i="3"/>
  <c r="H38" i="3"/>
  <c r="H50" i="3"/>
  <c r="H64" i="3"/>
  <c r="I134" i="3"/>
  <c r="I52" i="3"/>
  <c r="H21" i="3"/>
  <c r="H129" i="3"/>
  <c r="I83" i="3"/>
  <c r="H83" i="3"/>
  <c r="H82" i="3"/>
  <c r="I82" i="3"/>
  <c r="H93" i="3"/>
  <c r="I93" i="3"/>
  <c r="I135" i="3"/>
  <c r="H135" i="3"/>
  <c r="I122" i="3"/>
  <c r="H122" i="3"/>
  <c r="H79" i="3"/>
  <c r="I79" i="3"/>
  <c r="H113" i="3"/>
  <c r="I113" i="3"/>
  <c r="H145" i="3"/>
  <c r="I145" i="3"/>
  <c r="I121" i="3"/>
  <c r="H121" i="3"/>
  <c r="H112" i="3"/>
  <c r="I112" i="3"/>
  <c r="H100" i="3"/>
  <c r="I100" i="3"/>
  <c r="H144" i="3"/>
  <c r="I144" i="3"/>
  <c r="I132" i="3"/>
  <c r="H132" i="3"/>
  <c r="I120" i="3"/>
  <c r="H120" i="3"/>
  <c r="H156" i="3"/>
  <c r="I156" i="3"/>
  <c r="H89" i="3"/>
  <c r="I89" i="3"/>
  <c r="I111" i="3"/>
  <c r="H111" i="3"/>
  <c r="H99" i="3"/>
  <c r="I99" i="3"/>
  <c r="H143" i="3"/>
  <c r="I143" i="3"/>
  <c r="I131" i="3"/>
  <c r="H131" i="3"/>
  <c r="I119" i="3"/>
  <c r="H119" i="3"/>
  <c r="H105" i="3"/>
  <c r="I105" i="3"/>
  <c r="H94" i="3"/>
  <c r="I94" i="3"/>
  <c r="I81" i="3"/>
  <c r="H81" i="3"/>
  <c r="I123" i="3"/>
  <c r="H123" i="3"/>
  <c r="H102" i="3"/>
  <c r="I102" i="3"/>
  <c r="H91" i="3"/>
  <c r="I91" i="3"/>
  <c r="H101" i="3"/>
  <c r="I101" i="3"/>
  <c r="I133" i="3"/>
  <c r="H133" i="3"/>
  <c r="H90" i="3"/>
  <c r="I90" i="3"/>
  <c r="H155" i="3"/>
  <c r="I155" i="3"/>
  <c r="H88" i="3"/>
  <c r="I88" i="3"/>
  <c r="I110" i="3"/>
  <c r="H110" i="3"/>
  <c r="H118" i="3"/>
  <c r="I118" i="3"/>
  <c r="H154" i="3"/>
  <c r="I154" i="3"/>
  <c r="H87" i="3"/>
  <c r="I87" i="3"/>
  <c r="I109" i="3"/>
  <c r="H109" i="3"/>
  <c r="H117" i="3"/>
  <c r="I117" i="3"/>
  <c r="I153" i="3"/>
  <c r="H153" i="3"/>
  <c r="I140" i="3"/>
  <c r="H140" i="3"/>
  <c r="H128" i="3"/>
  <c r="I128" i="3"/>
  <c r="H116" i="3"/>
  <c r="I116" i="3"/>
  <c r="H158" i="3"/>
  <c r="I158" i="3"/>
  <c r="I125" i="3"/>
  <c r="H125" i="3"/>
  <c r="I124" i="3"/>
  <c r="H124" i="3"/>
  <c r="I147" i="3"/>
  <c r="H147" i="3"/>
  <c r="I152" i="3"/>
  <c r="H152" i="3"/>
  <c r="H85" i="3"/>
  <c r="I85" i="3"/>
  <c r="I107" i="3"/>
  <c r="H107" i="3"/>
  <c r="I95" i="3"/>
  <c r="H95" i="3"/>
  <c r="H139" i="3"/>
  <c r="I139" i="3"/>
  <c r="H127" i="3"/>
  <c r="I127" i="3"/>
  <c r="H115" i="3"/>
  <c r="I115" i="3"/>
  <c r="I151" i="3"/>
  <c r="H151" i="3"/>
  <c r="I84" i="3"/>
  <c r="H84" i="3"/>
  <c r="H106" i="3"/>
  <c r="I106" i="3"/>
  <c r="I150" i="3"/>
  <c r="H150" i="3"/>
  <c r="I138" i="3"/>
  <c r="H138" i="3"/>
  <c r="I126" i="3"/>
  <c r="H126" i="3"/>
  <c r="H114" i="3"/>
  <c r="I114" i="3"/>
  <c r="H141" i="3"/>
  <c r="I130" i="3"/>
  <c r="H136" i="3"/>
  <c r="I104" i="3"/>
  <c r="I92" i="3"/>
  <c r="I80" i="3"/>
  <c r="H108" i="3"/>
  <c r="I103" i="3"/>
  <c r="I142" i="3"/>
  <c r="H134" i="3"/>
  <c r="H149" i="3"/>
  <c r="H148" i="3"/>
  <c r="I137" i="3"/>
  <c r="H146" i="3"/>
  <c r="I157" i="3"/>
  <c r="I98" i="3"/>
  <c r="I86" i="3"/>
  <c r="I97" i="3"/>
  <c r="I96" i="3"/>
  <c r="K67" i="2"/>
  <c r="H67" i="2"/>
  <c r="G67" i="2"/>
  <c r="K66" i="2"/>
  <c r="H66" i="2"/>
  <c r="J66" i="2" s="1"/>
  <c r="G66" i="2"/>
  <c r="K65" i="2"/>
  <c r="H65" i="2"/>
  <c r="G65" i="2"/>
  <c r="K64" i="2"/>
  <c r="H64" i="2"/>
  <c r="G64" i="2"/>
  <c r="K63" i="2"/>
  <c r="H63" i="2"/>
  <c r="G63" i="2"/>
  <c r="K62" i="2"/>
  <c r="H62" i="2"/>
  <c r="J62" i="2" s="1"/>
  <c r="G62" i="2"/>
  <c r="K61" i="2"/>
  <c r="H61" i="2"/>
  <c r="G61" i="2"/>
  <c r="K60" i="2"/>
  <c r="H60" i="2"/>
  <c r="G60" i="2"/>
  <c r="K59" i="2"/>
  <c r="H59" i="2"/>
  <c r="G59" i="2"/>
  <c r="K58" i="2"/>
  <c r="H58" i="2"/>
  <c r="J58" i="2" s="1"/>
  <c r="G58" i="2"/>
  <c r="K57" i="2"/>
  <c r="H57" i="2"/>
  <c r="J57" i="2" s="1"/>
  <c r="G57" i="2"/>
  <c r="K56" i="2"/>
  <c r="H56" i="2"/>
  <c r="G56" i="2"/>
  <c r="K55" i="2"/>
  <c r="H55" i="2"/>
  <c r="J55" i="2" s="1"/>
  <c r="G55" i="2"/>
  <c r="K54" i="2"/>
  <c r="H54" i="2"/>
  <c r="G54" i="2"/>
  <c r="K53" i="2"/>
  <c r="H53" i="2"/>
  <c r="G53" i="2"/>
  <c r="K52" i="2"/>
  <c r="H52" i="2"/>
  <c r="J52" i="2" s="1"/>
  <c r="G52" i="2"/>
  <c r="K51" i="2"/>
  <c r="H51" i="2"/>
  <c r="G51" i="2"/>
  <c r="K50" i="2"/>
  <c r="H50" i="2"/>
  <c r="G50" i="2"/>
  <c r="K49" i="2"/>
  <c r="H49" i="2"/>
  <c r="G49" i="2"/>
  <c r="K48" i="2"/>
  <c r="H48" i="2"/>
  <c r="G48" i="2"/>
  <c r="K47" i="2"/>
  <c r="H47" i="2"/>
  <c r="G47" i="2"/>
  <c r="K46" i="2"/>
  <c r="H46" i="2"/>
  <c r="G46" i="2"/>
  <c r="K45" i="2"/>
  <c r="H45" i="2"/>
  <c r="G45" i="2"/>
  <c r="K44" i="2"/>
  <c r="H44" i="2"/>
  <c r="G44" i="2"/>
  <c r="K43" i="2"/>
  <c r="H43" i="2"/>
  <c r="G43" i="2"/>
  <c r="K42" i="2"/>
  <c r="H42" i="2"/>
  <c r="G42" i="2"/>
  <c r="K41" i="2"/>
  <c r="H41" i="2"/>
  <c r="G41" i="2"/>
  <c r="K40" i="2"/>
  <c r="H40" i="2"/>
  <c r="G40" i="2"/>
  <c r="K39" i="2"/>
  <c r="K68" i="2" s="1"/>
  <c r="H39" i="2"/>
  <c r="G39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63" i="2" l="1"/>
  <c r="J64" i="2"/>
  <c r="K85" i="1"/>
  <c r="J61" i="2"/>
  <c r="J42" i="2"/>
  <c r="J46" i="2"/>
  <c r="J50" i="2"/>
  <c r="J67" i="2"/>
  <c r="J39" i="2"/>
  <c r="J43" i="2"/>
  <c r="J47" i="2"/>
  <c r="J51" i="2"/>
  <c r="J54" i="2"/>
  <c r="J40" i="2"/>
  <c r="J44" i="2"/>
  <c r="J48" i="2"/>
  <c r="J59" i="2"/>
  <c r="J56" i="2"/>
  <c r="J41" i="2"/>
  <c r="J45" i="2"/>
  <c r="J49" i="2"/>
  <c r="J60" i="2"/>
  <c r="J53" i="2"/>
  <c r="J65" i="2"/>
  <c r="I234" i="3"/>
  <c r="H234" i="3"/>
  <c r="I74" i="3"/>
  <c r="H74" i="3"/>
  <c r="H75" i="3" s="1"/>
  <c r="I159" i="3"/>
  <c r="H159" i="3"/>
  <c r="J68" i="2" l="1"/>
  <c r="J69" i="2" s="1"/>
  <c r="H235" i="3"/>
  <c r="H160" i="3"/>
  <c r="F95" i="2"/>
  <c r="K95" i="2" s="1"/>
  <c r="F96" i="2"/>
  <c r="K96" i="2" s="1"/>
  <c r="F97" i="2"/>
  <c r="K97" i="2" s="1"/>
  <c r="F98" i="2"/>
  <c r="K98" i="2" s="1"/>
  <c r="F99" i="2"/>
  <c r="F74" i="2"/>
  <c r="F75" i="2"/>
  <c r="F76" i="2"/>
  <c r="F77" i="2"/>
  <c r="F78" i="2"/>
  <c r="K78" i="2" s="1"/>
  <c r="F79" i="2"/>
  <c r="K79" i="2" s="1"/>
  <c r="F80" i="2"/>
  <c r="F81" i="2"/>
  <c r="F82" i="2"/>
  <c r="K82" i="2" s="1"/>
  <c r="F83" i="2"/>
  <c r="K83" i="2" s="1"/>
  <c r="F84" i="2"/>
  <c r="K84" i="2" s="1"/>
  <c r="F85" i="2"/>
  <c r="K85" i="2" s="1"/>
  <c r="F86" i="2"/>
  <c r="F87" i="2"/>
  <c r="F88" i="2"/>
  <c r="F89" i="2"/>
  <c r="K89" i="2" s="1"/>
  <c r="F90" i="2"/>
  <c r="F91" i="2"/>
  <c r="K91" i="2" s="1"/>
  <c r="F92" i="2"/>
  <c r="F93" i="2"/>
  <c r="K93" i="2" s="1"/>
  <c r="F94" i="2"/>
  <c r="K94" i="2" s="1"/>
  <c r="F73" i="2"/>
  <c r="K73" i="2" s="1"/>
  <c r="H99" i="2"/>
  <c r="G99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H73" i="2"/>
  <c r="G7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28" i="2"/>
  <c r="G29" i="2"/>
  <c r="G30" i="2"/>
  <c r="G31" i="2"/>
  <c r="G32" i="2"/>
  <c r="G3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13" i="2"/>
  <c r="K13" i="2" s="1"/>
  <c r="F33" i="2"/>
  <c r="F5" i="2"/>
  <c r="J5" i="2" s="1"/>
  <c r="F6" i="2"/>
  <c r="K6" i="2" s="1"/>
  <c r="F7" i="2"/>
  <c r="K7" i="2" s="1"/>
  <c r="F8" i="2"/>
  <c r="F9" i="2"/>
  <c r="F10" i="2"/>
  <c r="F11" i="2"/>
  <c r="F12" i="2"/>
  <c r="F14" i="2"/>
  <c r="K14" i="2" s="1"/>
  <c r="F15" i="2"/>
  <c r="F16" i="2"/>
  <c r="F17" i="2"/>
  <c r="K17" i="2" s="1"/>
  <c r="F18" i="2"/>
  <c r="K18" i="2" s="1"/>
  <c r="F19" i="2"/>
  <c r="F20" i="2"/>
  <c r="K20" i="2" s="1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F32" i="2"/>
  <c r="F4" i="2"/>
  <c r="B21" i="4"/>
  <c r="B20" i="4"/>
  <c r="J11" i="2" l="1"/>
  <c r="J96" i="2"/>
  <c r="J84" i="2"/>
  <c r="J98" i="2"/>
  <c r="J25" i="2"/>
  <c r="J10" i="2"/>
  <c r="J97" i="2"/>
  <c r="J85" i="2"/>
  <c r="J83" i="2"/>
  <c r="J94" i="2"/>
  <c r="J29" i="2"/>
  <c r="J7" i="2"/>
  <c r="J73" i="2"/>
  <c r="J9" i="2"/>
  <c r="J8" i="2"/>
  <c r="J82" i="2"/>
  <c r="J90" i="2"/>
  <c r="J32" i="2"/>
  <c r="J77" i="2"/>
  <c r="J19" i="2"/>
  <c r="J88" i="2"/>
  <c r="J76" i="2"/>
  <c r="J87" i="2"/>
  <c r="J75" i="2"/>
  <c r="J4" i="2"/>
  <c r="J33" i="2"/>
  <c r="J86" i="2"/>
  <c r="J74" i="2"/>
  <c r="J31" i="2"/>
  <c r="J28" i="2"/>
  <c r="J16" i="2"/>
  <c r="K32" i="2"/>
  <c r="J99" i="2"/>
  <c r="J27" i="2"/>
  <c r="J15" i="2"/>
  <c r="K10" i="2"/>
  <c r="K76" i="2"/>
  <c r="J26" i="2"/>
  <c r="K8" i="2"/>
  <c r="J12" i="2"/>
  <c r="K88" i="2"/>
  <c r="J24" i="2"/>
  <c r="J81" i="2"/>
  <c r="K90" i="2"/>
  <c r="J92" i="2"/>
  <c r="J80" i="2"/>
  <c r="J23" i="2"/>
  <c r="J79" i="2"/>
  <c r="J22" i="2"/>
  <c r="J78" i="2"/>
  <c r="K99" i="2"/>
  <c r="J21" i="2"/>
  <c r="K74" i="2"/>
  <c r="J91" i="2"/>
  <c r="J30" i="2"/>
  <c r="K86" i="2"/>
  <c r="K33" i="2"/>
  <c r="K5" i="2"/>
  <c r="J95" i="2"/>
  <c r="K75" i="2"/>
  <c r="K87" i="2"/>
  <c r="K77" i="2"/>
  <c r="J20" i="2"/>
  <c r="J89" i="2"/>
  <c r="K80" i="2"/>
  <c r="K92" i="2"/>
  <c r="J18" i="2"/>
  <c r="K81" i="2"/>
  <c r="K19" i="2"/>
  <c r="K31" i="2"/>
  <c r="K29" i="2"/>
  <c r="J6" i="2"/>
  <c r="K28" i="2"/>
  <c r="K16" i="2"/>
  <c r="J17" i="2"/>
  <c r="K27" i="2"/>
  <c r="K15" i="2"/>
  <c r="K26" i="2"/>
  <c r="K12" i="2"/>
  <c r="K25" i="2"/>
  <c r="K11" i="2"/>
  <c r="J14" i="2"/>
  <c r="K24" i="2"/>
  <c r="J13" i="2"/>
  <c r="K9" i="2"/>
  <c r="J93" i="2"/>
  <c r="K100" i="2" l="1"/>
  <c r="J100" i="2"/>
  <c r="J34" i="2"/>
  <c r="D23" i="1"/>
  <c r="K23" i="1" s="1"/>
  <c r="I23" i="1"/>
  <c r="J23" i="1" s="1"/>
  <c r="D21" i="1"/>
  <c r="K21" i="1" s="1"/>
  <c r="I21" i="1"/>
  <c r="J21" i="1" s="1"/>
  <c r="A82" i="4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E129" i="1"/>
  <c r="E13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90" i="1"/>
  <c r="F91" i="1"/>
  <c r="F92" i="1"/>
  <c r="F93" i="1"/>
  <c r="F94" i="1"/>
  <c r="F95" i="1"/>
  <c r="F89" i="1"/>
  <c r="D129" i="1"/>
  <c r="D113" i="1"/>
  <c r="D112" i="1"/>
  <c r="D100" i="1"/>
  <c r="D116" i="1"/>
  <c r="D32" i="1"/>
  <c r="K32" i="1" s="1"/>
  <c r="D117" i="1"/>
  <c r="D130" i="1"/>
  <c r="K130" i="1" s="1"/>
  <c r="D114" i="1"/>
  <c r="D115" i="1"/>
  <c r="D118" i="1"/>
  <c r="D119" i="1"/>
  <c r="D120" i="1"/>
  <c r="D121" i="1"/>
  <c r="D122" i="1"/>
  <c r="D123" i="1"/>
  <c r="D124" i="1"/>
  <c r="K124" i="1" s="1"/>
  <c r="D125" i="1"/>
  <c r="D126" i="1"/>
  <c r="K126" i="1" s="1"/>
  <c r="D127" i="1"/>
  <c r="D128" i="1"/>
  <c r="D92" i="1"/>
  <c r="D93" i="1"/>
  <c r="D94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K127" i="1" l="1"/>
  <c r="K102" i="1"/>
  <c r="J101" i="2"/>
  <c r="K120" i="1"/>
  <c r="K105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K4" i="2"/>
  <c r="K34" i="2" s="1"/>
  <c r="J35" i="2" s="1"/>
  <c r="K4" i="1"/>
  <c r="K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<sst xmlns="http://schemas.openxmlformats.org/spreadsheetml/2006/main" count="1457" uniqueCount="492">
  <si>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</si>
  <si>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</si>
  <si>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</si>
  <si>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</si>
  <si>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</si>
  <si>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</si>
  <si>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</si>
  <si>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</si>
  <si>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</si>
  <si>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</si>
  <si>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</si>
  <si>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 xml:space="preserve">EXTERNAL WALL LOAD 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</si>
  <si>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</si>
  <si>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</si>
  <si>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</si>
  <si>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</si>
  <si>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</si>
  <si>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</si>
  <si>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</si>
  <si>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</si>
  <si>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</si>
  <si>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</si>
  <si>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</si>
  <si>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</si>
  <si>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</si>
  <si>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</si>
  <si>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</si>
  <si>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</si>
  <si>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</si>
  <si>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</si>
  <si>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</si>
  <si>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</si>
  <si>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</si>
  <si>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</si>
  <si>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</si>
  <si>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</si>
  <si>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</si>
  <si>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</si>
  <si>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</si>
  <si>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</si>
  <si>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</si>
  <si>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</si>
  <si>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</si>
  <si>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</si>
  <si>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</si>
  <si>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</si>
  <si>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</si>
  <si>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</si>
  <si>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</si>
  <si>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</si>
  <si>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</si>
  <si>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</si>
  <si>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</si>
  <si>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</si>
  <si>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</si>
  <si>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</si>
  <si>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</si>
  <si>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</si>
  <si>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</si>
  <si>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</si>
  <si>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</si>
  <si>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</si>
  <si>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</si>
  <si>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</si>
  <si>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</si>
  <si>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</si>
  <si>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</si>
  <si>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</si>
  <si>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</si>
  <si>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</si>
  <si>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</si>
  <si>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</si>
  <si>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</si>
  <si>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</si>
  <si>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</si>
  <si>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</si>
  <si>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</si>
  <si>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</si>
  <si>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</si>
  <si>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</si>
  <si>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</si>
  <si>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</si>
  <si>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</si>
  <si>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</si>
  <si>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</si>
  <si>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</si>
  <si>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</si>
  <si>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</si>
  <si>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</si>
  <si>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</si>
  <si>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</si>
  <si>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</si>
  <si>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</si>
  <si>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</si>
  <si>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</si>
  <si>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</si>
  <si>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</si>
  <si>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</si>
  <si>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</si>
  <si>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</si>
  <si>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</si>
  <si>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</si>
  <si>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</si>
  <si>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</si>
  <si>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</si>
  <si>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</si>
  <si>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</si>
  <si>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</si>
  <si>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</si>
  <si>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</si>
  <si>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</si>
  <si>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</si>
  <si>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</si>
  <si>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</si>
  <si>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</si>
  <si>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</si>
  <si>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</si>
  <si>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</si>
  <si>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</si>
  <si>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</si>
  <si>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</si>
  <si>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</si>
  <si>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</si>
  <si>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</si>
  <si>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</si>
  <si>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</si>
  <si>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</si>
  <si>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</si>
  <si>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</si>
  <si>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</si>
  <si>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</si>
  <si>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</si>
  <si>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</si>
  <si>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</si>
  <si>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</si>
  <si>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</si>
  <si>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</si>
  <si>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</si>
  <si>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</si>
  <si>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</si>
  <si>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</si>
  <si>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</si>
  <si>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</si>
  <si>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</si>
  <si>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</si>
  <si>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</si>
  <si>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</si>
  <si>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</si>
  <si>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</si>
  <si>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</si>
  <si>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</si>
  <si>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</si>
  <si>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</si>
  <si>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</si>
  <si>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</si>
  <si>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</si>
  <si>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</si>
  <si>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</si>
  <si>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</si>
  <si>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</si>
  <si>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</si>
  <si>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</si>
  <si>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</si>
  <si>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</si>
  <si>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</si>
  <si>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</si>
  <si>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</si>
  <si>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</si>
  <si>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</si>
  <si>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</si>
  <si>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</si>
  <si>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</si>
  <si>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</si>
  <si>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</si>
  <si>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</si>
  <si>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</si>
  <si>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</si>
  <si>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</si>
  <si>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</si>
  <si>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</si>
  <si>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</si>
  <si>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</si>
  <si>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</si>
  <si>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</si>
  <si>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</si>
  <si>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</si>
  <si>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</si>
  <si>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</si>
  <si>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</si>
  <si>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</si>
  <si>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</si>
  <si>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</si>
  <si>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</si>
  <si>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</si>
  <si>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</si>
  <si>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</si>
  <si>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</si>
  <si>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</si>
  <si>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</si>
  <si>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</si>
  <si>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</si>
  <si>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</si>
  <si>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</si>
  <si>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</si>
  <si>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</si>
  <si>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</si>
  <si>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</si>
  <si>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</si>
  <si>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</si>
  <si>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</si>
  <si>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</si>
  <si>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</si>
  <si>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</si>
  <si>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</si>
  <si>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</si>
  <si>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</si>
  <si>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</si>
  <si>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</si>
  <si>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</si>
  <si>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</si>
  <si>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</si>
  <si>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</si>
  <si>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</si>
  <si>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</si>
  <si>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</si>
  <si>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</si>
  <si>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</si>
  <si>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</si>
  <si>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</si>
  <si>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</si>
  <si>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</si>
  <si>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</si>
  <si>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</si>
  <si>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</si>
  <si>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</si>
  <si>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</si>
  <si>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</si>
  <si>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</si>
  <si>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</si>
  <si>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</si>
  <si>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</si>
  <si>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</si>
  <si>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</si>
  <si>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</si>
  <si>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</si>
  <si>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</si>
  <si>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</si>
  <si>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</si>
  <si>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</si>
  <si>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</si>
  <si>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</si>
  <si>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</si>
  <si>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</si>
  <si>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</si>
  <si>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</si>
  <si>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</si>
  <si>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</si>
  <si>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</si>
  <si>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</si>
  <si>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</si>
  <si>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</si>
  <si>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</si>
  <si>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</si>
  <si>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</si>
  <si>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</si>
  <si>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</si>
  <si>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</si>
  <si>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</si>
  <si>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</si>
  <si>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</si>
  <si>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</si>
  <si>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</si>
  <si>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</si>
  <si>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</si>
  <si>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</si>
  <si>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</si>
  <si>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1.44 Waste Disposal Area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</si>
  <si>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</si>
  <si>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</si>
  <si>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</si>
  <si>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</si>
  <si>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</si>
  <si>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</si>
  <si>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</si>
  <si>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</si>
  <si>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</si>
  <si>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</si>
  <si>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</si>
  <si>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</si>
  <si>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</si>
  <si>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</si>
  <si>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</si>
  <si>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</si>
  <si>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</si>
  <si>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</si>
  <si>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</si>
  <si>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</si>
  <si>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</si>
  <si>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1.69 Garbage Disposal area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</si>
  <si>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</si>
  <si>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</si>
  <si>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</si>
  <si>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</si>
  <si>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</si>
  <si>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</si>
  <si>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</si>
  <si>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</si>
  <si>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</si>
  <si>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</si>
  <si>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</si>
  <si>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</si>
  <si>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</si>
  <si>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</si>
  <si>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</si>
  <si>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</si>
  <si>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</si>
  <si>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</si>
  <si>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</si>
  <si>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</si>
  <si>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</si>
  <si>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</si>
  <si>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</si>
  <si>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</si>
  <si>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</si>
  <si>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</si>
  <si>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</si>
  <si>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</si>
  <si>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</si>
  <si>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</si>
  <si>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</si>
  <si>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</si>
  <si>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</si>
  <si>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</si>
  <si>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</si>
  <si>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</si>
  <si>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</si>
  <si>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</si>
  <si>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GROUND FLOOR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</si>
  <si>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</si>
  <si>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</si>
  <si>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</si>
  <si>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</si>
  <si>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</si>
  <si>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</si>
  <si>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</si>
  <si>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</si>
  <si>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</si>
  <si>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</si>
  <si>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</si>
  <si>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</si>
  <si>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</si>
  <si>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</si>
  <si>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</si>
  <si>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</si>
  <si>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</si>
  <si>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</si>
  <si>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</si>
  <si>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</si>
  <si>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</si>
  <si>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</si>
  <si>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</si>
  <si>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</si>
  <si>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</si>
  <si>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</si>
  <si>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</si>
  <si>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</si>
  <si>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</si>
  <si>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</si>
  <si>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</si>
  <si>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</si>
  <si>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</si>
  <si>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</si>
  <si>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</si>
  <si>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</si>
  <si>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</si>
  <si>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</si>
  <si>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</si>
  <si>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</si>
  <si>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</si>
  <si>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</si>
  <si>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</si>
  <si>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</si>
  <si>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</si>
  <si>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</si>
  <si>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</si>
  <si>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</si>
  <si>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</si>
  <si>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</si>
  <si>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</si>
  <si>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</si>
  <si>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</si>
  <si>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SECOND FLOOR PLAN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</si>
  <si>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</si>
  <si>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</si>
  <si>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</si>
  <si>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</si>
  <si>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</si>
  <si>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</si>
  <si>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</si>
  <si>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</si>
  <si>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</si>
  <si>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</si>
  <si>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</si>
  <si>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</si>
  <si>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</si>
  <si>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</si>
  <si>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</si>
  <si>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</si>
  <si>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</si>
  <si>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</si>
  <si>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</si>
  <si>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</si>
  <si>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</si>
  <si>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</si>
  <si>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</si>
  <si>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</si>
  <si>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</si>
  <si>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</si>
  <si>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</si>
  <si>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</si>
  <si>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</si>
  <si>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THIRD FLOOR PLAN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</si>
  <si>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</si>
  <si>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</si>
  <si>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</si>
  <si>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</si>
  <si>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</si>
  <si>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</si>
  <si>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</si>
  <si>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</si>
  <si>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</si>
  <si>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 xml:space="preserve">THIRD FLOOR 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</si>
  <si>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</si>
  <si>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</si>
  <si>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</si>
  <si>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</si>
  <si>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</si>
  <si>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</si>
  <si>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</si>
  <si>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</si>
  <si>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</si>
  <si>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</si>
  <si>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</si>
  <si>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</si>
  <si>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</si>
  <si>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</si>
  <si>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</si>
  <si>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</si>
  <si>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Pathology Office Laboratory</t>
  </si>
  <si>
    <t>Bulk Storage</t>
  </si>
  <si>
    <t>Medical Record Office</t>
  </si>
  <si>
    <t>Wating Area CR</t>
  </si>
  <si>
    <t>Dark Room</t>
  </si>
  <si>
    <t>Radiologist Office</t>
  </si>
  <si>
    <t>X-Ray Room CR</t>
  </si>
  <si>
    <t>Radiogist Office</t>
  </si>
  <si>
    <t>X Ray Room</t>
  </si>
  <si>
    <t>Waste Disposal Area</t>
  </si>
  <si>
    <t>Linen Storage</t>
  </si>
  <si>
    <t>Washing Area CR</t>
  </si>
  <si>
    <t>OPD Clinic Dental</t>
  </si>
  <si>
    <t>OPD Clinic Pedia</t>
  </si>
  <si>
    <t>OPD Records</t>
  </si>
  <si>
    <t>OPD Info &amp; Admitting</t>
  </si>
  <si>
    <t>OPD Clinic Surgery</t>
  </si>
  <si>
    <t>OPD Clinic Medical</t>
  </si>
  <si>
    <t>OPD Clinic OB-Gyne</t>
  </si>
  <si>
    <t>OPD Clinic OB-Gyne CR</t>
  </si>
  <si>
    <t>Supply Receiving Area</t>
  </si>
  <si>
    <t>Cold Storage</t>
  </si>
  <si>
    <t>Dry Storage</t>
  </si>
  <si>
    <t>Garbage Disposal</t>
  </si>
  <si>
    <t>Dietitians Office</t>
  </si>
  <si>
    <t>Dietitians Office CR</t>
  </si>
  <si>
    <t>Window</t>
  </si>
  <si>
    <t>Door</t>
  </si>
  <si>
    <t>Second Floor</t>
  </si>
  <si>
    <t>5 Bedward</t>
  </si>
  <si>
    <t>5 Bedward CR</t>
  </si>
  <si>
    <t>Private Room CR</t>
  </si>
  <si>
    <t>Ti2</t>
  </si>
  <si>
    <t>3 Bed Ward</t>
  </si>
  <si>
    <t>3 Bed Ward CR</t>
  </si>
  <si>
    <t>Subster Room</t>
  </si>
  <si>
    <t>Pre-mature Nursery</t>
  </si>
  <si>
    <t>Breastfeeding Room</t>
  </si>
  <si>
    <t>Pre-Operation Area</t>
  </si>
  <si>
    <t>Pre Operation Area</t>
  </si>
  <si>
    <t>Autoclave Area CR</t>
  </si>
  <si>
    <t>Clean up Room</t>
  </si>
  <si>
    <t>Jan. Clo</t>
  </si>
  <si>
    <t>Sterile Instrument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</si>
</sst>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8" xfId="0" applyFont="1" applyBorder="1"/>
    <xf numFmtId="0" fontId="0" fillId="4" borderId="8" xfId="0" applyFont="1" applyFill="1" applyBorder="1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2" xfId="0" applyFill="1" applyBorder="1" applyAlignment="1">
      <alignment horizontal="left"/>
    </xf>
    <xf numFmtId="0" fontId="1" fillId="5" borderId="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2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Hyperlink" xfId="1" builtinId="8"/>
    <cellStyle name="Normal" xfId="0" builtinId="0"/>
    <cellStyle name="Title" xfId="2" builtinId="15"/>
  </cellStyles>
  <dxfs count="1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37" totalsRowShown="0" headerRowDxfId="192" headerRowBorderDxfId="191" tableBorderDxfId="190" totalsRowBorderDxfId="189">
  <tableColumns count="11">
    <tableColumn id="1" xr3:uid="{00000000-0010-0000-0000-000001000000}" name="Space" dataDxfId="188"/>
    <tableColumn id="2" xr3:uid="{00000000-0010-0000-0000-000002000000}" name="Orientation" dataDxfId="187"/>
    <tableColumn id="3" xr3:uid="{00000000-0010-0000-0000-000003000000}" name="U" dataDxfId="186"/>
    <tableColumn id="4" xr3:uid="{00000000-0010-0000-0000-000004000000}" name="A(m^2)" dataDxfId="185"/>
    <tableColumn id="5" xr3:uid="{00000000-0010-0000-0000-000005000000}" name="CLTDsel" dataDxfId="184"/>
    <tableColumn id="6" xr3:uid="{00000000-0010-0000-0000-000006000000}" name="LM" dataDxfId="183"/>
    <tableColumn id="7" xr3:uid="{00000000-0010-0000-0000-000007000000}" name="k" dataDxfId="182"/>
    <tableColumn id="8" xr3:uid="{00000000-0010-0000-0000-000008000000}" name="Ti" dataDxfId="181"/>
    <tableColumn id="9" xr3:uid="{00000000-0010-0000-0000-000009000000}" name="Tave" dataDxfId="180">
      <calculatedColumnFormula>(References!T$4)-(References!T$3/2)</calculatedColumnFormula>
    </tableColumn>
    <tableColumn id="10" xr3:uid="{00000000-0010-0000-0000-00000A000000}" name="CLTD adj" dataDxfId="179">
      <calculatedColumnFormula>(E4+F4)*G4+(25-H4)+(I4-29)</calculatedColumnFormula>
    </tableColumn>
    <tableColumn id="11" xr3:uid="{00000000-0010-0000-0000-00000B000000}" name="Q(W)" dataDxfId="178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2:H43" totalsRowShown="0" headerRowDxfId="62" dataDxfId="60" headerRowBorderDxfId="61" tableBorderDxfId="59" totalsRowBorderDxfId="58">
  <tableColumns count="8">
    <tableColumn id="1" xr3:uid="{00000000-0010-0000-0900-000001000000}" name="SPACE" dataDxfId="57"/>
    <tableColumn id="2" xr3:uid="{00000000-0010-0000-0900-000002000000}" name="Equipment" dataDxfId="56"/>
    <tableColumn id="3" xr3:uid="{00000000-0010-0000-0900-000003000000}" name="WATTAGE" dataDxfId="55"/>
    <tableColumn id="4" xr3:uid="{00000000-0010-0000-0900-000004000000}" name="Cs" dataDxfId="54"/>
    <tableColumn id="5" xr3:uid="{00000000-0010-0000-0900-000005000000}" name="Cl" dataDxfId="53"/>
    <tableColumn id="6" xr3:uid="{00000000-0010-0000-0900-000006000000}" name="CLF" dataDxfId="52"/>
    <tableColumn id="7" xr3:uid="{00000000-0010-0000-0900-000007000000}" name="Qs (W)" dataDxfId="51">
      <calculatedColumnFormula>D3*C3*F3</calculatedColumnFormula>
    </tableColumn>
    <tableColumn id="8" xr3:uid="{00000000-0010-0000-0900-000008000000}" name="Ql (W)" dataDxfId="50">
      <calculatedColumnFormula>C3*E3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8:H88" totalsRowShown="0" headerRowDxfId="49" headerRowBorderDxfId="48" tableBorderDxfId="47" totalsRowBorderDxfId="46">
  <tableColumns count="8">
    <tableColumn id="1" xr3:uid="{00000000-0010-0000-0A00-000001000000}" name="SPACE" dataDxfId="45"/>
    <tableColumn id="2" xr3:uid="{00000000-0010-0000-0A00-000002000000}" name="Equipment" dataDxfId="44"/>
    <tableColumn id="3" xr3:uid="{00000000-0010-0000-0A00-000003000000}" name="Wattage" dataDxfId="43"/>
    <tableColumn id="4" xr3:uid="{00000000-0010-0000-0A00-000004000000}" name="CS" dataDxfId="42"/>
    <tableColumn id="5" xr3:uid="{00000000-0010-0000-0A00-000005000000}" name="Cl" dataDxfId="41"/>
    <tableColumn id="6" xr3:uid="{00000000-0010-0000-0A00-000006000000}" name="CLF" dataDxfId="40"/>
    <tableColumn id="7" xr3:uid="{00000000-0010-0000-0A00-000007000000}" name="Qs (W)" dataDxfId="39">
      <calculatedColumnFormula>D49*C49*F49</calculatedColumnFormula>
    </tableColumn>
    <tableColumn id="8" xr3:uid="{00000000-0010-0000-0A00-000008000000}" name="Ql (W)" dataDxfId="38">
      <calculatedColumnFormula>E49*C49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93:H126" totalsRowShown="0" headerRowDxfId="37" headerRowBorderDxfId="36" tableBorderDxfId="35" totalsRowBorderDxfId="34">
  <tableColumns count="8">
    <tableColumn id="1" xr3:uid="{00000000-0010-0000-0B00-000001000000}" name="SPACE" dataDxfId="33"/>
    <tableColumn id="2" xr3:uid="{00000000-0010-0000-0B00-000002000000}" name="Equipment" dataDxfId="32"/>
    <tableColumn id="3" xr3:uid="{00000000-0010-0000-0B00-000003000000}" name="Wattage" dataDxfId="31"/>
    <tableColumn id="4" xr3:uid="{00000000-0010-0000-0B00-000004000000}" name="Cs" dataDxfId="30"/>
    <tableColumn id="5" xr3:uid="{00000000-0010-0000-0B00-000005000000}" name="Cl" dataDxfId="29"/>
    <tableColumn id="6" xr3:uid="{00000000-0010-0000-0B00-000006000000}" name="CLF" dataDxfId="28"/>
    <tableColumn id="7" xr3:uid="{00000000-0010-0000-0B00-000007000000}" name="Qs (W)" dataDxfId="27">
      <calculatedColumnFormula>C94*D94*F94</calculatedColumnFormula>
    </tableColumn>
    <tableColumn id="8" xr3:uid="{00000000-0010-0000-0B00-000008000000}" name="Qw (W)" dataDxfId="26">
      <calculatedColumnFormula>E94*C94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3:H45" totalsRowShown="0" headerRowDxfId="25" headerRowBorderDxfId="24" tableBorderDxfId="23" totalsRowBorderDxfId="22">
  <tableColumns count="8">
    <tableColumn id="1" xr3:uid="{00000000-0010-0000-0C00-000001000000}" name="SPACE" dataDxfId="21"/>
    <tableColumn id="2" xr3:uid="{00000000-0010-0000-0C00-000002000000}" name="U" dataDxfId="20"/>
    <tableColumn id="3" xr3:uid="{00000000-0010-0000-0C00-000003000000}" name="Area (m2)" dataDxfId="19"/>
    <tableColumn id="4" xr3:uid="{00000000-0010-0000-0C00-000004000000}" name="CLTDmax" dataDxfId="18"/>
    <tableColumn id="5" xr3:uid="{00000000-0010-0000-0C00-000005000000}" name="Ti" dataDxfId="17"/>
    <tableColumn id="6" xr3:uid="{00000000-0010-0000-0C00-000006000000}" name="Tave" dataDxfId="16"/>
    <tableColumn id="7" xr3:uid="{00000000-0010-0000-0C00-000007000000}" name="CLTDadj" dataDxfId="15">
      <calculatedColumnFormula>((D4*0.75)+(25-E4)+(F4-29))*0.75</calculatedColumnFormula>
    </tableColumn>
    <tableColumn id="8" xr3:uid="{00000000-0010-0000-0C00-000008000000}" name="Q(W)" dataDxfId="14">
      <calculatedColumnFormula>B4*C4*G4</calculatedColumnFormula>
    </tableColumn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28888AD-FAC4-4746-BE8F-8D913DF32DCA}" name="Table14" displayName="Table14" ref="A2:G127" totalsRowShown="0" headerRowDxfId="3" headerRowBorderDxfId="12" tableBorderDxfId="13" totalsRowBorderDxfId="11">
  <tableColumns count="7">
    <tableColumn id="1" xr3:uid="{4E1DC0C9-598E-4994-AFE8-B00879D35919}" name="Space" dataDxfId="10"/>
    <tableColumn id="2" xr3:uid="{71CBC0BB-288C-4671-ABD5-0DF85B6DCF16}" name="Spaces" dataDxfId="9"/>
    <tableColumn id="3" xr3:uid="{7D94CF3A-C813-4FB1-BAF7-2398EC8F7EAF}" name="U" dataDxfId="8"/>
    <tableColumn id="4" xr3:uid="{1A9AD3AF-56A6-477B-A341-CDA4879B377B}" name="A" dataDxfId="7">
      <calculatedColumnFormula>L3-K3-J3</calculatedColumnFormula>
    </tableColumn>
    <tableColumn id="5" xr3:uid="{723123A9-A1C8-464B-8910-806DBD7925B7}" name="Ti" dataDxfId="6"/>
    <tableColumn id="6" xr3:uid="{78FF601C-F441-410C-A0B2-028F9D3958AA}" name="Ti2" dataDxfId="5"/>
    <tableColumn id="7" xr3:uid="{3AEEAE33-6A48-4268-9273-8967C5C197D7}" name="Q" dataDxfId="4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8:K130" totalsRowShown="0" headerRowDxfId="177" headerRowBorderDxfId="176" tableBorderDxfId="175" totalsRowBorderDxfId="174">
  <tableColumns count="11">
    <tableColumn id="1" xr3:uid="{00000000-0010-0000-0100-000001000000}" name="Space" dataDxfId="173"/>
    <tableColumn id="2" xr3:uid="{00000000-0010-0000-0100-000002000000}" name="Orientation" dataDxfId="172"/>
    <tableColumn id="3" xr3:uid="{00000000-0010-0000-0100-000003000000}" name="U" dataDxfId="171"/>
    <tableColumn id="4" xr3:uid="{00000000-0010-0000-0100-000004000000}" name="A(m^2)" dataDxfId="170">
      <calculatedColumnFormula>(References!C41*4)-(References!B41*1)-(References!A41*2)</calculatedColumnFormula>
    </tableColumn>
    <tableColumn id="5" xr3:uid="{00000000-0010-0000-0100-000005000000}" name="CLTDsel" dataDxfId="169">
      <calculatedColumnFormula>_xlfn.IFS(B89="E",25,B89="N",13,B89="W",33,B89="S",22)</calculatedColumnFormula>
    </tableColumn>
    <tableColumn id="6" xr3:uid="{00000000-0010-0000-0100-000006000000}" name="LM" dataDxfId="168">
      <calculatedColumnFormula>_xlfn.IFS(B89="E",-0.55,B89="N",2.22,B89="W",-0.55,B89="S",-3.88)</calculatedColumnFormula>
    </tableColumn>
    <tableColumn id="7" xr3:uid="{00000000-0010-0000-0100-000007000000}" name="k" dataDxfId="167"/>
    <tableColumn id="8" xr3:uid="{00000000-0010-0000-0100-000008000000}" name="Ti" dataDxfId="166"/>
    <tableColumn id="9" xr3:uid="{00000000-0010-0000-0100-000009000000}" name="Tave" dataDxfId="165">
      <calculatedColumnFormula>(References!T$4)-(References!T$3/2)</calculatedColumnFormula>
    </tableColumn>
    <tableColumn id="10" xr3:uid="{00000000-0010-0000-0100-00000A000000}" name="CLTD adj" dataDxfId="164">
      <calculatedColumnFormula>(E89+F89)*G89+(25-H89)+(I89-29)</calculatedColumnFormula>
    </tableColumn>
    <tableColumn id="11" xr3:uid="{00000000-0010-0000-0100-00000B000000}" name="Q(W)" dataDxfId="163">
      <calculatedColumnFormula>C89*D89*E89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41:K84" totalsRowShown="0" headerRowDxfId="162" headerRowBorderDxfId="161" tableBorderDxfId="160" totalsRowBorderDxfId="159">
  <tableColumns count="11">
    <tableColumn id="1" xr3:uid="{00000000-0010-0000-0200-000001000000}" name="Space" dataDxfId="158"/>
    <tableColumn id="2" xr3:uid="{00000000-0010-0000-0200-000002000000}" name="Orientation" dataDxfId="157"/>
    <tableColumn id="3" xr3:uid="{00000000-0010-0000-0200-000003000000}" name="U" dataDxfId="156"/>
    <tableColumn id="4" xr3:uid="{00000000-0010-0000-0200-000004000000}" name="A(m^2)" dataDxfId="155"/>
    <tableColumn id="5" xr3:uid="{00000000-0010-0000-0200-000005000000}" name="CLTDsel" dataDxfId="154"/>
    <tableColumn id="6" xr3:uid="{00000000-0010-0000-0200-000006000000}" name="LM" dataDxfId="153"/>
    <tableColumn id="7" xr3:uid="{00000000-0010-0000-0200-000007000000}" name="k" dataDxfId="152"/>
    <tableColumn id="8" xr3:uid="{00000000-0010-0000-0200-000008000000}" name="Ti" dataDxfId="151"/>
    <tableColumn id="9" xr3:uid="{00000000-0010-0000-0200-000009000000}" name="Tave" dataDxfId="150"/>
    <tableColumn id="10" xr3:uid="{00000000-0010-0000-0200-00000A000000}" name="CLTD adj" dataDxfId="149">
      <calculatedColumnFormula>(E42+F42)*G42+(25-H42)+(I42-29)</calculatedColumnFormula>
    </tableColumn>
    <tableColumn id="11" xr3:uid="{00000000-0010-0000-0200-00000B000000}" name="Q(W)" dataDxfId="148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K33" totalsRowShown="0" headerRowDxfId="147" headerRowBorderDxfId="146" tableBorderDxfId="145" totalsRowBorderDxfId="144">
  <tableColumns count="11">
    <tableColumn id="1" xr3:uid="{00000000-0010-0000-0300-000001000000}" name="Space" dataDxfId="143"/>
    <tableColumn id="2" xr3:uid="{00000000-0010-0000-0300-000002000000}" name="Orientation" dataDxfId="142"/>
    <tableColumn id="3" xr3:uid="{00000000-0010-0000-0300-000003000000}" name="U" dataDxfId="141"/>
    <tableColumn id="4" xr3:uid="{00000000-0010-0000-0300-000004000000}" name="To" dataDxfId="140"/>
    <tableColumn id="5" xr3:uid="{00000000-0010-0000-0300-000005000000}" name="Ti" dataDxfId="139"/>
    <tableColumn id="6" xr3:uid="{00000000-0010-0000-0300-000006000000}" name="A(m^2)" dataDxfId="138">
      <calculatedColumnFormula>References!E5*References!F5</calculatedColumnFormula>
    </tableColumn>
    <tableColumn id="7" xr3:uid="{00000000-0010-0000-0300-000007000000}" name="SHGF" dataDxfId="137">
      <calculatedColumnFormula>_xlfn.IFS(B4="E",685,B4="N",120,B4="W",685,B4="S",230)</calculatedColumnFormula>
    </tableColumn>
    <tableColumn id="8" xr3:uid="{00000000-0010-0000-0300-000008000000}" name="SCL" dataDxfId="136">
      <calculatedColumnFormula>_xlfn.IFS(B4="E",0.8,B4="N",0.91,B4="W",0.82,B4="S",0.83)</calculatedColumnFormula>
    </tableColumn>
    <tableColumn id="9" xr3:uid="{00000000-0010-0000-0300-000009000000}" name="SC" dataDxfId="135"/>
    <tableColumn id="10" xr3:uid="{00000000-0010-0000-0300-00000A000000}" name="Qsg (W)" dataDxfId="134">
      <calculatedColumnFormula>G4*H4*F4*I4</calculatedColumnFormula>
    </tableColumn>
    <tableColumn id="11" xr3:uid="{00000000-0010-0000-0300-00000B000000}" name="Qth (W)" dataDxfId="133">
      <calculatedColumnFormula>(C4*F4)*(D4-E4)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72:K99" totalsRowShown="0" headerRowDxfId="132" dataDxfId="130" headerRowBorderDxfId="131" tableBorderDxfId="129" totalsRowBorderDxfId="128">
  <tableColumns count="11">
    <tableColumn id="1" xr3:uid="{00000000-0010-0000-0400-000001000000}" name="Space" dataDxfId="127"/>
    <tableColumn id="2" xr3:uid="{00000000-0010-0000-0400-000002000000}" name="Orientation" dataDxfId="126"/>
    <tableColumn id="3" xr3:uid="{00000000-0010-0000-0400-000003000000}" name="U" dataDxfId="125"/>
    <tableColumn id="4" xr3:uid="{00000000-0010-0000-0400-000004000000}" name="To" dataDxfId="124"/>
    <tableColumn id="5" xr3:uid="{00000000-0010-0000-0400-000005000000}" name="Ti" dataDxfId="123"/>
    <tableColumn id="6" xr3:uid="{00000000-0010-0000-0400-000006000000}" name="A(m^2)" dataDxfId="122">
      <calculatedColumnFormula>References!E41*References!F41</calculatedColumnFormula>
    </tableColumn>
    <tableColumn id="7" xr3:uid="{00000000-0010-0000-0400-000007000000}" name="SHGF" dataDxfId="121">
      <calculatedColumnFormula>_xlfn.IFS(B73="E",685,B73="N",120,B73="W",685,B73="S",230)</calculatedColumnFormula>
    </tableColumn>
    <tableColumn id="8" xr3:uid="{00000000-0010-0000-0400-000008000000}" name="SCL" dataDxfId="120">
      <calculatedColumnFormula>_xlfn.IFS(B73="E",0.8,B73="N",0.91,B73="W",0.82,B73="S",0.83)</calculatedColumnFormula>
    </tableColumn>
    <tableColumn id="9" xr3:uid="{00000000-0010-0000-0400-000009000000}" name="SC" dataDxfId="119"/>
    <tableColumn id="10" xr3:uid="{00000000-0010-0000-0400-00000A000000}" name="Qsg (W)" dataDxfId="118">
      <calculatedColumnFormula>G73*H73*F73*I73</calculatedColumnFormula>
    </tableColumn>
    <tableColumn id="11" xr3:uid="{00000000-0010-0000-0400-00000B000000}" name="Qth (W)" dataDxfId="117">
      <calculatedColumnFormula>(C73*F73)*(D73-E73)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38:K67" totalsRowShown="0" headerRowDxfId="116" headerRowBorderDxfId="115" tableBorderDxfId="114" totalsRowBorderDxfId="113">
  <tableColumns count="11">
    <tableColumn id="1" xr3:uid="{00000000-0010-0000-0500-000001000000}" name="Space" dataDxfId="112"/>
    <tableColumn id="2" xr3:uid="{00000000-0010-0000-0500-000002000000}" name="Orientation" dataDxfId="111"/>
    <tableColumn id="3" xr3:uid="{00000000-0010-0000-0500-000003000000}" name="U" dataDxfId="110"/>
    <tableColumn id="4" xr3:uid="{00000000-0010-0000-0500-000004000000}" name="To" dataDxfId="109"/>
    <tableColumn id="5" xr3:uid="{00000000-0010-0000-0500-000005000000}" name="Ti" dataDxfId="108"/>
    <tableColumn id="6" xr3:uid="{00000000-0010-0000-0500-000006000000}" name="A(m^2)" dataDxfId="107"/>
    <tableColumn id="7" xr3:uid="{00000000-0010-0000-0500-000007000000}" name="SHGF" dataDxfId="106">
      <calculatedColumnFormula>_xlfn.IFS(B39="N",120,B39="E",685,B39="S",230,B39="W",685)</calculatedColumnFormula>
    </tableColumn>
    <tableColumn id="8" xr3:uid="{00000000-0010-0000-0500-000008000000}" name="SCL" dataDxfId="105">
      <calculatedColumnFormula>_xlfn.IFS(B39="N",0.91,B39="E",0.8,B39="S",0.83,B39="W",0.82)</calculatedColumnFormula>
    </tableColumn>
    <tableColumn id="9" xr3:uid="{00000000-0010-0000-0500-000009000000}" name="SC" dataDxfId="104"/>
    <tableColumn id="10" xr3:uid="{00000000-0010-0000-0500-00000A000000}" name="Qsg (W)" dataDxfId="103">
      <calculatedColumnFormula>I39*H39*G39*F39</calculatedColumnFormula>
    </tableColumn>
    <tableColumn id="11" xr3:uid="{00000000-0010-0000-0500-00000B000000}" name="Qth (W)" dataDxfId="102">
      <calculatedColumnFormula>(C39*F39)*(D39-E39)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78:I158" totalsRowShown="0" headerRowDxfId="101" headerRowBorderDxfId="100" tableBorderDxfId="99" totalsRowBorderDxfId="98">
  <tableColumns count="9">
    <tableColumn id="1" xr3:uid="{00000000-0010-0000-0600-000001000000}" name="SPACE" dataDxfId="97"/>
    <tableColumn id="2" xr3:uid="{00000000-0010-0000-0600-000002000000}" name="Volume" dataDxfId="96">
      <calculatedColumnFormula>References!AB4*4</calculatedColumnFormula>
    </tableColumn>
    <tableColumn id="3" xr3:uid="{00000000-0010-0000-0600-000003000000}" name="L/s" dataDxfId="95">
      <calculatedColumnFormula>((0.15+0.01*3+0.007*(D79-E79))*B79)/3.6</calculatedColumnFormula>
    </tableColumn>
    <tableColumn id="4" xr3:uid="{00000000-0010-0000-0600-000004000000}" name="To" dataDxfId="94"/>
    <tableColumn id="5" xr3:uid="{00000000-0010-0000-0600-000005000000}" name="Ti" dataDxfId="93"/>
    <tableColumn id="6" xr3:uid="{00000000-0010-0000-0600-000006000000}" name="Wo" dataDxfId="92"/>
    <tableColumn id="7" xr3:uid="{00000000-0010-0000-0600-000007000000}" name="Wi" dataDxfId="91">
      <calculatedColumnFormula>_xlfn.IFS(E79=22.5,0.00848061,E79=22,0.00821976,E79=24,0.00929323)</calculatedColumnFormula>
    </tableColumn>
    <tableColumn id="8" xr3:uid="{00000000-0010-0000-0600-000008000000}" name="Qs (W)" dataDxfId="90">
      <calculatedColumnFormula>1.23*C79*(D79-E79)</calculatedColumnFormula>
    </tableColumn>
    <tableColumn id="9" xr3:uid="{00000000-0010-0000-0600-000009000000}" name="Ql (W)" dataDxfId="89">
      <calculatedColumnFormula>3000*C79*(F79-G79)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4" displayName="Table4" ref="A163:I233" totalsRowShown="0" headerRowDxfId="88" headerRowBorderDxfId="87" tableBorderDxfId="86" totalsRowBorderDxfId="85">
  <tableColumns count="9">
    <tableColumn id="1" xr3:uid="{00000000-0010-0000-0700-000001000000}" name="Space" dataDxfId="84"/>
    <tableColumn id="2" xr3:uid="{00000000-0010-0000-0700-000002000000}" name="Volume" dataDxfId="83">
      <calculatedColumnFormula>References!AE4*4</calculatedColumnFormula>
    </tableColumn>
    <tableColumn id="3" xr3:uid="{00000000-0010-0000-0700-000003000000}" name="L/s" dataDxfId="82">
      <calculatedColumnFormula>(References!AD4*B164)/3.6</calculatedColumnFormula>
    </tableColumn>
    <tableColumn id="4" xr3:uid="{00000000-0010-0000-0700-000004000000}" name="To" dataDxfId="81"/>
    <tableColumn id="5" xr3:uid="{00000000-0010-0000-0700-000005000000}" name="Ti" dataDxfId="80"/>
    <tableColumn id="6" xr3:uid="{00000000-0010-0000-0700-000006000000}" name="Wo" dataDxfId="79"/>
    <tableColumn id="7" xr3:uid="{00000000-0010-0000-0700-000007000000}" name="Wi" dataDxfId="78">
      <calculatedColumnFormula>_xlfn.IFS(E164=22.5,0.00848031,E164=24,0.009293235,E164=22,0.00821976)</calculatedColumnFormula>
    </tableColumn>
    <tableColumn id="8" xr3:uid="{00000000-0010-0000-0700-000008000000}" name="Qs" dataDxfId="77">
      <calculatedColumnFormula>1.232*(D164-E164)*C164</calculatedColumnFormula>
    </tableColumn>
    <tableColumn id="9" xr3:uid="{00000000-0010-0000-0700-000009000000}" name="Ql" dataDxfId="76">
      <calculatedColumnFormula>3000*C164*(F164-G164)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I73" totalsRowShown="0" headerRowDxfId="75" headerRowBorderDxfId="74" tableBorderDxfId="73" totalsRowBorderDxfId="72">
  <tableColumns count="9">
    <tableColumn id="1" xr3:uid="{00000000-0010-0000-0800-000001000000}" name="SPACE" dataDxfId="71"/>
    <tableColumn id="2" xr3:uid="{00000000-0010-0000-0800-000002000000}" name="Volume" dataDxfId="70">
      <calculatedColumnFormula>References!Z4*4</calculatedColumnFormula>
    </tableColumn>
    <tableColumn id="3" xr3:uid="{00000000-0010-0000-0800-000003000000}" name="L/s" dataDxfId="69">
      <calculatedColumnFormula>(References!Y4*B4)/3.6</calculatedColumnFormula>
    </tableColumn>
    <tableColumn id="4" xr3:uid="{00000000-0010-0000-0800-000004000000}" name="To" dataDxfId="68"/>
    <tableColumn id="5" xr3:uid="{00000000-0010-0000-0800-000005000000}" name="Ti" dataDxfId="67"/>
    <tableColumn id="6" xr3:uid="{00000000-0010-0000-0800-000006000000}" name="Wo" dataDxfId="66"/>
    <tableColumn id="7" xr3:uid="{00000000-0010-0000-0800-000007000000}" name="Wi" dataDxfId="65"/>
    <tableColumn id="8" xr3:uid="{00000000-0010-0000-0800-000008000000}" name="Qs (W)" dataDxfId="64">
      <calculatedColumnFormula>(1.232*(D4-E4)*C4)</calculatedColumnFormula>
    </tableColumn>
    <tableColumn id="9" xr3:uid="{00000000-0010-0000-0800-000009000000}" name="Ql (W)" dataDxfId="63">
      <calculatedColumnFormula>3000*C4*(F4-G4)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31"/>
  <sheetViews>
    <sheetView zoomScale="115" zoomScaleNormal="115" workbookViewId="0">
      <selection activeCell="H13" sqref="H13"/>
    </sheetView>
  </sheetViews>
  <sheetFormatPr defaultRowHeight="14.4" x14ac:dyDescent="0.3"/>
  <cols>
    <col min="1" max="1" width="25.6640625" customWidth="1"/>
    <col min="2" max="2" width="12.44140625" customWidth="1"/>
    <col min="4" max="4" width="9.109375" customWidth="1"/>
    <col min="5" max="5" width="10.33203125" customWidth="1"/>
    <col min="10" max="10" width="15.33203125" customWidth="1"/>
    <col min="13" max="13" width="12.109375" customWidth="1"/>
    <col min="14" max="14" width="15.88671875" customWidth="1"/>
    <col min="15" max="15" width="12.33203125" customWidth="1"/>
    <col min="17" max="17" width="11.33203125" customWidth="1"/>
  </cols>
  <sheetData>
    <row r="1" spans="1:18" x14ac:dyDescent="0.3">
      <c r="A1" s="87" t="s">
        <v>11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8" ht="24" thickBot="1" x14ac:dyDescent="0.5">
      <c r="A2" s="85" t="s">
        <v>161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8" ht="15" thickBot="1" x14ac:dyDescent="0.35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O3" s="5"/>
    </row>
    <row r="4" spans="1:18" ht="15" thickBot="1" x14ac:dyDescent="0.35">
      <c r="A4" s="8" t="s">
        <v>55</v>
      </c>
      <c r="B4" s="6" t="s">
        <v>47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</row>
    <row r="5" spans="1:18" ht="15" thickBot="1" x14ac:dyDescent="0.35">
      <c r="A5" s="8" t="s">
        <v>55</v>
      </c>
      <c r="B5" s="6" t="s">
        <v>48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</row>
    <row r="6" spans="1:18" ht="15" thickBot="1" x14ac:dyDescent="0.35">
      <c r="A6" s="9" t="s">
        <v>56</v>
      </c>
      <c r="B6" s="6" t="s">
        <v>48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Q6" s="3"/>
      <c r="R6" s="5"/>
    </row>
    <row r="7" spans="1:18" ht="15" thickBot="1" x14ac:dyDescent="0.35">
      <c r="A7" s="9" t="s">
        <v>57</v>
      </c>
      <c r="B7" s="6" t="s">
        <v>48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Q7" s="3"/>
      <c r="R7" s="3"/>
    </row>
    <row r="8" spans="1:18" ht="15" thickBot="1" x14ac:dyDescent="0.35">
      <c r="A8" s="8" t="s">
        <v>58</v>
      </c>
      <c r="B8" s="6" t="s">
        <v>48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</row>
    <row r="9" spans="1:18" ht="15" thickBot="1" x14ac:dyDescent="0.35">
      <c r="A9" s="8" t="s">
        <v>59</v>
      </c>
      <c r="B9" s="6" t="s">
        <v>48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</row>
    <row r="10" spans="1:18" ht="15" thickBot="1" x14ac:dyDescent="0.35">
      <c r="A10" s="10" t="s">
        <v>27</v>
      </c>
      <c r="B10" s="6" t="s">
        <v>48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</row>
    <row r="11" spans="1:18" ht="15" thickBot="1" x14ac:dyDescent="0.35">
      <c r="A11" s="8" t="s">
        <v>28</v>
      </c>
      <c r="B11" s="6" t="s">
        <v>48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</row>
    <row r="12" spans="1:18" ht="15" thickBot="1" x14ac:dyDescent="0.35">
      <c r="A12" s="8" t="s">
        <v>28</v>
      </c>
      <c r="B12" s="6" t="s">
        <v>49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</row>
    <row r="13" spans="1:18" ht="15" thickBot="1" x14ac:dyDescent="0.35">
      <c r="A13" s="11" t="s">
        <v>26</v>
      </c>
      <c r="B13" s="6" t="s">
        <v>48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</row>
    <row r="14" spans="1:18" ht="15" thickBot="1" x14ac:dyDescent="0.35">
      <c r="A14" s="10" t="s">
        <v>41</v>
      </c>
      <c r="B14" s="6" t="s">
        <v>47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</row>
    <row r="15" spans="1:18" ht="15" thickBot="1" x14ac:dyDescent="0.35">
      <c r="A15" s="12" t="s">
        <v>40</v>
      </c>
      <c r="B15" s="6" t="s">
        <v>49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</row>
    <row r="16" spans="1:18" ht="15" thickBot="1" x14ac:dyDescent="0.35">
      <c r="A16" s="13" t="s">
        <v>29</v>
      </c>
      <c r="B16" s="6" t="s">
        <v>49</v>
      </c>
      <c r="C16" s="6">
        <v>2.7143999999999999</v>
      </c>
      <c r="D16" s="6">
        <f>15.75*4-(References!B17)-(2*2.5*1)</f>
        <v>49.85</v>
      </c>
      <c r="E16" s="6">
        <v>33</v>
      </c>
      <c r="F16" s="6">
        <v>-0.55000000000000004</v>
      </c>
      <c r="G16" s="6">
        <v>0.65</v>
      </c>
      <c r="H16" s="6">
        <v>22.5</v>
      </c>
      <c r="I16" s="6">
        <f>(References!T$4)-(References!T$3/2)</f>
        <v>30.45</v>
      </c>
      <c r="J16" s="6">
        <f t="shared" si="0"/>
        <v>25.0425</v>
      </c>
      <c r="K16" s="15">
        <f t="shared" si="1"/>
        <v>4465.3237199999994</v>
      </c>
    </row>
    <row r="17" spans="1:11" ht="15" thickBot="1" x14ac:dyDescent="0.35">
      <c r="A17" s="10" t="s">
        <v>39</v>
      </c>
      <c r="B17" s="6" t="s">
        <v>47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22.5</v>
      </c>
      <c r="I17" s="6">
        <f>(References!T$4)-(References!T$3/2)</f>
        <v>30.45</v>
      </c>
      <c r="J17" s="6">
        <f t="shared" si="0"/>
        <v>19.842499999999998</v>
      </c>
      <c r="K17" s="15">
        <f t="shared" si="1"/>
        <v>1465.7760000000001</v>
      </c>
    </row>
    <row r="18" spans="1:11" ht="15" thickBot="1" x14ac:dyDescent="0.35">
      <c r="A18" s="13" t="s">
        <v>30</v>
      </c>
      <c r="B18" s="6" t="s">
        <v>47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</row>
    <row r="19" spans="1:11" ht="15" thickBot="1" x14ac:dyDescent="0.35">
      <c r="A19" s="10" t="s">
        <v>38</v>
      </c>
      <c r="B19" s="6" t="s">
        <v>47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</row>
    <row r="20" spans="1:11" ht="15" thickBot="1" x14ac:dyDescent="0.35">
      <c r="A20" s="10" t="s">
        <v>37</v>
      </c>
      <c r="B20" s="6" t="s">
        <v>47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</row>
    <row r="21" spans="1:11" ht="15" thickBot="1" x14ac:dyDescent="0.35">
      <c r="A21" s="10" t="s">
        <v>36</v>
      </c>
      <c r="B21" s="7" t="s">
        <v>48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</row>
    <row r="22" spans="1:11" ht="15" thickBot="1" x14ac:dyDescent="0.35">
      <c r="A22" s="10" t="s">
        <v>36</v>
      </c>
      <c r="B22" s="6" t="s">
        <v>49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</row>
    <row r="23" spans="1:11" ht="15" thickBot="1" x14ac:dyDescent="0.35">
      <c r="A23" s="10" t="s">
        <v>107</v>
      </c>
      <c r="B23" s="7" t="s">
        <v>48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</row>
    <row r="24" spans="1:11" ht="15" thickBot="1" x14ac:dyDescent="0.35">
      <c r="A24" s="10" t="s">
        <v>107</v>
      </c>
      <c r="B24" s="6" t="s">
        <v>49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</row>
    <row r="25" spans="1:11" ht="15" thickBot="1" x14ac:dyDescent="0.35">
      <c r="A25" s="10" t="s">
        <v>35</v>
      </c>
      <c r="B25" s="6" t="s">
        <v>50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</row>
    <row r="26" spans="1:11" ht="15" thickBot="1" x14ac:dyDescent="0.35">
      <c r="A26" s="10" t="s">
        <v>35</v>
      </c>
      <c r="B26" s="7" t="s">
        <v>47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</row>
    <row r="27" spans="1:11" ht="15" thickBot="1" x14ac:dyDescent="0.35">
      <c r="A27" s="10" t="s">
        <v>34</v>
      </c>
      <c r="B27" s="7" t="s">
        <v>50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</row>
    <row r="28" spans="1:11" ht="15" thickBot="1" x14ac:dyDescent="0.35">
      <c r="A28" s="10" t="s">
        <v>52</v>
      </c>
      <c r="B28" s="7" t="s">
        <v>50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</row>
    <row r="29" spans="1:11" ht="15" thickBot="1" x14ac:dyDescent="0.35">
      <c r="A29" s="10" t="s">
        <v>33</v>
      </c>
      <c r="B29" s="7" t="s">
        <v>50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</row>
    <row r="30" spans="1:11" ht="15" thickBot="1" x14ac:dyDescent="0.35">
      <c r="A30" s="10" t="s">
        <v>32</v>
      </c>
      <c r="B30" s="7" t="s">
        <v>49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</row>
    <row r="31" spans="1:11" ht="15" thickBot="1" x14ac:dyDescent="0.35">
      <c r="A31" s="10" t="s">
        <v>32</v>
      </c>
      <c r="B31" s="7" t="s">
        <v>50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</row>
    <row r="32" spans="1:11" ht="15" thickBot="1" x14ac:dyDescent="0.35">
      <c r="A32" s="11" t="s">
        <v>26</v>
      </c>
      <c r="B32" s="7" t="s">
        <v>49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</row>
    <row r="33" spans="1:14" ht="15" thickBot="1" x14ac:dyDescent="0.35">
      <c r="A33" s="14" t="s">
        <v>26</v>
      </c>
      <c r="B33" s="7" t="s">
        <v>50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</row>
    <row r="34" spans="1:14" ht="15" thickBot="1" x14ac:dyDescent="0.35">
      <c r="A34" s="10" t="s">
        <v>31</v>
      </c>
      <c r="B34" s="7" t="s">
        <v>49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</row>
    <row r="35" spans="1:14" ht="15" thickBot="1" x14ac:dyDescent="0.35">
      <c r="A35" s="10" t="s">
        <v>31</v>
      </c>
      <c r="B35" s="7" t="s">
        <v>47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</row>
    <row r="36" spans="1:14" ht="15" thickBot="1" x14ac:dyDescent="0.35">
      <c r="A36" s="10" t="s">
        <v>31</v>
      </c>
      <c r="B36" s="7" t="s">
        <v>50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</row>
    <row r="37" spans="1:14" ht="15" thickBot="1" x14ac:dyDescent="0.35">
      <c r="A37" s="19" t="s">
        <v>51</v>
      </c>
      <c r="B37" s="20" t="s">
        <v>47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</row>
    <row r="38" spans="1:14" ht="15.6" thickTop="1" thickBot="1" x14ac:dyDescent="0.35">
      <c r="J38" s="45" t="s">
        <v>43</v>
      </c>
      <c r="K38" s="45">
        <f>SUM(K4:K37)</f>
        <v>39227.857343999996</v>
      </c>
    </row>
    <row r="39" spans="1:14" ht="15" thickTop="1" x14ac:dyDescent="0.3"/>
    <row r="40" spans="1:14" ht="24" thickBot="1" x14ac:dyDescent="0.5">
      <c r="A40" s="85" t="s">
        <v>42</v>
      </c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4" ht="15" thickBot="1" x14ac:dyDescent="0.35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" thickBot="1" x14ac:dyDescent="0.35">
      <c r="A42" s="9" t="s">
        <v>84</v>
      </c>
      <c r="B42" s="6" t="s">
        <v>47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" thickBot="1" x14ac:dyDescent="0.35">
      <c r="A43" s="9" t="s">
        <v>85</v>
      </c>
      <c r="B43" s="6" t="s">
        <v>48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" thickBot="1" x14ac:dyDescent="0.35">
      <c r="A44" s="8" t="s">
        <v>145</v>
      </c>
      <c r="B44" s="6" t="s">
        <v>48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" thickBot="1" x14ac:dyDescent="0.35">
      <c r="A45" s="9" t="s">
        <v>63</v>
      </c>
      <c r="B45" s="6" t="s">
        <v>48</v>
      </c>
      <c r="C45" s="6">
        <v>2.7143999999999999</v>
      </c>
      <c r="D45" s="6">
        <v>43.2</v>
      </c>
      <c r="E45" s="6">
        <v>13</v>
      </c>
      <c r="F45" s="6">
        <v>2.2200000000000002</v>
      </c>
      <c r="G45" s="6">
        <v>0.65</v>
      </c>
      <c r="H45" s="6">
        <v>22.5</v>
      </c>
      <c r="I45" s="6">
        <v>30.45</v>
      </c>
      <c r="J45" s="6">
        <f t="shared" si="4"/>
        <v>13.843</v>
      </c>
      <c r="K45" s="15">
        <f t="shared" si="5"/>
        <v>1623.2589734399999</v>
      </c>
    </row>
    <row r="46" spans="1:14" ht="15" thickBot="1" x14ac:dyDescent="0.35">
      <c r="A46" s="9" t="s">
        <v>64</v>
      </c>
      <c r="B46" s="6" t="s">
        <v>49</v>
      </c>
      <c r="C46" s="6">
        <v>2.7143999999999999</v>
      </c>
      <c r="D46" s="6">
        <v>41.2</v>
      </c>
      <c r="E46" s="6">
        <v>33</v>
      </c>
      <c r="F46" s="6">
        <v>-0.55000000000000004</v>
      </c>
      <c r="G46" s="6">
        <v>0.65</v>
      </c>
      <c r="H46" s="6">
        <v>22.5</v>
      </c>
      <c r="I46" s="6">
        <v>30.45</v>
      </c>
      <c r="J46" s="6">
        <f t="shared" si="4"/>
        <v>25.0425</v>
      </c>
      <c r="K46" s="15">
        <f t="shared" si="5"/>
        <v>2800.5849143999999</v>
      </c>
    </row>
    <row r="47" spans="1:14" ht="15" thickBot="1" x14ac:dyDescent="0.35">
      <c r="A47" s="8" t="s">
        <v>146</v>
      </c>
      <c r="B47" s="6" t="s">
        <v>48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" thickBot="1" x14ac:dyDescent="0.35">
      <c r="A48" s="8" t="s">
        <v>148</v>
      </c>
      <c r="B48" s="6" t="s">
        <v>48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" thickBot="1" x14ac:dyDescent="0.35">
      <c r="A49" s="8" t="s">
        <v>147</v>
      </c>
      <c r="B49" s="6" t="s">
        <v>49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" thickBot="1" x14ac:dyDescent="0.35">
      <c r="A50" s="8" t="s">
        <v>127</v>
      </c>
      <c r="B50" s="6" t="s">
        <v>49</v>
      </c>
      <c r="C50" s="6">
        <v>2.7143999999999999</v>
      </c>
      <c r="D50" s="6">
        <v>9.6999999999999993</v>
      </c>
      <c r="E50" s="6">
        <v>33</v>
      </c>
      <c r="F50" s="6">
        <v>-0.55000000000000004</v>
      </c>
      <c r="G50" s="6">
        <v>0.65</v>
      </c>
      <c r="H50" s="6">
        <v>22.5</v>
      </c>
      <c r="I50" s="6">
        <v>30.45</v>
      </c>
      <c r="J50" s="6">
        <f t="shared" si="4"/>
        <v>25.0425</v>
      </c>
      <c r="K50" s="15">
        <f t="shared" si="5"/>
        <v>659.36101139999994</v>
      </c>
    </row>
    <row r="51" spans="1:13" ht="15" thickBot="1" x14ac:dyDescent="0.35">
      <c r="A51" s="9" t="s">
        <v>149</v>
      </c>
      <c r="B51" s="6" t="s">
        <v>49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" thickBot="1" x14ac:dyDescent="0.35">
      <c r="A52" s="9" t="s">
        <v>150</v>
      </c>
      <c r="B52" s="6" t="s">
        <v>50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" thickBot="1" x14ac:dyDescent="0.35">
      <c r="A53" s="9" t="s">
        <v>151</v>
      </c>
      <c r="B53" s="6" t="s">
        <v>49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</row>
    <row r="54" spans="1:13" ht="15" thickBot="1" x14ac:dyDescent="0.35">
      <c r="A54" s="8" t="s">
        <v>71</v>
      </c>
      <c r="B54" s="6" t="s">
        <v>49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" thickBot="1" x14ac:dyDescent="0.35">
      <c r="A55" s="8" t="s">
        <v>71</v>
      </c>
      <c r="B55" s="6" t="s">
        <v>49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" thickBot="1" x14ac:dyDescent="0.35">
      <c r="A56" s="8" t="s">
        <v>71</v>
      </c>
      <c r="B56" s="6" t="s">
        <v>49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" thickBot="1" x14ac:dyDescent="0.35">
      <c r="A57" s="8" t="s">
        <v>71</v>
      </c>
      <c r="B57" s="6" t="s">
        <v>49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" thickBot="1" x14ac:dyDescent="0.35">
      <c r="A58" s="8" t="s">
        <v>128</v>
      </c>
      <c r="B58" s="6" t="s">
        <v>49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</row>
    <row r="59" spans="1:13" ht="15" thickBot="1" x14ac:dyDescent="0.35">
      <c r="A59" s="8" t="s">
        <v>152</v>
      </c>
      <c r="B59" s="6" t="s">
        <v>48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" thickBot="1" x14ac:dyDescent="0.35">
      <c r="A60" s="8" t="s">
        <v>153</v>
      </c>
      <c r="B60" s="6" t="s">
        <v>49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/>
    </row>
    <row r="61" spans="1:13" ht="15" thickBot="1" x14ac:dyDescent="0.35">
      <c r="A61" s="9" t="s">
        <v>155</v>
      </c>
      <c r="B61" s="6" t="s">
        <v>49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" thickBot="1" x14ac:dyDescent="0.35">
      <c r="A62" s="9" t="s">
        <v>154</v>
      </c>
      <c r="B62" s="6" t="s">
        <v>50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</row>
    <row r="63" spans="1:13" ht="15" thickBot="1" x14ac:dyDescent="0.35">
      <c r="A63" s="9" t="s">
        <v>156</v>
      </c>
      <c r="B63" s="6" t="s">
        <v>50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</row>
    <row r="64" spans="1:13" ht="15" thickBot="1" x14ac:dyDescent="0.35">
      <c r="A64" s="8" t="s">
        <v>131</v>
      </c>
      <c r="B64" s="6" t="s">
        <v>50</v>
      </c>
      <c r="C64" s="6">
        <v>2.7143999999999999</v>
      </c>
      <c r="D64" s="6">
        <v>19.2</v>
      </c>
      <c r="E64" s="6">
        <v>22</v>
      </c>
      <c r="F64" s="6">
        <v>-3.88</v>
      </c>
      <c r="G64" s="6">
        <v>0.65</v>
      </c>
      <c r="H64" s="6">
        <v>22.5</v>
      </c>
      <c r="I64" s="6">
        <v>30.45</v>
      </c>
      <c r="J64" s="6">
        <f t="shared" si="4"/>
        <v>15.728</v>
      </c>
      <c r="K64" s="15">
        <f t="shared" si="5"/>
        <v>819.68799743999989</v>
      </c>
    </row>
    <row r="65" spans="1:13" ht="15" thickBot="1" x14ac:dyDescent="0.35">
      <c r="A65" s="8" t="s">
        <v>132</v>
      </c>
      <c r="B65" s="6" t="s">
        <v>50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/>
    </row>
    <row r="66" spans="1:13" ht="15" thickBot="1" x14ac:dyDescent="0.35">
      <c r="A66" s="8" t="s">
        <v>133</v>
      </c>
      <c r="B66" s="6" t="s">
        <v>50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" thickBot="1" x14ac:dyDescent="0.35">
      <c r="A67" s="8" t="s">
        <v>134</v>
      </c>
      <c r="B67" s="6" t="s">
        <v>50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" thickBot="1" x14ac:dyDescent="0.35">
      <c r="A68" s="8" t="s">
        <v>135</v>
      </c>
      <c r="B68" s="6" t="s">
        <v>50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" thickBot="1" x14ac:dyDescent="0.35">
      <c r="A69" s="8" t="s">
        <v>136</v>
      </c>
      <c r="B69" s="6" t="s">
        <v>50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</row>
    <row r="70" spans="1:13" ht="15" thickBot="1" x14ac:dyDescent="0.35">
      <c r="A70" s="8" t="s">
        <v>137</v>
      </c>
      <c r="B70" s="6" t="s">
        <v>50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</row>
    <row r="71" spans="1:13" ht="15" thickBot="1" x14ac:dyDescent="0.35">
      <c r="A71" s="8" t="s">
        <v>138</v>
      </c>
      <c r="B71" s="6" t="s">
        <v>50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</row>
    <row r="72" spans="1:13" ht="15" thickBot="1" x14ac:dyDescent="0.35">
      <c r="A72" s="8" t="s">
        <v>139</v>
      </c>
      <c r="B72" s="6" t="s">
        <v>50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" thickBot="1" x14ac:dyDescent="0.35">
      <c r="A73" s="9" t="s">
        <v>157</v>
      </c>
      <c r="B73" s="6" t="s">
        <v>50</v>
      </c>
      <c r="C73" s="6">
        <v>2.7143999999999999</v>
      </c>
      <c r="D73" s="6">
        <v>6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264.29569920000006</v>
      </c>
    </row>
    <row r="74" spans="1:13" ht="15" thickBot="1" x14ac:dyDescent="0.35">
      <c r="A74" s="9" t="s">
        <v>158</v>
      </c>
      <c r="B74" s="6" t="s">
        <v>47</v>
      </c>
      <c r="C74" s="6">
        <v>2.7143999999999999</v>
      </c>
      <c r="D74" s="6">
        <v>6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331.30609199999998</v>
      </c>
    </row>
    <row r="75" spans="1:13" ht="15" thickBot="1" x14ac:dyDescent="0.35">
      <c r="A75" s="35" t="s">
        <v>66</v>
      </c>
      <c r="B75" s="6" t="s">
        <v>47</v>
      </c>
      <c r="C75" s="6">
        <v>2.7143999999999999</v>
      </c>
      <c r="D75" s="6">
        <v>8.6</v>
      </c>
      <c r="E75" s="6">
        <v>25</v>
      </c>
      <c r="F75" s="6">
        <v>-0.55000000000000004</v>
      </c>
      <c r="G75" s="6">
        <v>0.65</v>
      </c>
      <c r="H75" s="6">
        <v>22.5</v>
      </c>
      <c r="I75" s="6">
        <v>30.45</v>
      </c>
      <c r="J75" s="6">
        <f t="shared" si="4"/>
        <v>19.842499999999998</v>
      </c>
      <c r="K75" s="15">
        <f t="shared" si="5"/>
        <v>463.20014519999995</v>
      </c>
      <c r="M75" s="4"/>
    </row>
    <row r="76" spans="1:13" ht="15" thickBot="1" x14ac:dyDescent="0.35">
      <c r="A76" s="9" t="s">
        <v>160</v>
      </c>
      <c r="B76" s="6" t="s">
        <v>47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" thickBot="1" x14ac:dyDescent="0.35">
      <c r="A77" s="9" t="s">
        <v>159</v>
      </c>
      <c r="B77" s="6" t="s">
        <v>48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22.5</v>
      </c>
      <c r="I77" s="6">
        <v>30.45</v>
      </c>
      <c r="J77" s="6">
        <f t="shared" si="4"/>
        <v>13.843</v>
      </c>
      <c r="K77" s="15">
        <f t="shared" si="5"/>
        <v>353.20912848</v>
      </c>
    </row>
    <row r="78" spans="1:13" ht="15" thickBot="1" x14ac:dyDescent="0.35">
      <c r="A78" s="8" t="s">
        <v>141</v>
      </c>
      <c r="B78" s="6" t="s">
        <v>47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" thickBot="1" x14ac:dyDescent="0.35">
      <c r="A79" s="8" t="s">
        <v>142</v>
      </c>
      <c r="B79" s="6" t="s">
        <v>47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/>
    </row>
    <row r="80" spans="1:13" ht="15" thickBot="1" x14ac:dyDescent="0.35">
      <c r="A80" s="8" t="s">
        <v>143</v>
      </c>
      <c r="B80" s="6" t="s">
        <v>47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</row>
    <row r="81" spans="1:11" ht="15" thickBot="1" x14ac:dyDescent="0.35">
      <c r="A81" s="8" t="s">
        <v>144</v>
      </c>
      <c r="B81" s="6" t="s">
        <v>47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22.5</v>
      </c>
      <c r="I81" s="6">
        <v>30.45</v>
      </c>
      <c r="J81" s="6">
        <f t="shared" si="4"/>
        <v>19.842499999999998</v>
      </c>
      <c r="K81" s="15">
        <f t="shared" si="5"/>
        <v>549.37691639999991</v>
      </c>
    </row>
    <row r="82" spans="1:11" ht="15" thickBot="1" x14ac:dyDescent="0.35">
      <c r="A82" s="8" t="s">
        <v>70</v>
      </c>
      <c r="B82" s="6" t="s">
        <v>50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1" ht="15" thickBot="1" x14ac:dyDescent="0.35">
      <c r="A83" s="8" t="s">
        <v>69</v>
      </c>
      <c r="B83" s="6" t="s">
        <v>47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</row>
    <row r="84" spans="1:11" ht="15" thickBot="1" x14ac:dyDescent="0.35">
      <c r="A84" s="23" t="s">
        <v>89</v>
      </c>
      <c r="B84" s="21" t="s">
        <v>47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22.5</v>
      </c>
      <c r="I84" s="21">
        <v>30.45</v>
      </c>
      <c r="J84" s="21">
        <f t="shared" si="4"/>
        <v>19.842499999999998</v>
      </c>
      <c r="K84" s="22">
        <f t="shared" si="5"/>
        <v>422.26617887999993</v>
      </c>
    </row>
    <row r="85" spans="1:11" ht="15" thickBot="1" x14ac:dyDescent="0.35">
      <c r="J85" s="44" t="s">
        <v>43</v>
      </c>
      <c r="K85" s="44">
        <f>SUM(Table6[Q(W)])</f>
        <v>31394.094478812</v>
      </c>
    </row>
    <row r="86" spans="1:11" x14ac:dyDescent="0.3">
      <c r="J86" s="1"/>
      <c r="K86" s="1"/>
    </row>
    <row r="87" spans="1:11" ht="23.4" x14ac:dyDescent="0.45">
      <c r="A87" s="86" t="s">
        <v>60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</row>
    <row r="88" spans="1:11" ht="15" thickBot="1" x14ac:dyDescent="0.35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1" ht="15" thickBot="1" x14ac:dyDescent="0.35">
      <c r="A89" s="8" t="s">
        <v>84</v>
      </c>
      <c r="B89" s="6" t="s">
        <v>47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1" ht="15" thickBot="1" x14ac:dyDescent="0.35">
      <c r="A90" s="8" t="s">
        <v>85</v>
      </c>
      <c r="B90" s="6" t="s">
        <v>48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</row>
    <row r="91" spans="1:11" ht="15" thickBot="1" x14ac:dyDescent="0.35">
      <c r="A91" s="8" t="s">
        <v>61</v>
      </c>
      <c r="B91" s="6" t="s">
        <v>48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</row>
    <row r="92" spans="1:11" ht="15" thickBot="1" x14ac:dyDescent="0.35">
      <c r="A92" s="8" t="s">
        <v>62</v>
      </c>
      <c r="B92" s="6" t="s">
        <v>47</v>
      </c>
      <c r="C92" s="26">
        <v>2.7143999999999999</v>
      </c>
      <c r="D92" s="6">
        <f>(References!C44*4)-(References!B44*1)-(References!A44*2)</f>
        <v>40.92</v>
      </c>
      <c r="E92" s="6">
        <f t="shared" si="8"/>
        <v>25</v>
      </c>
      <c r="F92" s="6">
        <f t="shared" si="9"/>
        <v>-0.55000000000000004</v>
      </c>
      <c r="G92" s="6">
        <v>0.65</v>
      </c>
      <c r="H92" s="6">
        <v>22.5</v>
      </c>
      <c r="I92" s="29">
        <f>(References!T$4)-(References!T$3/2)</f>
        <v>30.45</v>
      </c>
      <c r="J92" s="6">
        <f t="shared" si="6"/>
        <v>19.842499999999998</v>
      </c>
      <c r="K92" s="15">
        <f t="shared" si="7"/>
        <v>2776.8312000000001</v>
      </c>
    </row>
    <row r="93" spans="1:11" ht="15" thickBot="1" x14ac:dyDescent="0.35">
      <c r="A93" s="8" t="s">
        <v>63</v>
      </c>
      <c r="B93" s="6" t="s">
        <v>48</v>
      </c>
      <c r="C93" s="26">
        <v>2.7143999999999999</v>
      </c>
      <c r="D93" s="6">
        <f>(References!C45*4)-(References!B45*1)-(References!A45*2)</f>
        <v>68</v>
      </c>
      <c r="E93" s="6">
        <f t="shared" si="8"/>
        <v>13</v>
      </c>
      <c r="F93" s="6">
        <f t="shared" si="9"/>
        <v>2.2200000000000002</v>
      </c>
      <c r="G93" s="6">
        <v>0.65</v>
      </c>
      <c r="H93" s="6">
        <v>22.5</v>
      </c>
      <c r="I93" s="29">
        <f>(References!T$4)-(References!T$3/2)</f>
        <v>30.45</v>
      </c>
      <c r="J93" s="6">
        <f t="shared" si="6"/>
        <v>13.843</v>
      </c>
      <c r="K93" s="15">
        <f t="shared" si="7"/>
        <v>2399.5295999999998</v>
      </c>
    </row>
    <row r="94" spans="1:11" ht="15" thickBot="1" x14ac:dyDescent="0.35">
      <c r="A94" s="8" t="s">
        <v>64</v>
      </c>
      <c r="B94" s="6" t="s">
        <v>49</v>
      </c>
      <c r="C94" s="26">
        <v>2.7143999999999999</v>
      </c>
      <c r="D94" s="6">
        <f>(References!C46*4)-(References!B46*1)-(References!A46*2)</f>
        <v>40.92</v>
      </c>
      <c r="E94" s="6">
        <f t="shared" si="8"/>
        <v>33</v>
      </c>
      <c r="F94" s="6">
        <f t="shared" si="9"/>
        <v>-0.55000000000000004</v>
      </c>
      <c r="G94" s="6">
        <v>0.65</v>
      </c>
      <c r="H94" s="6">
        <v>22.5</v>
      </c>
      <c r="I94" s="29">
        <f>(References!T$4)-(References!T$3/2)</f>
        <v>30.45</v>
      </c>
      <c r="J94" s="6">
        <f t="shared" si="6"/>
        <v>25.0425</v>
      </c>
      <c r="K94" s="15">
        <f t="shared" si="7"/>
        <v>3665.4171840000004</v>
      </c>
    </row>
    <row r="95" spans="1:11" ht="15" thickBot="1" x14ac:dyDescent="0.35">
      <c r="A95" s="8" t="s">
        <v>61</v>
      </c>
      <c r="B95" s="6" t="s">
        <v>48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1" ht="15" thickBot="1" x14ac:dyDescent="0.35">
      <c r="A96" s="8" t="s">
        <v>85</v>
      </c>
      <c r="B96" s="6" t="s">
        <v>48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1" ht="15" thickBot="1" x14ac:dyDescent="0.35">
      <c r="A97" s="8" t="s">
        <v>86</v>
      </c>
      <c r="B97" s="6" t="s">
        <v>49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1" ht="15" thickBot="1" x14ac:dyDescent="0.35">
      <c r="A98" s="8" t="s">
        <v>65</v>
      </c>
      <c r="B98" s="6" t="s">
        <v>49</v>
      </c>
      <c r="C98" s="26">
        <v>2.7143999999999999</v>
      </c>
      <c r="D98" s="6">
        <f>(References!C50*4)-(References!B50*1)-(References!A50*2)</f>
        <v>9.6999999999999993</v>
      </c>
      <c r="E98" s="6">
        <f t="shared" si="8"/>
        <v>33</v>
      </c>
      <c r="F98" s="6">
        <f t="shared" si="9"/>
        <v>-0.55000000000000004</v>
      </c>
      <c r="G98" s="6">
        <v>0.65</v>
      </c>
      <c r="H98" s="6">
        <v>22.5</v>
      </c>
      <c r="I98" s="29">
        <f>(References!T$4)-(References!T$3/2)</f>
        <v>30.45</v>
      </c>
      <c r="J98" s="6">
        <f t="shared" si="6"/>
        <v>25.0425</v>
      </c>
      <c r="K98" s="15">
        <f t="shared" si="7"/>
        <v>868.87943999999993</v>
      </c>
    </row>
    <row r="99" spans="1:11" ht="15" thickBot="1" x14ac:dyDescent="0.35">
      <c r="A99" s="8" t="s">
        <v>68</v>
      </c>
      <c r="B99" s="6" t="s">
        <v>49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1" ht="15" thickBot="1" x14ac:dyDescent="0.35">
      <c r="A100" s="8" t="s">
        <v>89</v>
      </c>
      <c r="B100" s="6" t="s">
        <v>49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22.5</v>
      </c>
      <c r="I100" s="29">
        <f>(References!T$4)-(References!T$3/2)</f>
        <v>30.45</v>
      </c>
      <c r="J100" s="6">
        <f t="shared" si="6"/>
        <v>25.0425</v>
      </c>
      <c r="K100" s="15">
        <f t="shared" si="7"/>
        <v>766.76371200000006</v>
      </c>
    </row>
    <row r="101" spans="1:11" ht="15" thickBot="1" x14ac:dyDescent="0.35">
      <c r="A101" s="8" t="s">
        <v>70</v>
      </c>
      <c r="B101" s="6" t="s">
        <v>50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1" ht="15" thickBot="1" x14ac:dyDescent="0.35">
      <c r="A102" s="8" t="s">
        <v>71</v>
      </c>
      <c r="B102" s="6" t="s">
        <v>49</v>
      </c>
      <c r="C102" s="26">
        <v>2.7143999999999999</v>
      </c>
      <c r="D102" s="6">
        <f>(References!C54*4)-(References!B54*1)-(References!A54*2)</f>
        <v>10.6</v>
      </c>
      <c r="E102" s="6">
        <f t="shared" si="8"/>
        <v>33</v>
      </c>
      <c r="F102" s="6">
        <f t="shared" si="9"/>
        <v>-0.55000000000000004</v>
      </c>
      <c r="G102" s="6">
        <v>0.65</v>
      </c>
      <c r="H102" s="6">
        <v>22.5</v>
      </c>
      <c r="I102" s="29">
        <f>(References!T$4)-(References!T$3/2)</f>
        <v>30.45</v>
      </c>
      <c r="J102" s="6">
        <f t="shared" si="6"/>
        <v>25.0425</v>
      </c>
      <c r="K102" s="15">
        <f t="shared" si="7"/>
        <v>949.49712</v>
      </c>
    </row>
    <row r="103" spans="1:11" ht="15" thickBot="1" x14ac:dyDescent="0.35">
      <c r="A103" s="8" t="s">
        <v>71</v>
      </c>
      <c r="B103" s="6" t="s">
        <v>49</v>
      </c>
      <c r="C103" s="26">
        <v>2.7143999999999999</v>
      </c>
      <c r="D103" s="6">
        <f>(References!C55*4)-(References!B55*1)-(References!A55*2)</f>
        <v>10.6</v>
      </c>
      <c r="E103" s="6">
        <f t="shared" si="8"/>
        <v>33</v>
      </c>
      <c r="F103" s="6">
        <f t="shared" si="9"/>
        <v>-0.55000000000000004</v>
      </c>
      <c r="G103" s="6">
        <v>0.65</v>
      </c>
      <c r="H103" s="6">
        <v>22.5</v>
      </c>
      <c r="I103" s="29">
        <f>(References!T$4)-(References!T$3/2)</f>
        <v>30.45</v>
      </c>
      <c r="J103" s="6">
        <f t="shared" si="6"/>
        <v>25.0425</v>
      </c>
      <c r="K103" s="15">
        <f t="shared" si="7"/>
        <v>949.49712</v>
      </c>
    </row>
    <row r="104" spans="1:11" ht="15" thickBot="1" x14ac:dyDescent="0.35">
      <c r="A104" s="8" t="s">
        <v>71</v>
      </c>
      <c r="B104" s="6" t="s">
        <v>49</v>
      </c>
      <c r="C104" s="26">
        <v>2.7143999999999999</v>
      </c>
      <c r="D104" s="6">
        <f>(References!C56*4)-(References!B56*1)-(References!A56*2)</f>
        <v>10.6</v>
      </c>
      <c r="E104" s="6">
        <f t="shared" si="8"/>
        <v>33</v>
      </c>
      <c r="F104" s="6">
        <f t="shared" si="9"/>
        <v>-0.55000000000000004</v>
      </c>
      <c r="G104" s="6">
        <v>0.65</v>
      </c>
      <c r="H104" s="6">
        <v>22.5</v>
      </c>
      <c r="I104" s="29">
        <f>(References!T$4)-(References!T$3/2)</f>
        <v>30.45</v>
      </c>
      <c r="J104" s="6">
        <f t="shared" si="6"/>
        <v>25.0425</v>
      </c>
      <c r="K104" s="15">
        <f t="shared" si="7"/>
        <v>949.49712</v>
      </c>
    </row>
    <row r="105" spans="1:11" ht="15" thickBot="1" x14ac:dyDescent="0.35">
      <c r="A105" s="8" t="s">
        <v>71</v>
      </c>
      <c r="B105" s="6" t="s">
        <v>49</v>
      </c>
      <c r="C105" s="26">
        <v>2.7143999999999999</v>
      </c>
      <c r="D105" s="6">
        <f>(References!C57*4)-(References!B57*1)-(References!A57*2)</f>
        <v>10.6</v>
      </c>
      <c r="E105" s="6">
        <f t="shared" si="8"/>
        <v>33</v>
      </c>
      <c r="F105" s="6">
        <f t="shared" si="9"/>
        <v>-0.55000000000000004</v>
      </c>
      <c r="G105" s="6">
        <v>0.65</v>
      </c>
      <c r="H105" s="6">
        <v>22.5</v>
      </c>
      <c r="I105" s="29">
        <f>(References!T$4)-(References!T$3/2)</f>
        <v>30.45</v>
      </c>
      <c r="J105" s="6">
        <f t="shared" si="6"/>
        <v>25.0425</v>
      </c>
      <c r="K105" s="15">
        <f t="shared" si="7"/>
        <v>949.49712</v>
      </c>
    </row>
    <row r="106" spans="1:11" ht="15" thickBot="1" x14ac:dyDescent="0.35">
      <c r="A106" s="8" t="s">
        <v>72</v>
      </c>
      <c r="B106" s="6" t="s">
        <v>49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</row>
    <row r="107" spans="1:11" ht="15" thickBot="1" x14ac:dyDescent="0.35">
      <c r="A107" s="8" t="s">
        <v>74</v>
      </c>
      <c r="B107" s="6" t="s">
        <v>48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1" ht="15" thickBot="1" x14ac:dyDescent="0.35">
      <c r="A108" s="8" t="s">
        <v>75</v>
      </c>
      <c r="B108" s="6" t="s">
        <v>49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1" ht="15" thickBot="1" x14ac:dyDescent="0.35">
      <c r="A109" s="8" t="s">
        <v>76</v>
      </c>
      <c r="B109" s="6" t="s">
        <v>49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1" ht="15" thickBot="1" x14ac:dyDescent="0.35">
      <c r="A110" s="8" t="s">
        <v>77</v>
      </c>
      <c r="B110" s="6" t="s">
        <v>49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1" ht="15" thickBot="1" x14ac:dyDescent="0.35">
      <c r="A111" s="8" t="s">
        <v>78</v>
      </c>
      <c r="B111" s="6" t="s">
        <v>49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</row>
    <row r="112" spans="1:11" ht="15" thickBot="1" x14ac:dyDescent="0.35">
      <c r="A112" s="8" t="s">
        <v>92</v>
      </c>
      <c r="B112" s="6" t="s">
        <v>49</v>
      </c>
      <c r="C112" s="26">
        <v>2.7143999999999999</v>
      </c>
      <c r="D112" s="6">
        <f>(References!C64*4)-(References!B64*0.6)-(References!A64*2)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22.5</v>
      </c>
      <c r="I112" s="29">
        <f>(References!T$4)-(References!T$3/2)</f>
        <v>30.45</v>
      </c>
      <c r="J112" s="6">
        <f t="shared" si="6"/>
        <v>25.0425</v>
      </c>
      <c r="K112" s="15">
        <f t="shared" si="7"/>
        <v>641.35843199999999</v>
      </c>
    </row>
    <row r="113" spans="1:11" ht="15" thickBot="1" x14ac:dyDescent="0.35">
      <c r="A113" s="8" t="s">
        <v>93</v>
      </c>
      <c r="B113" s="6" t="s">
        <v>50</v>
      </c>
      <c r="C113" s="26">
        <v>2.7143999999999999</v>
      </c>
      <c r="D113" s="6">
        <f>(References!C65*4)-(References!B65*0.6)-(References!A65*2)</f>
        <v>5.64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22.5</v>
      </c>
      <c r="I113" s="29">
        <f>(References!T$4)-(References!T$3/2)</f>
        <v>30.45</v>
      </c>
      <c r="J113" s="6">
        <f t="shared" si="6"/>
        <v>15.728</v>
      </c>
      <c r="K113" s="15">
        <f t="shared" si="7"/>
        <v>336.802752</v>
      </c>
    </row>
    <row r="114" spans="1:11" ht="15" thickBot="1" x14ac:dyDescent="0.35">
      <c r="A114" s="8" t="s">
        <v>79</v>
      </c>
      <c r="B114" s="6" t="s">
        <v>50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</row>
    <row r="115" spans="1:11" ht="15" thickBot="1" x14ac:dyDescent="0.35">
      <c r="A115" s="8" t="s">
        <v>80</v>
      </c>
      <c r="B115" s="6" t="s">
        <v>50</v>
      </c>
      <c r="C115" s="26">
        <v>2.7143999999999999</v>
      </c>
      <c r="D115" s="6">
        <f>(References!C67*4)-(References!B67*1)-(References!A67*2)</f>
        <v>19.2</v>
      </c>
      <c r="E115" s="6">
        <f t="shared" si="8"/>
        <v>22</v>
      </c>
      <c r="F115" s="6">
        <f t="shared" si="9"/>
        <v>-3.88</v>
      </c>
      <c r="G115" s="6">
        <v>0.65</v>
      </c>
      <c r="H115" s="6">
        <v>22.5</v>
      </c>
      <c r="I115" s="29">
        <f>(References!T$4)-(References!T$3/2)</f>
        <v>30.45</v>
      </c>
      <c r="J115" s="6">
        <f t="shared" si="6"/>
        <v>15.728</v>
      </c>
      <c r="K115" s="15">
        <f t="shared" si="7"/>
        <v>1146.5625599999998</v>
      </c>
    </row>
    <row r="116" spans="1:11" ht="15" thickBot="1" x14ac:dyDescent="0.35">
      <c r="A116" s="8" t="s">
        <v>58</v>
      </c>
      <c r="B116" s="6" t="s">
        <v>50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1" ht="15" thickBot="1" x14ac:dyDescent="0.35">
      <c r="A117" s="8" t="s">
        <v>59</v>
      </c>
      <c r="B117" s="6" t="s">
        <v>50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</row>
    <row r="118" spans="1:11" ht="15" thickBot="1" x14ac:dyDescent="0.35">
      <c r="A118" s="8" t="s">
        <v>91</v>
      </c>
      <c r="B118" s="6" t="s">
        <v>50</v>
      </c>
      <c r="C118" s="26">
        <v>2.7143999999999999</v>
      </c>
      <c r="D118" s="6">
        <f>(References!C70*4)-(References!B70*1)-(References!A70*2)</f>
        <v>24</v>
      </c>
      <c r="E118" s="6">
        <f t="shared" si="8"/>
        <v>22</v>
      </c>
      <c r="F118" s="6">
        <f t="shared" si="9"/>
        <v>-3.88</v>
      </c>
      <c r="G118" s="6">
        <v>0.65</v>
      </c>
      <c r="H118" s="6">
        <v>22.5</v>
      </c>
      <c r="I118" s="29">
        <f>(References!T$4)-(References!T$3/2)</f>
        <v>30.45</v>
      </c>
      <c r="J118" s="6">
        <f t="shared" si="6"/>
        <v>15.728</v>
      </c>
      <c r="K118" s="15">
        <f t="shared" si="7"/>
        <v>1433.2031999999999</v>
      </c>
    </row>
    <row r="119" spans="1:11" ht="15" thickBot="1" x14ac:dyDescent="0.35">
      <c r="A119" s="8" t="s">
        <v>81</v>
      </c>
      <c r="B119" s="6" t="s">
        <v>50</v>
      </c>
      <c r="C119" s="26">
        <v>2.7143999999999999</v>
      </c>
      <c r="D119" s="6">
        <f>(References!C71*4)-(References!B71*1)-(References!A71*2)</f>
        <v>48</v>
      </c>
      <c r="E119" s="6">
        <f t="shared" si="8"/>
        <v>22</v>
      </c>
      <c r="F119" s="6">
        <f t="shared" si="9"/>
        <v>-3.88</v>
      </c>
      <c r="G119" s="6">
        <v>0.65</v>
      </c>
      <c r="H119" s="6">
        <v>24</v>
      </c>
      <c r="I119" s="29">
        <f>(References!T$4)-(References!T$3/2)</f>
        <v>30.45</v>
      </c>
      <c r="J119" s="6">
        <f t="shared" si="6"/>
        <v>14.228</v>
      </c>
      <c r="K119" s="15">
        <f t="shared" si="7"/>
        <v>2866.4063999999998</v>
      </c>
    </row>
    <row r="120" spans="1:11" ht="15" thickBot="1" x14ac:dyDescent="0.35">
      <c r="A120" s="8" t="s">
        <v>82</v>
      </c>
      <c r="B120" s="6" t="s">
        <v>47</v>
      </c>
      <c r="C120" s="26">
        <v>2.7143999999999999</v>
      </c>
      <c r="D120" s="6">
        <f>(References!C72*4)-(References!B72*1)-(References!A72*2)</f>
        <v>61.6</v>
      </c>
      <c r="E120" s="6">
        <f t="shared" si="8"/>
        <v>25</v>
      </c>
      <c r="F120" s="6">
        <f t="shared" si="9"/>
        <v>-0.55000000000000004</v>
      </c>
      <c r="G120" s="6">
        <v>0.65</v>
      </c>
      <c r="H120" s="6">
        <v>24</v>
      </c>
      <c r="I120" s="29">
        <f>(References!T$4)-(References!T$3/2)</f>
        <v>30.45</v>
      </c>
      <c r="J120" s="6">
        <f t="shared" si="6"/>
        <v>18.342499999999998</v>
      </c>
      <c r="K120" s="15">
        <f t="shared" si="7"/>
        <v>4180.1760000000004</v>
      </c>
    </row>
    <row r="121" spans="1:11" ht="15" thickBot="1" x14ac:dyDescent="0.35">
      <c r="A121" s="8" t="s">
        <v>83</v>
      </c>
      <c r="B121" s="6" t="s">
        <v>48</v>
      </c>
      <c r="C121" s="26">
        <v>2.7143999999999999</v>
      </c>
      <c r="D121" s="6">
        <f>(References!C73*4)-(References!B73*1)-(References!A73*2)</f>
        <v>8.8800000000000008</v>
      </c>
      <c r="E121" s="6">
        <f t="shared" si="8"/>
        <v>13</v>
      </c>
      <c r="F121" s="6">
        <f t="shared" si="9"/>
        <v>2.2200000000000002</v>
      </c>
      <c r="G121" s="6">
        <v>0.65</v>
      </c>
      <c r="H121" s="6">
        <v>24</v>
      </c>
      <c r="I121" s="29">
        <f>(References!T$4)-(References!T$3/2)</f>
        <v>30.45</v>
      </c>
      <c r="J121" s="6">
        <f t="shared" si="6"/>
        <v>12.343</v>
      </c>
      <c r="K121" s="15">
        <f t="shared" si="7"/>
        <v>313.35033600000003</v>
      </c>
    </row>
    <row r="122" spans="1:11" ht="15" thickBot="1" x14ac:dyDescent="0.35">
      <c r="A122" s="8" t="s">
        <v>72</v>
      </c>
      <c r="B122" s="6" t="s">
        <v>47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</row>
    <row r="123" spans="1:11" ht="15" thickBot="1" x14ac:dyDescent="0.35">
      <c r="A123" s="8" t="s">
        <v>71</v>
      </c>
      <c r="B123" s="6" t="s">
        <v>47</v>
      </c>
      <c r="C123" s="26">
        <v>2.7143999999999999</v>
      </c>
      <c r="D123" s="6">
        <f>(References!C75*4)-(References!B75*1)-(References!A75*2)</f>
        <v>10.6</v>
      </c>
      <c r="E123" s="6">
        <f t="shared" si="8"/>
        <v>25</v>
      </c>
      <c r="F123" s="6">
        <f t="shared" si="9"/>
        <v>-0.55000000000000004</v>
      </c>
      <c r="G123" s="6">
        <v>0.65</v>
      </c>
      <c r="H123" s="6">
        <v>22.5</v>
      </c>
      <c r="I123" s="29">
        <f>(References!T$4)-(References!T$3/2)</f>
        <v>30.45</v>
      </c>
      <c r="J123" s="6">
        <f t="shared" si="6"/>
        <v>19.842499999999998</v>
      </c>
      <c r="K123" s="15">
        <f t="shared" si="7"/>
        <v>719.31600000000003</v>
      </c>
    </row>
    <row r="124" spans="1:11" ht="15" thickBot="1" x14ac:dyDescent="0.35">
      <c r="A124" s="8" t="s">
        <v>71</v>
      </c>
      <c r="B124" s="6" t="s">
        <v>47</v>
      </c>
      <c r="C124" s="26">
        <v>2.7143999999999999</v>
      </c>
      <c r="D124" s="6">
        <f>(References!C76*4)-(References!B76*1)-(References!A76*2)</f>
        <v>10.6</v>
      </c>
      <c r="E124" s="6">
        <f t="shared" si="8"/>
        <v>25</v>
      </c>
      <c r="F124" s="6">
        <f t="shared" si="9"/>
        <v>-0.55000000000000004</v>
      </c>
      <c r="G124" s="6">
        <v>0.65</v>
      </c>
      <c r="H124" s="6">
        <v>22.5</v>
      </c>
      <c r="I124" s="29">
        <f>(References!T$4)-(References!T$3/2)</f>
        <v>30.45</v>
      </c>
      <c r="J124" s="6">
        <f t="shared" si="6"/>
        <v>19.842499999999998</v>
      </c>
      <c r="K124" s="15">
        <f t="shared" si="7"/>
        <v>719.31600000000003</v>
      </c>
    </row>
    <row r="125" spans="1:11" ht="15" thickBot="1" x14ac:dyDescent="0.35">
      <c r="A125" s="8" t="s">
        <v>71</v>
      </c>
      <c r="B125" s="6" t="s">
        <v>47</v>
      </c>
      <c r="C125" s="26">
        <v>2.7143999999999999</v>
      </c>
      <c r="D125" s="6">
        <f>(References!C77*4)-(References!B77*1)-(References!A77*2)</f>
        <v>10.6</v>
      </c>
      <c r="E125" s="6">
        <f t="shared" si="8"/>
        <v>25</v>
      </c>
      <c r="F125" s="6">
        <f t="shared" si="9"/>
        <v>-0.55000000000000004</v>
      </c>
      <c r="G125" s="6">
        <v>0.65</v>
      </c>
      <c r="H125" s="6">
        <v>22.5</v>
      </c>
      <c r="I125" s="29">
        <f>(References!T$4)-(References!T$3/2)</f>
        <v>30.45</v>
      </c>
      <c r="J125" s="6">
        <f t="shared" si="6"/>
        <v>19.842499999999998</v>
      </c>
      <c r="K125" s="15">
        <f t="shared" si="7"/>
        <v>719.31600000000003</v>
      </c>
    </row>
    <row r="126" spans="1:11" ht="15" thickBot="1" x14ac:dyDescent="0.35">
      <c r="A126" s="8" t="s">
        <v>71</v>
      </c>
      <c r="B126" s="6" t="s">
        <v>47</v>
      </c>
      <c r="C126" s="26">
        <v>2.7143999999999999</v>
      </c>
      <c r="D126" s="6">
        <f>(References!C78*4)-(References!B78*1)-(References!A78*2)</f>
        <v>10.6</v>
      </c>
      <c r="E126" s="6">
        <f t="shared" si="8"/>
        <v>25</v>
      </c>
      <c r="F126" s="6">
        <f t="shared" si="9"/>
        <v>-0.55000000000000004</v>
      </c>
      <c r="G126" s="6">
        <v>0.65</v>
      </c>
      <c r="H126" s="6">
        <v>22.5</v>
      </c>
      <c r="I126" s="29">
        <f>(References!T$4)-(References!T$3/2)</f>
        <v>30.45</v>
      </c>
      <c r="J126" s="6">
        <f t="shared" si="6"/>
        <v>19.842499999999998</v>
      </c>
      <c r="K126" s="15">
        <f t="shared" si="7"/>
        <v>719.31600000000003</v>
      </c>
    </row>
    <row r="127" spans="1:11" ht="15" thickBot="1" x14ac:dyDescent="0.35">
      <c r="A127" s="8" t="s">
        <v>70</v>
      </c>
      <c r="B127" s="6" t="s">
        <v>50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1" ht="15" thickBot="1" x14ac:dyDescent="0.35">
      <c r="A128" s="8" t="s">
        <v>69</v>
      </c>
      <c r="B128" s="6" t="s">
        <v>47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</row>
    <row r="129" spans="1:11" ht="15" thickBot="1" x14ac:dyDescent="0.35">
      <c r="A129" s="8" t="s">
        <v>89</v>
      </c>
      <c r="B129" s="6" t="s">
        <v>47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22.5</v>
      </c>
      <c r="I129" s="29">
        <f>(References!T$4)-(References!T$3/2)</f>
        <v>30.45</v>
      </c>
      <c r="J129" s="6">
        <f t="shared" si="6"/>
        <v>19.842499999999998</v>
      </c>
      <c r="K129" s="15">
        <f t="shared" si="7"/>
        <v>613.45440000000008</v>
      </c>
    </row>
    <row r="130" spans="1:11" ht="15" thickBot="1" x14ac:dyDescent="0.35">
      <c r="A130" s="23" t="s">
        <v>66</v>
      </c>
      <c r="B130" s="21" t="s">
        <v>47</v>
      </c>
      <c r="C130" s="33">
        <v>2.7143999999999999</v>
      </c>
      <c r="D130" s="21">
        <f>(References!C82*4)-(References!B82*1)-(References!A82*2)</f>
        <v>2.4000000000000004</v>
      </c>
      <c r="E130" s="21">
        <f t="shared" si="8"/>
        <v>25</v>
      </c>
      <c r="F130" s="21">
        <f t="shared" si="9"/>
        <v>-0.55000000000000004</v>
      </c>
      <c r="G130" s="21">
        <v>0.65</v>
      </c>
      <c r="H130" s="21">
        <v>22.5</v>
      </c>
      <c r="I130" s="34">
        <f>(References!T$4)-(References!T$3/2)</f>
        <v>30.45</v>
      </c>
      <c r="J130" s="21">
        <f t="shared" si="6"/>
        <v>19.842499999999998</v>
      </c>
      <c r="K130" s="22">
        <f t="shared" si="7"/>
        <v>162.864</v>
      </c>
    </row>
    <row r="131" spans="1:11" ht="15" thickBot="1" x14ac:dyDescent="0.35">
      <c r="J131" s="44" t="s">
        <v>162</v>
      </c>
      <c r="K131" s="44">
        <f>SUM(Table2[Q(W)])</f>
        <v>47844.530136000001</v>
      </c>
    </row>
  </sheetData>
  <mergeCells count="4">
    <mergeCell ref="A2:K2"/>
    <mergeCell ref="A40:K40"/>
    <mergeCell ref="A87:K87"/>
    <mergeCell ref="A1:K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01"/>
  <sheetViews>
    <sheetView topLeftCell="A46" workbookViewId="0">
      <selection activeCell="F5" sqref="F5"/>
    </sheetView>
  </sheetViews>
  <sheetFormatPr defaultRowHeight="14.4" x14ac:dyDescent="0.3"/>
  <cols>
    <col min="1" max="1" width="33.33203125" customWidth="1"/>
    <col min="2" max="2" width="12.33203125" customWidth="1"/>
    <col min="10" max="11" width="9.33203125" customWidth="1"/>
  </cols>
  <sheetData>
    <row r="1" spans="1:11" x14ac:dyDescent="0.3">
      <c r="A1" s="88" t="s">
        <v>12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23.4" x14ac:dyDescent="0.45">
      <c r="A2" s="86" t="s">
        <v>161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 ht="15" thickBot="1" x14ac:dyDescent="0.35">
      <c r="A3" s="41" t="s">
        <v>0</v>
      </c>
      <c r="B3" s="42" t="s">
        <v>1</v>
      </c>
      <c r="C3" s="42" t="s">
        <v>2</v>
      </c>
      <c r="D3" s="42" t="s">
        <v>13</v>
      </c>
      <c r="E3" s="42" t="s">
        <v>7</v>
      </c>
      <c r="F3" s="42" t="s">
        <v>3</v>
      </c>
      <c r="G3" s="42" t="s">
        <v>14</v>
      </c>
      <c r="H3" s="42" t="s">
        <v>15</v>
      </c>
      <c r="I3" s="42" t="s">
        <v>16</v>
      </c>
      <c r="J3" s="42" t="s">
        <v>18</v>
      </c>
      <c r="K3" s="43" t="s">
        <v>17</v>
      </c>
    </row>
    <row r="4" spans="1:11" ht="15" thickBot="1" x14ac:dyDescent="0.35">
      <c r="A4" s="8" t="s">
        <v>55</v>
      </c>
      <c r="B4" s="6" t="s">
        <v>47</v>
      </c>
      <c r="C4" s="6">
        <v>2.8721999999999999</v>
      </c>
      <c r="D4" s="6">
        <v>34.5</v>
      </c>
      <c r="E4" s="6">
        <v>22.5</v>
      </c>
      <c r="F4" s="6">
        <f>References!E5*References!F5</f>
        <v>2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602.80000000000007</v>
      </c>
      <c r="K4" s="15">
        <f>(C4*F4)*(D4-E4)</f>
        <v>68.9328</v>
      </c>
    </row>
    <row r="5" spans="1:11" ht="15" thickBot="1" x14ac:dyDescent="0.35">
      <c r="A5" s="8" t="s">
        <v>56</v>
      </c>
      <c r="B5" s="6" t="s">
        <v>48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0">_xlfn.IFS(B5="E",685,B5="N",120,B5="W",685,B5="S",230)</f>
        <v>120</v>
      </c>
      <c r="H5" s="6">
        <f t="shared" ref="H5:H33" si="1">_xlfn.IFS(B5="E",0.8,B5="N",0.91,B5="W",0.82,B5="S",0.83)</f>
        <v>0.91</v>
      </c>
      <c r="I5" s="6">
        <v>0.55000000000000004</v>
      </c>
      <c r="J5" s="6">
        <f t="shared" ref="J5:J33" si="2">G5*H5*F5*I5</f>
        <v>72.072000000000003</v>
      </c>
      <c r="K5" s="15">
        <f t="shared" ref="K5:K33" si="3">(C5*F5)*(D5-E5)</f>
        <v>41.359679999999997</v>
      </c>
    </row>
    <row r="6" spans="1:11" ht="15" thickBot="1" x14ac:dyDescent="0.35">
      <c r="A6" s="8" t="s">
        <v>57</v>
      </c>
      <c r="B6" s="6" t="s">
        <v>48</v>
      </c>
      <c r="C6" s="6">
        <v>2.8721999999999999</v>
      </c>
      <c r="D6" s="6">
        <v>34.5</v>
      </c>
      <c r="E6" s="6">
        <v>22.5</v>
      </c>
      <c r="F6" s="6">
        <f>References!E7*References!F7</f>
        <v>0.36</v>
      </c>
      <c r="G6" s="6">
        <f t="shared" si="0"/>
        <v>120</v>
      </c>
      <c r="H6" s="6">
        <f t="shared" si="1"/>
        <v>0.91</v>
      </c>
      <c r="I6" s="6">
        <v>0.55000000000000004</v>
      </c>
      <c r="J6" s="6">
        <f t="shared" si="2"/>
        <v>21.621600000000001</v>
      </c>
      <c r="K6" s="15">
        <f t="shared" si="3"/>
        <v>12.407904</v>
      </c>
    </row>
    <row r="7" spans="1:11" ht="15" thickBot="1" x14ac:dyDescent="0.35">
      <c r="A7" s="8" t="s">
        <v>102</v>
      </c>
      <c r="B7" s="6" t="s">
        <v>48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0"/>
        <v>120</v>
      </c>
      <c r="H7" s="6">
        <f t="shared" si="1"/>
        <v>0.91</v>
      </c>
      <c r="I7" s="6">
        <v>0.55000000000000004</v>
      </c>
      <c r="J7" s="6">
        <f t="shared" si="2"/>
        <v>43.243200000000002</v>
      </c>
      <c r="K7" s="15">
        <f t="shared" si="3"/>
        <v>21.713832</v>
      </c>
    </row>
    <row r="8" spans="1:11" ht="15" thickBot="1" x14ac:dyDescent="0.35">
      <c r="A8" s="8" t="s">
        <v>59</v>
      </c>
      <c r="B8" s="6" t="s">
        <v>48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0"/>
        <v>120</v>
      </c>
      <c r="H8" s="6">
        <f t="shared" si="1"/>
        <v>0.91</v>
      </c>
      <c r="I8" s="6">
        <v>0.55000000000000004</v>
      </c>
      <c r="J8" s="6">
        <f t="shared" si="2"/>
        <v>43.243200000000002</v>
      </c>
      <c r="K8" s="15">
        <f t="shared" si="3"/>
        <v>21.713832</v>
      </c>
    </row>
    <row r="9" spans="1:11" ht="15" thickBot="1" x14ac:dyDescent="0.35">
      <c r="A9" s="8" t="s">
        <v>103</v>
      </c>
      <c r="B9" s="6" t="s">
        <v>48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0"/>
        <v>120</v>
      </c>
      <c r="H9" s="6">
        <f t="shared" si="1"/>
        <v>0.91</v>
      </c>
      <c r="I9" s="6">
        <v>0.55000000000000004</v>
      </c>
      <c r="J9" s="6">
        <f t="shared" si="2"/>
        <v>96.096000000000018</v>
      </c>
      <c r="K9" s="15">
        <f t="shared" si="3"/>
        <v>56.422000000000004</v>
      </c>
    </row>
    <row r="10" spans="1:11" ht="15" thickBot="1" x14ac:dyDescent="0.35">
      <c r="A10" s="8" t="s">
        <v>104</v>
      </c>
      <c r="B10" s="6" t="s">
        <v>48</v>
      </c>
      <c r="C10" s="6">
        <v>2.8721999999999999</v>
      </c>
      <c r="D10" s="6">
        <v>34.5</v>
      </c>
      <c r="E10" s="6">
        <v>22.5</v>
      </c>
      <c r="F10" s="6">
        <f>References!E11*References!F11</f>
        <v>2.2000000000000002</v>
      </c>
      <c r="G10" s="6">
        <f t="shared" si="0"/>
        <v>120</v>
      </c>
      <c r="H10" s="6">
        <f t="shared" si="1"/>
        <v>0.91</v>
      </c>
      <c r="I10" s="6">
        <v>0.55000000000000004</v>
      </c>
      <c r="J10" s="6">
        <f t="shared" si="2"/>
        <v>132.13200000000003</v>
      </c>
      <c r="K10" s="15">
        <f t="shared" si="3"/>
        <v>75.82607999999999</v>
      </c>
    </row>
    <row r="11" spans="1:11" ht="15" thickBot="1" x14ac:dyDescent="0.35">
      <c r="A11" s="8" t="s">
        <v>105</v>
      </c>
      <c r="B11" s="6" t="s">
        <v>48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0"/>
        <v>120</v>
      </c>
      <c r="H11" s="6">
        <f t="shared" si="1"/>
        <v>0.91</v>
      </c>
      <c r="I11" s="6">
        <v>0.55000000000000004</v>
      </c>
      <c r="J11" s="6">
        <f t="shared" si="2"/>
        <v>43.243200000000002</v>
      </c>
      <c r="K11" s="15">
        <f t="shared" si="3"/>
        <v>24.815808000000001</v>
      </c>
    </row>
    <row r="12" spans="1:11" ht="15" thickBot="1" x14ac:dyDescent="0.35">
      <c r="A12" s="8" t="s">
        <v>106</v>
      </c>
      <c r="B12" s="6" t="s">
        <v>49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0"/>
        <v>685</v>
      </c>
      <c r="H12" s="6">
        <f t="shared" si="1"/>
        <v>0.82</v>
      </c>
      <c r="I12" s="6">
        <v>0.55000000000000004</v>
      </c>
      <c r="J12" s="6">
        <f t="shared" si="2"/>
        <v>617.87</v>
      </c>
      <c r="K12" s="15">
        <f t="shared" si="3"/>
        <v>68.9328</v>
      </c>
    </row>
    <row r="13" spans="1:11" ht="15" thickBot="1" x14ac:dyDescent="0.35">
      <c r="A13" s="8" t="s">
        <v>65</v>
      </c>
      <c r="B13" s="6" t="s">
        <v>49</v>
      </c>
      <c r="C13" s="6">
        <v>2.8721999999999999</v>
      </c>
      <c r="D13" s="6">
        <v>34.5</v>
      </c>
      <c r="E13" s="6">
        <v>22.5</v>
      </c>
      <c r="F13" s="6">
        <f>References!E14*References!F14</f>
        <v>2.75</v>
      </c>
      <c r="G13" s="6">
        <f t="shared" si="0"/>
        <v>685</v>
      </c>
      <c r="H13" s="6">
        <f t="shared" si="1"/>
        <v>0.82</v>
      </c>
      <c r="I13" s="6">
        <v>0.55000000000000004</v>
      </c>
      <c r="J13" s="6">
        <f t="shared" si="2"/>
        <v>849.57124999999996</v>
      </c>
      <c r="K13" s="15">
        <f t="shared" ref="K13" si="4">(C13*F13)*(D13-E13)</f>
        <v>94.782599999999988</v>
      </c>
    </row>
    <row r="14" spans="1:11" ht="15" thickBot="1" x14ac:dyDescent="0.35">
      <c r="A14" s="8" t="s">
        <v>65</v>
      </c>
      <c r="B14" s="6" t="s">
        <v>49</v>
      </c>
      <c r="C14" s="6">
        <v>2.8210999999999999</v>
      </c>
      <c r="D14" s="6">
        <v>34.5</v>
      </c>
      <c r="E14" s="6">
        <v>22.5</v>
      </c>
      <c r="F14" s="6">
        <f>References!E15*References!F15</f>
        <v>9</v>
      </c>
      <c r="G14" s="6">
        <f t="shared" si="0"/>
        <v>685</v>
      </c>
      <c r="H14" s="6">
        <f t="shared" si="1"/>
        <v>0.82</v>
      </c>
      <c r="I14" s="6">
        <v>0.55000000000000004</v>
      </c>
      <c r="J14" s="6">
        <f t="shared" si="2"/>
        <v>2780.415</v>
      </c>
      <c r="K14" s="15">
        <f t="shared" si="3"/>
        <v>304.67880000000002</v>
      </c>
    </row>
    <row r="15" spans="1:11" ht="15" thickBot="1" x14ac:dyDescent="0.35">
      <c r="A15" s="8" t="s">
        <v>108</v>
      </c>
      <c r="B15" s="6" t="s">
        <v>48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0"/>
        <v>120</v>
      </c>
      <c r="H15" s="6">
        <f t="shared" si="1"/>
        <v>0.91</v>
      </c>
      <c r="I15" s="6">
        <v>0.55000000000000004</v>
      </c>
      <c r="J15" s="6">
        <f t="shared" si="2"/>
        <v>36.036000000000001</v>
      </c>
      <c r="K15" s="15">
        <f t="shared" si="3"/>
        <v>20.679839999999999</v>
      </c>
    </row>
    <row r="16" spans="1:11" ht="15" thickBot="1" x14ac:dyDescent="0.35">
      <c r="A16" s="8" t="s">
        <v>109</v>
      </c>
      <c r="B16" s="6" t="s">
        <v>49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0"/>
        <v>685</v>
      </c>
      <c r="H16" s="6">
        <f t="shared" si="1"/>
        <v>0.82</v>
      </c>
      <c r="I16" s="6">
        <v>0.55000000000000004</v>
      </c>
      <c r="J16" s="6">
        <f t="shared" si="2"/>
        <v>1297.527</v>
      </c>
      <c r="K16" s="15">
        <f t="shared" si="3"/>
        <v>144.75888</v>
      </c>
    </row>
    <row r="17" spans="1:11" ht="15" thickBot="1" x14ac:dyDescent="0.35">
      <c r="A17" s="8" t="s">
        <v>107</v>
      </c>
      <c r="B17" s="6" t="s">
        <v>49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0"/>
        <v>685</v>
      </c>
      <c r="H17" s="6">
        <f t="shared" si="1"/>
        <v>0.82</v>
      </c>
      <c r="I17" s="6">
        <v>0.55000000000000004</v>
      </c>
      <c r="J17" s="6">
        <f t="shared" si="2"/>
        <v>111.21659999999999</v>
      </c>
      <c r="K17" s="15">
        <f t="shared" si="3"/>
        <v>10.856916</v>
      </c>
    </row>
    <row r="18" spans="1:11" ht="15" thickBot="1" x14ac:dyDescent="0.35">
      <c r="A18" s="8" t="s">
        <v>110</v>
      </c>
      <c r="B18" s="6" t="s">
        <v>49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0"/>
        <v>685</v>
      </c>
      <c r="H18" s="6">
        <f t="shared" si="1"/>
        <v>0.82</v>
      </c>
      <c r="I18" s="6">
        <v>0.55000000000000004</v>
      </c>
      <c r="J18" s="6">
        <f t="shared" si="2"/>
        <v>185.36099999999996</v>
      </c>
      <c r="K18" s="15">
        <f t="shared" si="3"/>
        <v>20.679839999999999</v>
      </c>
    </row>
    <row r="19" spans="1:11" ht="15" thickBot="1" x14ac:dyDescent="0.35">
      <c r="A19" s="8" t="s">
        <v>111</v>
      </c>
      <c r="B19" s="6" t="s">
        <v>50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0"/>
        <v>230</v>
      </c>
      <c r="H19" s="6">
        <f t="shared" si="1"/>
        <v>0.83</v>
      </c>
      <c r="I19" s="6">
        <v>0.55000000000000004</v>
      </c>
      <c r="J19" s="6">
        <f t="shared" si="2"/>
        <v>167.99200000000002</v>
      </c>
      <c r="K19" s="15">
        <f t="shared" si="3"/>
        <v>55.146239999999992</v>
      </c>
    </row>
    <row r="20" spans="1:11" ht="15" thickBot="1" x14ac:dyDescent="0.35">
      <c r="A20" s="8" t="s">
        <v>112</v>
      </c>
      <c r="B20" s="6" t="s">
        <v>50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0"/>
        <v>230</v>
      </c>
      <c r="H20" s="6">
        <f t="shared" si="1"/>
        <v>0.83</v>
      </c>
      <c r="I20" s="6">
        <v>0.55000000000000004</v>
      </c>
      <c r="J20" s="6">
        <f t="shared" si="2"/>
        <v>37.798199999999994</v>
      </c>
      <c r="K20" s="15">
        <f t="shared" si="3"/>
        <v>10.856916</v>
      </c>
    </row>
    <row r="21" spans="1:11" ht="15" thickBot="1" x14ac:dyDescent="0.35">
      <c r="A21" s="8" t="s">
        <v>113</v>
      </c>
      <c r="B21" s="6" t="s">
        <v>49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0"/>
        <v>685</v>
      </c>
      <c r="H21" s="6">
        <f t="shared" si="1"/>
        <v>0.82</v>
      </c>
      <c r="I21" s="6">
        <v>0.55000000000000004</v>
      </c>
      <c r="J21" s="6">
        <f t="shared" si="2"/>
        <v>1297.527</v>
      </c>
      <c r="K21" s="15">
        <f t="shared" si="3"/>
        <v>126.66402000000001</v>
      </c>
    </row>
    <row r="22" spans="1:11" ht="15" thickBot="1" x14ac:dyDescent="0.35">
      <c r="A22" s="8" t="s">
        <v>114</v>
      </c>
      <c r="B22" s="6" t="s">
        <v>50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0"/>
        <v>230</v>
      </c>
      <c r="H22" s="6">
        <f t="shared" si="1"/>
        <v>0.83</v>
      </c>
      <c r="I22" s="6">
        <v>0.55000000000000004</v>
      </c>
      <c r="J22" s="6">
        <f t="shared" si="2"/>
        <v>881.95800000000008</v>
      </c>
      <c r="K22" s="15">
        <f t="shared" si="3"/>
        <v>253.32804000000002</v>
      </c>
    </row>
    <row r="23" spans="1:11" ht="15" thickBot="1" x14ac:dyDescent="0.35">
      <c r="A23" s="8" t="s">
        <v>115</v>
      </c>
      <c r="B23" s="6" t="s">
        <v>47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0"/>
        <v>685</v>
      </c>
      <c r="H23" s="6">
        <f t="shared" si="1"/>
        <v>0.8</v>
      </c>
      <c r="I23" s="6">
        <v>0.55000000000000004</v>
      </c>
      <c r="J23" s="6">
        <f t="shared" si="2"/>
        <v>421.96</v>
      </c>
      <c r="K23" s="15">
        <f t="shared" si="3"/>
        <v>42.221339999999998</v>
      </c>
    </row>
    <row r="24" spans="1:11" ht="15" thickBot="1" x14ac:dyDescent="0.35">
      <c r="A24" s="8" t="s">
        <v>116</v>
      </c>
      <c r="B24" s="6" t="s">
        <v>50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0"/>
        <v>230</v>
      </c>
      <c r="H24" s="6">
        <f t="shared" si="1"/>
        <v>0.83</v>
      </c>
      <c r="I24" s="6">
        <v>0.55000000000000004</v>
      </c>
      <c r="J24" s="6">
        <f t="shared" si="2"/>
        <v>251.98799999999997</v>
      </c>
      <c r="K24" s="15">
        <f t="shared" si="3"/>
        <v>82.719359999999995</v>
      </c>
    </row>
    <row r="25" spans="1:11" ht="15" thickBot="1" x14ac:dyDescent="0.35">
      <c r="A25" s="8" t="s">
        <v>117</v>
      </c>
      <c r="B25" s="6" t="s">
        <v>50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0"/>
        <v>230</v>
      </c>
      <c r="H25" s="6">
        <f t="shared" si="1"/>
        <v>0.83</v>
      </c>
      <c r="I25" s="6">
        <v>0.55000000000000004</v>
      </c>
      <c r="J25" s="6">
        <f t="shared" si="2"/>
        <v>293.98599999999993</v>
      </c>
      <c r="K25" s="15">
        <f t="shared" si="3"/>
        <v>96.505919999999989</v>
      </c>
    </row>
    <row r="26" spans="1:11" ht="15" thickBot="1" x14ac:dyDescent="0.35">
      <c r="A26" s="8" t="s">
        <v>118</v>
      </c>
      <c r="B26" s="6" t="s">
        <v>50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0"/>
        <v>230</v>
      </c>
      <c r="H26" s="6">
        <f t="shared" si="1"/>
        <v>0.83</v>
      </c>
      <c r="I26" s="6">
        <v>0.55000000000000004</v>
      </c>
      <c r="J26" s="6">
        <f t="shared" si="2"/>
        <v>188.99099999999999</v>
      </c>
      <c r="K26" s="15">
        <f t="shared" si="3"/>
        <v>54.284579999999998</v>
      </c>
    </row>
    <row r="27" spans="1:11" ht="15" thickBot="1" x14ac:dyDescent="0.35">
      <c r="A27" s="8" t="s">
        <v>119</v>
      </c>
      <c r="B27" s="6" t="s">
        <v>47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0"/>
        <v>685</v>
      </c>
      <c r="H27" s="6">
        <f t="shared" si="1"/>
        <v>0.8</v>
      </c>
      <c r="I27" s="6">
        <v>0.55000000000000004</v>
      </c>
      <c r="J27" s="6">
        <f t="shared" si="2"/>
        <v>723.36000000000013</v>
      </c>
      <c r="K27" s="15">
        <f t="shared" si="3"/>
        <v>72.379440000000002</v>
      </c>
    </row>
    <row r="28" spans="1:11" ht="15" thickBot="1" x14ac:dyDescent="0.35">
      <c r="A28" s="8" t="s">
        <v>51</v>
      </c>
      <c r="B28" s="6" t="s">
        <v>47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1"/>
        <v>0.8</v>
      </c>
      <c r="I28" s="6">
        <v>0.55000000000000004</v>
      </c>
      <c r="J28" s="6">
        <f t="shared" si="2"/>
        <v>521.42200000000003</v>
      </c>
      <c r="K28" s="15">
        <f t="shared" si="3"/>
        <v>52.173512999999993</v>
      </c>
    </row>
    <row r="29" spans="1:11" ht="15" thickBot="1" x14ac:dyDescent="0.35">
      <c r="A29" s="8" t="s">
        <v>37</v>
      </c>
      <c r="B29" s="6" t="s">
        <v>47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0"/>
        <v>685</v>
      </c>
      <c r="H29" s="6">
        <f t="shared" si="1"/>
        <v>0.8</v>
      </c>
      <c r="I29" s="6">
        <v>0.55000000000000004</v>
      </c>
      <c r="J29" s="6">
        <f>G29*H29*F29*I29</f>
        <v>602.80000000000007</v>
      </c>
      <c r="K29" s="15">
        <f t="shared" si="3"/>
        <v>68.9328</v>
      </c>
    </row>
    <row r="30" spans="1:11" ht="15" thickBot="1" x14ac:dyDescent="0.35">
      <c r="A30" s="8" t="s">
        <v>38</v>
      </c>
      <c r="B30" s="6" t="s">
        <v>47</v>
      </c>
      <c r="C30" s="6">
        <v>2.8721999999999999</v>
      </c>
      <c r="D30" s="6">
        <v>34.5</v>
      </c>
      <c r="E30" s="6">
        <v>22.5</v>
      </c>
      <c r="F30" s="6">
        <f>References!E31*References!F31</f>
        <v>0.36</v>
      </c>
      <c r="G30" s="6">
        <f t="shared" si="0"/>
        <v>685</v>
      </c>
      <c r="H30" s="6">
        <f t="shared" si="1"/>
        <v>0.8</v>
      </c>
      <c r="I30" s="6">
        <v>0.55000000000000004</v>
      </c>
      <c r="J30" s="6">
        <f t="shared" si="2"/>
        <v>108.504</v>
      </c>
      <c r="K30" s="15">
        <f t="shared" si="3"/>
        <v>12.407904</v>
      </c>
    </row>
    <row r="31" spans="1:11" ht="15" thickBot="1" x14ac:dyDescent="0.35">
      <c r="A31" s="8" t="s">
        <v>120</v>
      </c>
      <c r="B31" s="6" t="s">
        <v>47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0"/>
        <v>685</v>
      </c>
      <c r="H31" s="6">
        <f t="shared" si="1"/>
        <v>0.8</v>
      </c>
      <c r="I31" s="6">
        <v>0.55000000000000004</v>
      </c>
      <c r="J31" s="6">
        <f t="shared" si="2"/>
        <v>108.504</v>
      </c>
      <c r="K31" s="15">
        <f t="shared" si="3"/>
        <v>10.856916</v>
      </c>
    </row>
    <row r="32" spans="1:11" ht="15" thickBot="1" x14ac:dyDescent="0.35">
      <c r="A32" s="8" t="s">
        <v>121</v>
      </c>
      <c r="B32" s="6" t="s">
        <v>47</v>
      </c>
      <c r="C32" s="6">
        <v>2.8721999999999999</v>
      </c>
      <c r="D32" s="6">
        <v>34.5</v>
      </c>
      <c r="E32" s="6">
        <v>22.5</v>
      </c>
      <c r="F32" s="6">
        <f>References!E33*References!F33</f>
        <v>2.4</v>
      </c>
      <c r="G32" s="6">
        <f t="shared" si="0"/>
        <v>685</v>
      </c>
      <c r="H32" s="6">
        <f t="shared" si="1"/>
        <v>0.8</v>
      </c>
      <c r="I32" s="6">
        <v>0.55000000000000004</v>
      </c>
      <c r="J32" s="6">
        <f t="shared" si="2"/>
        <v>723.36000000000013</v>
      </c>
      <c r="K32" s="15">
        <f t="shared" si="3"/>
        <v>82.719359999999995</v>
      </c>
    </row>
    <row r="33" spans="1:18" ht="15" thickBot="1" x14ac:dyDescent="0.35">
      <c r="A33" s="23" t="s">
        <v>41</v>
      </c>
      <c r="B33" s="21" t="s">
        <v>47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0"/>
        <v>685</v>
      </c>
      <c r="H33" s="21">
        <f t="shared" si="1"/>
        <v>0.8</v>
      </c>
      <c r="I33" s="21">
        <v>0.55000000000000004</v>
      </c>
      <c r="J33" s="21">
        <f t="shared" si="2"/>
        <v>482.24000000000007</v>
      </c>
      <c r="K33" s="22">
        <f t="shared" si="3"/>
        <v>55.146239999999992</v>
      </c>
    </row>
    <row r="34" spans="1:18" ht="15" thickBot="1" x14ac:dyDescent="0.35">
      <c r="H34" s="89" t="s">
        <v>123</v>
      </c>
      <c r="I34" s="89"/>
      <c r="J34" s="44">
        <f>SUM(J4:J33)</f>
        <v>13744.838250000003</v>
      </c>
      <c r="K34" s="44">
        <f>SUM(K4:K33)</f>
        <v>2064.9042009999998</v>
      </c>
    </row>
    <row r="35" spans="1:18" ht="15" thickBot="1" x14ac:dyDescent="0.35">
      <c r="H35" s="89" t="s">
        <v>167</v>
      </c>
      <c r="I35" s="89"/>
      <c r="J35" s="54">
        <f>J34+K34</f>
        <v>15809.742451000002</v>
      </c>
      <c r="K35" s="54"/>
    </row>
    <row r="36" spans="1:18" x14ac:dyDescent="0.3">
      <c r="H36" s="3"/>
      <c r="I36" s="3"/>
      <c r="J36" s="3"/>
      <c r="K36" s="3"/>
    </row>
    <row r="37" spans="1:18" ht="23.4" x14ac:dyDescent="0.45">
      <c r="A37" s="86" t="s">
        <v>42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</row>
    <row r="38" spans="1:18" ht="15" thickBot="1" x14ac:dyDescent="0.35">
      <c r="A38" s="25" t="s">
        <v>0</v>
      </c>
      <c r="B38" s="36" t="s">
        <v>1</v>
      </c>
      <c r="C38" s="36" t="s">
        <v>2</v>
      </c>
      <c r="D38" s="36" t="s">
        <v>13</v>
      </c>
      <c r="E38" s="36" t="s">
        <v>7</v>
      </c>
      <c r="F38" s="36" t="s">
        <v>3</v>
      </c>
      <c r="G38" s="36" t="s">
        <v>14</v>
      </c>
      <c r="H38" s="36" t="s">
        <v>15</v>
      </c>
      <c r="I38" s="36" t="s">
        <v>16</v>
      </c>
      <c r="J38" s="36" t="s">
        <v>18</v>
      </c>
      <c r="K38" s="24" t="s">
        <v>17</v>
      </c>
    </row>
    <row r="39" spans="1:18" ht="15" thickBot="1" x14ac:dyDescent="0.35">
      <c r="A39" s="8" t="s">
        <v>61</v>
      </c>
      <c r="B39" s="6" t="s">
        <v>48</v>
      </c>
      <c r="C39" s="6">
        <v>2.8721999999999999</v>
      </c>
      <c r="D39" s="6">
        <v>34.5</v>
      </c>
      <c r="E39" s="6">
        <v>22.5</v>
      </c>
      <c r="F39" s="6">
        <v>4.62</v>
      </c>
      <c r="G39" s="6">
        <f>_xlfn.IFS(B39="N",120,B39="E",685,B39="S",230,B39="W",685)</f>
        <v>120</v>
      </c>
      <c r="H39" s="6">
        <f>_xlfn.IFS(B39="N",0.91,B39="E",0.8,B39="S",0.83,B39="W",0.82)</f>
        <v>0.91</v>
      </c>
      <c r="I39" s="6">
        <v>0.55000000000000004</v>
      </c>
      <c r="J39" s="6">
        <f>I39*H39*G39*F39</f>
        <v>277.47720000000004</v>
      </c>
      <c r="K39" s="15">
        <f>(C39*F39)*(D39-E39)</f>
        <v>159.23476799999997</v>
      </c>
    </row>
    <row r="40" spans="1:18" ht="15" thickBot="1" x14ac:dyDescent="0.35">
      <c r="A40" s="8" t="s">
        <v>61</v>
      </c>
      <c r="B40" s="6" t="s">
        <v>48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 t="shared" ref="H40:H67" si="5">_xlfn.IFS(B40="N",0.91,B40="E",0.8,B40="S",0.83,B40="W",0.82)</f>
        <v>0.91</v>
      </c>
      <c r="I40" s="6">
        <v>0.55000000000000004</v>
      </c>
      <c r="J40" s="6">
        <f t="shared" ref="J40:J67" si="6">I40*H40*G40*F40</f>
        <v>277.47720000000004</v>
      </c>
      <c r="K40" s="15">
        <f t="shared" ref="K40:K67" si="7">(C40*F40)*(D40-E40)</f>
        <v>159.23476799999997</v>
      </c>
      <c r="P40" t="s">
        <v>100</v>
      </c>
      <c r="R40">
        <v>2.8721999999999999</v>
      </c>
    </row>
    <row r="41" spans="1:18" ht="15" thickBot="1" x14ac:dyDescent="0.35">
      <c r="A41" s="8" t="s">
        <v>61</v>
      </c>
      <c r="B41" s="6" t="s">
        <v>48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 t="shared" ref="G41:G67" si="8">_xlfn.IFS(B41="N",120,B41="E",685,B41="S",230,B41="W",685)</f>
        <v>120</v>
      </c>
      <c r="H41" s="6">
        <f t="shared" si="5"/>
        <v>0.91</v>
      </c>
      <c r="I41" s="6">
        <v>0.55000000000000004</v>
      </c>
      <c r="J41" s="6">
        <f t="shared" si="6"/>
        <v>277.47720000000004</v>
      </c>
      <c r="K41" s="15">
        <f t="shared" si="7"/>
        <v>159.23476799999997</v>
      </c>
      <c r="P41" t="s">
        <v>101</v>
      </c>
      <c r="R41">
        <v>2.8210999999999999</v>
      </c>
    </row>
    <row r="42" spans="1:18" ht="15" thickBot="1" x14ac:dyDescent="0.35">
      <c r="A42" s="8" t="s">
        <v>61</v>
      </c>
      <c r="B42" s="6" t="s">
        <v>48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si="8"/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7"/>
        <v>159.23476799999997</v>
      </c>
    </row>
    <row r="43" spans="1:18" ht="15" thickBot="1" x14ac:dyDescent="0.35">
      <c r="A43" s="8" t="s">
        <v>65</v>
      </c>
      <c r="B43" s="6" t="s">
        <v>49</v>
      </c>
      <c r="C43" s="6">
        <v>2.8210999999999999</v>
      </c>
      <c r="D43" s="6">
        <v>34.5</v>
      </c>
      <c r="E43" s="6">
        <v>22.5</v>
      </c>
      <c r="F43" s="6">
        <v>2.7</v>
      </c>
      <c r="G43" s="6">
        <f t="shared" si="8"/>
        <v>685</v>
      </c>
      <c r="H43" s="6">
        <f t="shared" si="5"/>
        <v>0.82</v>
      </c>
      <c r="I43" s="6">
        <v>0.55000000000000004</v>
      </c>
      <c r="J43" s="6">
        <f t="shared" si="6"/>
        <v>834.12450000000001</v>
      </c>
      <c r="K43" s="15">
        <f t="shared" si="7"/>
        <v>91.403639999999996</v>
      </c>
    </row>
    <row r="44" spans="1:18" ht="15" thickBot="1" x14ac:dyDescent="0.35">
      <c r="A44" s="8" t="s">
        <v>67</v>
      </c>
      <c r="B44" s="6" t="s">
        <v>49</v>
      </c>
      <c r="C44" s="6">
        <v>2.8721999999999999</v>
      </c>
      <c r="D44" s="6">
        <v>34.5</v>
      </c>
      <c r="E44" s="6">
        <v>22.5</v>
      </c>
      <c r="F44" s="6">
        <v>1.4</v>
      </c>
      <c r="G44" s="6">
        <f t="shared" si="8"/>
        <v>685</v>
      </c>
      <c r="H44" s="6">
        <f t="shared" si="5"/>
        <v>0.82</v>
      </c>
      <c r="I44" s="6">
        <v>0.55000000000000004</v>
      </c>
      <c r="J44" s="6">
        <f t="shared" si="6"/>
        <v>432.50899999999996</v>
      </c>
      <c r="K44" s="15">
        <f t="shared" si="7"/>
        <v>48.252959999999995</v>
      </c>
    </row>
    <row r="45" spans="1:18" ht="15" thickBot="1" x14ac:dyDescent="0.35">
      <c r="A45" s="8" t="s">
        <v>89</v>
      </c>
      <c r="B45" s="6" t="s">
        <v>49</v>
      </c>
      <c r="C45" s="6">
        <v>2.8721999999999999</v>
      </c>
      <c r="D45" s="6">
        <v>34.5</v>
      </c>
      <c r="E45" s="6">
        <v>24</v>
      </c>
      <c r="F45" s="6">
        <v>0.36</v>
      </c>
      <c r="G45" s="6">
        <f t="shared" si="8"/>
        <v>685</v>
      </c>
      <c r="H45" s="6">
        <f t="shared" si="5"/>
        <v>0.82</v>
      </c>
      <c r="I45" s="6">
        <v>0.55000000000000004</v>
      </c>
      <c r="J45" s="6">
        <f t="shared" si="6"/>
        <v>111.2166</v>
      </c>
      <c r="K45" s="15">
        <f t="shared" si="7"/>
        <v>10.856916</v>
      </c>
    </row>
    <row r="46" spans="1:18" ht="15" thickBot="1" x14ac:dyDescent="0.35">
      <c r="A46" s="8" t="s">
        <v>71</v>
      </c>
      <c r="B46" s="6" t="s">
        <v>49</v>
      </c>
      <c r="C46" s="6">
        <v>2.8721999999999999</v>
      </c>
      <c r="D46" s="6">
        <v>34.5</v>
      </c>
      <c r="E46" s="6">
        <v>22.5</v>
      </c>
      <c r="F46" s="6">
        <v>3</v>
      </c>
      <c r="G46" s="6">
        <f t="shared" si="8"/>
        <v>685</v>
      </c>
      <c r="H46" s="6">
        <f t="shared" si="5"/>
        <v>0.82</v>
      </c>
      <c r="I46" s="6">
        <v>0.55000000000000004</v>
      </c>
      <c r="J46" s="6">
        <f t="shared" si="6"/>
        <v>926.80500000000006</v>
      </c>
      <c r="K46" s="15">
        <f t="shared" si="7"/>
        <v>103.39920000000001</v>
      </c>
    </row>
    <row r="47" spans="1:18" ht="15" thickBot="1" x14ac:dyDescent="0.35">
      <c r="A47" s="8" t="s">
        <v>71</v>
      </c>
      <c r="B47" s="6" t="s">
        <v>49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8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7"/>
        <v>103.39920000000001</v>
      </c>
    </row>
    <row r="48" spans="1:18" ht="15" thickBot="1" x14ac:dyDescent="0.35">
      <c r="A48" s="8" t="s">
        <v>71</v>
      </c>
      <c r="B48" s="6" t="s">
        <v>49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8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7"/>
        <v>103.39920000000001</v>
      </c>
    </row>
    <row r="49" spans="1:11" ht="15" thickBot="1" x14ac:dyDescent="0.35">
      <c r="A49" s="8" t="s">
        <v>71</v>
      </c>
      <c r="B49" s="6" t="s">
        <v>49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8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7"/>
        <v>103.39920000000001</v>
      </c>
    </row>
    <row r="50" spans="1:11" ht="15" thickBot="1" x14ac:dyDescent="0.35">
      <c r="A50" s="8" t="s">
        <v>128</v>
      </c>
      <c r="B50" s="6" t="s">
        <v>49</v>
      </c>
      <c r="C50" s="6">
        <v>2.8721999999999999</v>
      </c>
      <c r="D50" s="6">
        <v>34.5</v>
      </c>
      <c r="E50" s="6">
        <v>22.5</v>
      </c>
      <c r="F50" s="6">
        <v>1.95</v>
      </c>
      <c r="G50" s="6">
        <f t="shared" si="8"/>
        <v>685</v>
      </c>
      <c r="H50" s="6">
        <f t="shared" si="5"/>
        <v>0.82</v>
      </c>
      <c r="I50" s="6">
        <v>0.55000000000000004</v>
      </c>
      <c r="J50" s="6">
        <f t="shared" si="6"/>
        <v>602.42324999999994</v>
      </c>
      <c r="K50" s="15">
        <f t="shared" si="7"/>
        <v>67.209479999999999</v>
      </c>
    </row>
    <row r="51" spans="1:11" ht="15" thickBot="1" x14ac:dyDescent="0.35">
      <c r="A51" s="8" t="s">
        <v>129</v>
      </c>
      <c r="B51" s="6" t="s">
        <v>49</v>
      </c>
      <c r="C51" s="6">
        <v>2.8721999999999999</v>
      </c>
      <c r="D51" s="6">
        <v>34.5</v>
      </c>
      <c r="E51" s="6">
        <v>24</v>
      </c>
      <c r="F51" s="6">
        <v>5.0199999999999996</v>
      </c>
      <c r="G51" s="6">
        <f t="shared" si="8"/>
        <v>685</v>
      </c>
      <c r="H51" s="6">
        <f t="shared" si="5"/>
        <v>0.82</v>
      </c>
      <c r="I51" s="6">
        <v>0.55000000000000004</v>
      </c>
      <c r="J51" s="6">
        <f t="shared" si="6"/>
        <v>1550.8536999999999</v>
      </c>
      <c r="K51" s="15">
        <f t="shared" si="7"/>
        <v>151.39366199999998</v>
      </c>
    </row>
    <row r="52" spans="1:11" ht="15" thickBot="1" x14ac:dyDescent="0.35">
      <c r="A52" s="8" t="s">
        <v>130</v>
      </c>
      <c r="B52" s="6" t="s">
        <v>50</v>
      </c>
      <c r="C52" s="6">
        <v>2.8721999999999999</v>
      </c>
      <c r="D52" s="6">
        <v>34.5</v>
      </c>
      <c r="E52" s="6">
        <v>22.5</v>
      </c>
      <c r="F52" s="6">
        <v>2.4</v>
      </c>
      <c r="G52" s="6">
        <f t="shared" si="8"/>
        <v>230</v>
      </c>
      <c r="H52" s="6">
        <f t="shared" si="5"/>
        <v>0.83</v>
      </c>
      <c r="I52" s="6">
        <v>0.55000000000000004</v>
      </c>
      <c r="J52" s="6">
        <f t="shared" si="6"/>
        <v>251.988</v>
      </c>
      <c r="K52" s="15">
        <f t="shared" si="7"/>
        <v>82.719359999999995</v>
      </c>
    </row>
    <row r="53" spans="1:11" ht="15" thickBot="1" x14ac:dyDescent="0.35">
      <c r="A53" s="8" t="s">
        <v>156</v>
      </c>
      <c r="B53" s="6" t="s">
        <v>50</v>
      </c>
      <c r="C53" s="6">
        <v>2.8721999999999999</v>
      </c>
      <c r="D53" s="6">
        <v>34.5</v>
      </c>
      <c r="E53" s="6">
        <v>24</v>
      </c>
      <c r="F53" s="6">
        <v>0.36</v>
      </c>
      <c r="G53" s="6">
        <f t="shared" si="8"/>
        <v>230</v>
      </c>
      <c r="H53" s="6">
        <f t="shared" si="5"/>
        <v>0.83</v>
      </c>
      <c r="I53" s="6">
        <v>0.55000000000000004</v>
      </c>
      <c r="J53" s="6">
        <f t="shared" si="6"/>
        <v>37.798200000000001</v>
      </c>
      <c r="K53" s="15">
        <f t="shared" si="7"/>
        <v>10.856916</v>
      </c>
    </row>
    <row r="54" spans="1:11" ht="15" thickBot="1" x14ac:dyDescent="0.35">
      <c r="A54" s="8" t="s">
        <v>132</v>
      </c>
      <c r="B54" s="6" t="s">
        <v>50</v>
      </c>
      <c r="C54" s="6">
        <v>2.8721999999999999</v>
      </c>
      <c r="D54" s="6">
        <v>34.5</v>
      </c>
      <c r="E54" s="6">
        <v>22.5</v>
      </c>
      <c r="F54" s="6">
        <v>2.8</v>
      </c>
      <c r="G54" s="6">
        <f t="shared" si="8"/>
        <v>230</v>
      </c>
      <c r="H54" s="6">
        <f t="shared" si="5"/>
        <v>0.83</v>
      </c>
      <c r="I54" s="6">
        <v>0.55000000000000004</v>
      </c>
      <c r="J54" s="6">
        <f t="shared" si="6"/>
        <v>293.98599999999999</v>
      </c>
      <c r="K54" s="15">
        <f t="shared" si="7"/>
        <v>96.505919999999989</v>
      </c>
    </row>
    <row r="55" spans="1:11" ht="15" thickBot="1" x14ac:dyDescent="0.35">
      <c r="A55" s="8" t="s">
        <v>163</v>
      </c>
      <c r="B55" s="6" t="s">
        <v>50</v>
      </c>
      <c r="C55" s="6">
        <v>2.8721999999999999</v>
      </c>
      <c r="D55" s="6">
        <v>34.5</v>
      </c>
      <c r="E55" s="6">
        <v>22.5</v>
      </c>
      <c r="F55" s="6">
        <v>0.36</v>
      </c>
      <c r="G55" s="6">
        <f t="shared" si="8"/>
        <v>230</v>
      </c>
      <c r="H55" s="6">
        <f t="shared" si="5"/>
        <v>0.83</v>
      </c>
      <c r="I55" s="6">
        <v>0.55000000000000004</v>
      </c>
      <c r="J55" s="6">
        <f t="shared" si="6"/>
        <v>37.798200000000001</v>
      </c>
      <c r="K55" s="15">
        <f t="shared" si="7"/>
        <v>12.407904</v>
      </c>
    </row>
    <row r="56" spans="1:11" ht="15" thickBot="1" x14ac:dyDescent="0.35">
      <c r="A56" s="8" t="s">
        <v>164</v>
      </c>
      <c r="B56" s="6" t="s">
        <v>50</v>
      </c>
      <c r="C56" s="6">
        <v>2.8721999999999999</v>
      </c>
      <c r="D56" s="6">
        <v>34.5</v>
      </c>
      <c r="E56" s="6">
        <v>22.5</v>
      </c>
      <c r="F56" s="6">
        <v>0.36</v>
      </c>
      <c r="G56" s="6">
        <f t="shared" si="8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7"/>
        <v>12.407904</v>
      </c>
    </row>
    <row r="57" spans="1:11" ht="15" thickBot="1" x14ac:dyDescent="0.35">
      <c r="A57" s="8" t="s">
        <v>165</v>
      </c>
      <c r="B57" s="6" t="s">
        <v>50</v>
      </c>
      <c r="C57" s="6">
        <v>2.8721999999999999</v>
      </c>
      <c r="D57" s="6">
        <v>34.5</v>
      </c>
      <c r="E57" s="6">
        <v>22.5</v>
      </c>
      <c r="F57" s="6">
        <v>0.36</v>
      </c>
      <c r="G57" s="6">
        <f t="shared" si="8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7"/>
        <v>12.407904</v>
      </c>
    </row>
    <row r="58" spans="1:11" ht="15" thickBot="1" x14ac:dyDescent="0.35">
      <c r="A58" s="8" t="s">
        <v>166</v>
      </c>
      <c r="B58" s="6" t="s">
        <v>50</v>
      </c>
      <c r="C58" s="6">
        <v>2.8721999999999999</v>
      </c>
      <c r="D58" s="6">
        <v>34.5</v>
      </c>
      <c r="E58" s="6">
        <v>24</v>
      </c>
      <c r="F58" s="6">
        <v>1.6</v>
      </c>
      <c r="G58" s="6">
        <f t="shared" si="8"/>
        <v>230</v>
      </c>
      <c r="H58" s="6">
        <f t="shared" si="5"/>
        <v>0.83</v>
      </c>
      <c r="I58" s="6">
        <v>0.55000000000000004</v>
      </c>
      <c r="J58" s="6">
        <f t="shared" si="6"/>
        <v>167.99200000000002</v>
      </c>
      <c r="K58" s="15">
        <f t="shared" si="7"/>
        <v>48.252959999999995</v>
      </c>
    </row>
    <row r="59" spans="1:11" ht="15" thickBot="1" x14ac:dyDescent="0.35">
      <c r="A59" s="8" t="s">
        <v>137</v>
      </c>
      <c r="B59" s="6" t="s">
        <v>50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8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7"/>
        <v>48.252959999999995</v>
      </c>
    </row>
    <row r="60" spans="1:11" ht="15" thickBot="1" x14ac:dyDescent="0.35">
      <c r="A60" s="8" t="s">
        <v>138</v>
      </c>
      <c r="B60" s="6" t="s">
        <v>50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8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7"/>
        <v>48.252959999999995</v>
      </c>
    </row>
    <row r="61" spans="1:11" ht="15" thickBot="1" x14ac:dyDescent="0.35">
      <c r="A61" s="8" t="s">
        <v>139</v>
      </c>
      <c r="B61" s="6" t="s">
        <v>50</v>
      </c>
      <c r="C61" s="6">
        <v>2.8721999999999999</v>
      </c>
      <c r="D61" s="6">
        <v>34.5</v>
      </c>
      <c r="E61" s="6">
        <v>22.5</v>
      </c>
      <c r="F61" s="6">
        <v>1.6</v>
      </c>
      <c r="G61" s="6">
        <f t="shared" si="8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7"/>
        <v>55.146239999999992</v>
      </c>
    </row>
    <row r="62" spans="1:11" ht="15" thickBot="1" x14ac:dyDescent="0.35">
      <c r="A62" s="8" t="s">
        <v>141</v>
      </c>
      <c r="B62" s="6" t="s">
        <v>47</v>
      </c>
      <c r="C62" s="6">
        <v>2.8721999999999999</v>
      </c>
      <c r="D62" s="6">
        <v>34.5</v>
      </c>
      <c r="E62" s="6">
        <v>22.5</v>
      </c>
      <c r="F62" s="6">
        <v>2.1</v>
      </c>
      <c r="G62" s="6">
        <f t="shared" si="8"/>
        <v>685</v>
      </c>
      <c r="H62" s="6">
        <f t="shared" si="5"/>
        <v>0.8</v>
      </c>
      <c r="I62" s="6">
        <v>0.55000000000000004</v>
      </c>
      <c r="J62" s="6">
        <f t="shared" si="6"/>
        <v>632.94000000000005</v>
      </c>
      <c r="K62" s="15">
        <f t="shared" si="7"/>
        <v>72.379440000000002</v>
      </c>
    </row>
    <row r="63" spans="1:11" ht="15" thickBot="1" x14ac:dyDescent="0.35">
      <c r="A63" s="8" t="s">
        <v>142</v>
      </c>
      <c r="B63" s="6" t="s">
        <v>47</v>
      </c>
      <c r="C63" s="6">
        <v>2.8721999999999999</v>
      </c>
      <c r="D63" s="6">
        <v>34.5</v>
      </c>
      <c r="E63" s="6">
        <v>22.5</v>
      </c>
      <c r="F63" s="6">
        <v>3.6</v>
      </c>
      <c r="G63" s="6">
        <f t="shared" si="8"/>
        <v>685</v>
      </c>
      <c r="H63" s="6">
        <f t="shared" si="5"/>
        <v>0.8</v>
      </c>
      <c r="I63" s="6">
        <v>0.55000000000000004</v>
      </c>
      <c r="J63" s="6">
        <f t="shared" si="6"/>
        <v>1085.0400000000002</v>
      </c>
      <c r="K63" s="15">
        <f t="shared" si="7"/>
        <v>124.07903999999999</v>
      </c>
    </row>
    <row r="64" spans="1:11" ht="15" thickBot="1" x14ac:dyDescent="0.35">
      <c r="A64" s="8" t="s">
        <v>143</v>
      </c>
      <c r="B64" s="6" t="s">
        <v>47</v>
      </c>
      <c r="C64" s="6">
        <v>2.8721999999999999</v>
      </c>
      <c r="D64" s="6">
        <v>34.5</v>
      </c>
      <c r="E64" s="6">
        <v>22.5</v>
      </c>
      <c r="F64" s="6">
        <v>2.72</v>
      </c>
      <c r="G64" s="6">
        <f t="shared" si="8"/>
        <v>685</v>
      </c>
      <c r="H64" s="6">
        <f t="shared" si="5"/>
        <v>0.8</v>
      </c>
      <c r="I64" s="6">
        <v>0.55000000000000004</v>
      </c>
      <c r="J64" s="6">
        <f t="shared" si="6"/>
        <v>819.80800000000011</v>
      </c>
      <c r="K64" s="15">
        <f t="shared" si="7"/>
        <v>93.74860799999999</v>
      </c>
    </row>
    <row r="65" spans="1:11" ht="15" thickBot="1" x14ac:dyDescent="0.35">
      <c r="A65" s="8" t="s">
        <v>144</v>
      </c>
      <c r="B65" s="6" t="s">
        <v>50</v>
      </c>
      <c r="C65" s="6">
        <v>2.8721999999999999</v>
      </c>
      <c r="D65" s="6">
        <v>34.5</v>
      </c>
      <c r="E65" s="6">
        <v>22.5</v>
      </c>
      <c r="F65" s="6">
        <v>1.2</v>
      </c>
      <c r="G65" s="6">
        <f t="shared" si="8"/>
        <v>230</v>
      </c>
      <c r="H65" s="6">
        <f t="shared" si="5"/>
        <v>0.83</v>
      </c>
      <c r="I65" s="6">
        <v>0.55000000000000004</v>
      </c>
      <c r="J65" s="6">
        <f t="shared" si="6"/>
        <v>125.994</v>
      </c>
      <c r="K65" s="15">
        <f t="shared" si="7"/>
        <v>41.359679999999997</v>
      </c>
    </row>
    <row r="66" spans="1:11" ht="15" thickBot="1" x14ac:dyDescent="0.35">
      <c r="A66" s="8" t="s">
        <v>67</v>
      </c>
      <c r="B66" s="6" t="s">
        <v>47</v>
      </c>
      <c r="C66" s="6">
        <v>2.8721999999999999</v>
      </c>
      <c r="D66" s="6">
        <v>34.5</v>
      </c>
      <c r="E66" s="6">
        <v>22.5</v>
      </c>
      <c r="F66" s="6">
        <v>1.4</v>
      </c>
      <c r="G66" s="6">
        <f t="shared" si="8"/>
        <v>685</v>
      </c>
      <c r="H66" s="6">
        <f t="shared" si="5"/>
        <v>0.8</v>
      </c>
      <c r="I66" s="6">
        <v>0.55000000000000004</v>
      </c>
      <c r="J66" s="6">
        <f t="shared" si="6"/>
        <v>421.96000000000004</v>
      </c>
      <c r="K66" s="15">
        <f t="shared" si="7"/>
        <v>48.252959999999995</v>
      </c>
    </row>
    <row r="67" spans="1:11" ht="15" thickBot="1" x14ac:dyDescent="0.35">
      <c r="A67" s="23" t="s">
        <v>89</v>
      </c>
      <c r="B67" s="21" t="s">
        <v>47</v>
      </c>
      <c r="C67" s="21">
        <v>2.8721999999999999</v>
      </c>
      <c r="D67" s="21">
        <v>34.5</v>
      </c>
      <c r="E67" s="21">
        <v>24</v>
      </c>
      <c r="F67" s="21">
        <v>0.36</v>
      </c>
      <c r="G67" s="21">
        <f t="shared" si="8"/>
        <v>685</v>
      </c>
      <c r="H67" s="21">
        <f t="shared" si="5"/>
        <v>0.8</v>
      </c>
      <c r="I67" s="21">
        <v>0.55000000000000004</v>
      </c>
      <c r="J67" s="21">
        <f t="shared" si="6"/>
        <v>108.504</v>
      </c>
      <c r="K67" s="22">
        <f t="shared" si="7"/>
        <v>10.856916</v>
      </c>
    </row>
    <row r="68" spans="1:11" ht="15" thickBot="1" x14ac:dyDescent="0.35">
      <c r="H68" s="89" t="s">
        <v>123</v>
      </c>
      <c r="I68" s="89"/>
      <c r="J68" s="44">
        <f>SUM(J39:J67)</f>
        <v>12911.636650000004</v>
      </c>
      <c r="K68" s="44">
        <f>SUM(K39:K67)</f>
        <v>2237.5402020000001</v>
      </c>
    </row>
    <row r="69" spans="1:11" ht="15" thickBot="1" x14ac:dyDescent="0.35">
      <c r="H69" s="89" t="s">
        <v>168</v>
      </c>
      <c r="I69" s="89"/>
      <c r="J69" s="54">
        <f>J68+K68</f>
        <v>15149.176852000004</v>
      </c>
      <c r="K69" s="54"/>
    </row>
    <row r="71" spans="1:11" ht="23.4" x14ac:dyDescent="0.45">
      <c r="A71" s="86" t="s">
        <v>60</v>
      </c>
      <c r="B71" s="86"/>
      <c r="C71" s="86"/>
      <c r="D71" s="86"/>
      <c r="E71" s="86"/>
      <c r="F71" s="86"/>
      <c r="G71" s="86"/>
      <c r="H71" s="86"/>
      <c r="I71" s="86"/>
      <c r="J71" s="86"/>
      <c r="K71" s="86"/>
    </row>
    <row r="72" spans="1:11" ht="15" thickBot="1" x14ac:dyDescent="0.35">
      <c r="A72" s="25" t="s">
        <v>0</v>
      </c>
      <c r="B72" s="36" t="s">
        <v>1</v>
      </c>
      <c r="C72" s="36" t="s">
        <v>2</v>
      </c>
      <c r="D72" s="36" t="s">
        <v>13</v>
      </c>
      <c r="E72" s="36" t="s">
        <v>7</v>
      </c>
      <c r="F72" s="36" t="s">
        <v>3</v>
      </c>
      <c r="G72" s="36" t="s">
        <v>14</v>
      </c>
      <c r="H72" s="36" t="s">
        <v>15</v>
      </c>
      <c r="I72" s="36" t="s">
        <v>16</v>
      </c>
      <c r="J72" s="36" t="s">
        <v>18</v>
      </c>
      <c r="K72" s="24" t="s">
        <v>17</v>
      </c>
    </row>
    <row r="73" spans="1:11" ht="15" thickBot="1" x14ac:dyDescent="0.35">
      <c r="A73" s="8" t="s">
        <v>61</v>
      </c>
      <c r="B73" s="6" t="s">
        <v>48</v>
      </c>
      <c r="C73" s="6">
        <v>2.8721999999999999</v>
      </c>
      <c r="D73" s="6">
        <v>34.5</v>
      </c>
      <c r="E73" s="6">
        <v>22.5</v>
      </c>
      <c r="F73" s="6">
        <f>References!E41*References!F41</f>
        <v>2.31</v>
      </c>
      <c r="G73" s="37">
        <f>_xlfn.IFS(B73="E",685,B73="N",120,B73="W",685,B73="S",230)</f>
        <v>120</v>
      </c>
      <c r="H73" s="37">
        <f>_xlfn.IFS(B73="E",0.8,B73="N",0.91,B73="W",0.82,B73="S",0.83)</f>
        <v>0.91</v>
      </c>
      <c r="I73" s="37">
        <v>0.55000000000000004</v>
      </c>
      <c r="J73" s="37">
        <f>G73*H73*F73*I73</f>
        <v>138.73860000000002</v>
      </c>
      <c r="K73" s="38">
        <f>(C73*F73)*(D73-E73)</f>
        <v>79.617383999999987</v>
      </c>
    </row>
    <row r="74" spans="1:11" ht="15" thickBot="1" x14ac:dyDescent="0.35">
      <c r="A74" s="8" t="s">
        <v>61</v>
      </c>
      <c r="B74" s="6" t="s">
        <v>48</v>
      </c>
      <c r="C74" s="6">
        <v>2.8721999999999999</v>
      </c>
      <c r="D74" s="6">
        <v>34.5</v>
      </c>
      <c r="E74" s="6">
        <v>22.5</v>
      </c>
      <c r="F74" s="6">
        <f>References!E42*References!F42</f>
        <v>2.31</v>
      </c>
      <c r="G74" s="37">
        <f t="shared" ref="G74:G98" si="9">_xlfn.IFS(B74="E",685,B74="N",120,B74="W",685,B74="S",230)</f>
        <v>120</v>
      </c>
      <c r="H74" s="37">
        <f t="shared" ref="H74:H98" si="10">_xlfn.IFS(B74="E",0.8,B74="N",0.91,B74="W",0.82,B74="S",0.83)</f>
        <v>0.91</v>
      </c>
      <c r="I74" s="37">
        <v>0.55000000000000004</v>
      </c>
      <c r="J74" s="37">
        <f t="shared" ref="J74:J99" si="11">G74*H74*F74*I74</f>
        <v>138.73860000000002</v>
      </c>
      <c r="K74" s="38">
        <f t="shared" ref="K74:K99" si="12">(C74*F74)*(D74-E74)</f>
        <v>79.617383999999987</v>
      </c>
    </row>
    <row r="75" spans="1:11" ht="15" thickBot="1" x14ac:dyDescent="0.35">
      <c r="A75" s="8" t="s">
        <v>61</v>
      </c>
      <c r="B75" s="6" t="s">
        <v>48</v>
      </c>
      <c r="C75" s="6">
        <v>2.8721999999999999</v>
      </c>
      <c r="D75" s="6">
        <v>34.5</v>
      </c>
      <c r="E75" s="6">
        <v>22.5</v>
      </c>
      <c r="F75" s="6">
        <f>References!E43*References!F43</f>
        <v>2.31</v>
      </c>
      <c r="G75" s="37">
        <f t="shared" si="9"/>
        <v>120</v>
      </c>
      <c r="H75" s="37">
        <f t="shared" si="10"/>
        <v>0.91</v>
      </c>
      <c r="I75" s="37">
        <v>0.55000000000000004</v>
      </c>
      <c r="J75" s="37">
        <f t="shared" si="11"/>
        <v>138.73860000000002</v>
      </c>
      <c r="K75" s="38">
        <f t="shared" si="12"/>
        <v>79.617383999999987</v>
      </c>
    </row>
    <row r="76" spans="1:11" ht="15" thickBot="1" x14ac:dyDescent="0.35">
      <c r="A76" s="8" t="s">
        <v>61</v>
      </c>
      <c r="B76" s="6" t="s">
        <v>48</v>
      </c>
      <c r="C76" s="6">
        <v>2.8721999999999999</v>
      </c>
      <c r="D76" s="6">
        <v>34.5</v>
      </c>
      <c r="E76" s="6">
        <v>22.5</v>
      </c>
      <c r="F76" s="6">
        <f>References!E44*References!F44</f>
        <v>2.31</v>
      </c>
      <c r="G76" s="37">
        <f t="shared" si="9"/>
        <v>120</v>
      </c>
      <c r="H76" s="37">
        <f t="shared" si="10"/>
        <v>0.91</v>
      </c>
      <c r="I76" s="37">
        <v>0.55000000000000004</v>
      </c>
      <c r="J76" s="37">
        <f t="shared" si="11"/>
        <v>138.73860000000002</v>
      </c>
      <c r="K76" s="38">
        <f t="shared" si="12"/>
        <v>79.617383999999987</v>
      </c>
    </row>
    <row r="77" spans="1:11" ht="15" thickBot="1" x14ac:dyDescent="0.35">
      <c r="A77" s="8" t="s">
        <v>65</v>
      </c>
      <c r="B77" s="6" t="s">
        <v>49</v>
      </c>
      <c r="C77" s="6">
        <v>2.8721999999999999</v>
      </c>
      <c r="D77" s="6">
        <v>34.5</v>
      </c>
      <c r="E77" s="6">
        <v>22.5</v>
      </c>
      <c r="F77" s="6">
        <f>References!E45*References!F45</f>
        <v>2.7</v>
      </c>
      <c r="G77" s="37">
        <f t="shared" si="9"/>
        <v>685</v>
      </c>
      <c r="H77" s="37">
        <f t="shared" si="10"/>
        <v>0.82</v>
      </c>
      <c r="I77" s="37">
        <v>0.55000000000000004</v>
      </c>
      <c r="J77" s="37">
        <f t="shared" si="11"/>
        <v>834.12450000000001</v>
      </c>
      <c r="K77" s="38">
        <f t="shared" si="12"/>
        <v>93.059280000000001</v>
      </c>
    </row>
    <row r="78" spans="1:11" ht="15" thickBot="1" x14ac:dyDescent="0.35">
      <c r="A78" s="8" t="s">
        <v>67</v>
      </c>
      <c r="B78" s="6" t="s">
        <v>49</v>
      </c>
      <c r="C78" s="6">
        <v>2.8721999999999999</v>
      </c>
      <c r="D78" s="6">
        <v>34.5</v>
      </c>
      <c r="E78" s="6">
        <v>22.5</v>
      </c>
      <c r="F78" s="6">
        <f>References!E46*References!F46</f>
        <v>1.4</v>
      </c>
      <c r="G78" s="37">
        <f t="shared" si="9"/>
        <v>685</v>
      </c>
      <c r="H78" s="37">
        <f t="shared" si="10"/>
        <v>0.82</v>
      </c>
      <c r="I78" s="37">
        <v>0.55000000000000004</v>
      </c>
      <c r="J78" s="37">
        <f t="shared" si="11"/>
        <v>432.50899999999996</v>
      </c>
      <c r="K78" s="38">
        <f t="shared" si="12"/>
        <v>48.252959999999995</v>
      </c>
    </row>
    <row r="79" spans="1:11" ht="15" thickBot="1" x14ac:dyDescent="0.35">
      <c r="A79" s="8" t="s">
        <v>71</v>
      </c>
      <c r="B79" s="6" t="s">
        <v>49</v>
      </c>
      <c r="C79" s="6">
        <v>2.8721999999999999</v>
      </c>
      <c r="D79" s="6">
        <v>34.5</v>
      </c>
      <c r="E79" s="6">
        <v>22.5</v>
      </c>
      <c r="F79" s="6">
        <f>References!E47*References!F47</f>
        <v>1.4</v>
      </c>
      <c r="G79" s="37">
        <f t="shared" si="9"/>
        <v>685</v>
      </c>
      <c r="H79" s="37">
        <f t="shared" si="10"/>
        <v>0.82</v>
      </c>
      <c r="I79" s="37">
        <v>0.55000000000000004</v>
      </c>
      <c r="J79" s="37">
        <f t="shared" si="11"/>
        <v>432.50899999999996</v>
      </c>
      <c r="K79" s="38">
        <f t="shared" si="12"/>
        <v>48.252959999999995</v>
      </c>
    </row>
    <row r="80" spans="1:11" ht="15" thickBot="1" x14ac:dyDescent="0.35">
      <c r="A80" s="8" t="s">
        <v>71</v>
      </c>
      <c r="B80" s="6" t="s">
        <v>49</v>
      </c>
      <c r="C80" s="6">
        <v>2.8721999999999999</v>
      </c>
      <c r="D80" s="6">
        <v>34.5</v>
      </c>
      <c r="E80" s="6">
        <v>22.5</v>
      </c>
      <c r="F80" s="6">
        <f>References!E48*References!F48</f>
        <v>1.4</v>
      </c>
      <c r="G80" s="37">
        <f t="shared" si="9"/>
        <v>685</v>
      </c>
      <c r="H80" s="37">
        <f t="shared" si="10"/>
        <v>0.82</v>
      </c>
      <c r="I80" s="37">
        <v>0.55000000000000004</v>
      </c>
      <c r="J80" s="37">
        <f t="shared" si="11"/>
        <v>432.50899999999996</v>
      </c>
      <c r="K80" s="38">
        <f t="shared" si="12"/>
        <v>48.252959999999995</v>
      </c>
    </row>
    <row r="81" spans="1:11" ht="15" thickBot="1" x14ac:dyDescent="0.35">
      <c r="A81" s="8" t="s">
        <v>71</v>
      </c>
      <c r="B81" s="6" t="s">
        <v>49</v>
      </c>
      <c r="C81" s="6">
        <v>2.8721999999999999</v>
      </c>
      <c r="D81" s="6">
        <v>34.5</v>
      </c>
      <c r="E81" s="6">
        <v>22.5</v>
      </c>
      <c r="F81" s="6">
        <f>References!E49*References!F49</f>
        <v>1.4</v>
      </c>
      <c r="G81" s="37">
        <f t="shared" si="9"/>
        <v>685</v>
      </c>
      <c r="H81" s="37">
        <f t="shared" si="10"/>
        <v>0.82</v>
      </c>
      <c r="I81" s="37">
        <v>0.55000000000000004</v>
      </c>
      <c r="J81" s="37">
        <f t="shared" si="11"/>
        <v>432.50899999999996</v>
      </c>
      <c r="K81" s="38">
        <f t="shared" si="12"/>
        <v>48.252959999999995</v>
      </c>
    </row>
    <row r="82" spans="1:11" ht="15" thickBot="1" x14ac:dyDescent="0.35">
      <c r="A82" s="8" t="s">
        <v>71</v>
      </c>
      <c r="B82" s="6" t="s">
        <v>49</v>
      </c>
      <c r="C82" s="6">
        <v>2.8721999999999999</v>
      </c>
      <c r="D82" s="6">
        <v>34.5</v>
      </c>
      <c r="E82" s="6">
        <v>22.5</v>
      </c>
      <c r="F82" s="6">
        <f>References!E50*References!F50</f>
        <v>1.4</v>
      </c>
      <c r="G82" s="37">
        <f t="shared" si="9"/>
        <v>685</v>
      </c>
      <c r="H82" s="37">
        <f t="shared" si="10"/>
        <v>0.82</v>
      </c>
      <c r="I82" s="37">
        <v>0.55000000000000004</v>
      </c>
      <c r="J82" s="37">
        <f t="shared" si="11"/>
        <v>432.50899999999996</v>
      </c>
      <c r="K82" s="38">
        <f t="shared" si="12"/>
        <v>48.252959999999995</v>
      </c>
    </row>
    <row r="83" spans="1:11" ht="15" thickBot="1" x14ac:dyDescent="0.35">
      <c r="A83" s="8" t="s">
        <v>72</v>
      </c>
      <c r="B83" s="6" t="s">
        <v>49</v>
      </c>
      <c r="C83" s="6">
        <v>2.8210999999999999</v>
      </c>
      <c r="D83" s="6">
        <v>34.5</v>
      </c>
      <c r="E83" s="6">
        <v>22.5</v>
      </c>
      <c r="F83" s="6">
        <f>References!E51*References!F51</f>
        <v>3.35</v>
      </c>
      <c r="G83" s="37">
        <f t="shared" si="9"/>
        <v>685</v>
      </c>
      <c r="H83" s="37">
        <f t="shared" si="10"/>
        <v>0.82</v>
      </c>
      <c r="I83" s="37">
        <v>0.55000000000000004</v>
      </c>
      <c r="J83" s="37">
        <f t="shared" si="11"/>
        <v>1034.9322499999998</v>
      </c>
      <c r="K83" s="38">
        <f t="shared" si="12"/>
        <v>113.40822</v>
      </c>
    </row>
    <row r="84" spans="1:11" ht="15" thickBot="1" x14ac:dyDescent="0.35">
      <c r="A84" s="8" t="s">
        <v>73</v>
      </c>
      <c r="B84" s="6" t="s">
        <v>49</v>
      </c>
      <c r="C84" s="6">
        <v>2.8721999999999999</v>
      </c>
      <c r="D84" s="6">
        <v>34.5</v>
      </c>
      <c r="E84" s="6">
        <v>22.5</v>
      </c>
      <c r="F84" s="6">
        <f>References!E52*References!F52</f>
        <v>2.4</v>
      </c>
      <c r="G84" s="37">
        <f t="shared" si="9"/>
        <v>685</v>
      </c>
      <c r="H84" s="37">
        <f t="shared" si="10"/>
        <v>0.82</v>
      </c>
      <c r="I84" s="37">
        <v>0.55000000000000004</v>
      </c>
      <c r="J84" s="37">
        <f t="shared" si="11"/>
        <v>741.44399999999985</v>
      </c>
      <c r="K84" s="38">
        <f t="shared" si="12"/>
        <v>82.719359999999995</v>
      </c>
    </row>
    <row r="85" spans="1:11" ht="15" thickBot="1" x14ac:dyDescent="0.35">
      <c r="A85" s="8" t="s">
        <v>76</v>
      </c>
      <c r="B85" s="6" t="s">
        <v>49</v>
      </c>
      <c r="C85" s="6">
        <v>2.8721999999999999</v>
      </c>
      <c r="D85" s="6">
        <v>34.5</v>
      </c>
      <c r="E85" s="6">
        <v>22.5</v>
      </c>
      <c r="F85" s="6">
        <f>References!E53*References!F53</f>
        <v>2.4</v>
      </c>
      <c r="G85" s="37">
        <f t="shared" si="9"/>
        <v>685</v>
      </c>
      <c r="H85" s="37">
        <f t="shared" si="10"/>
        <v>0.82</v>
      </c>
      <c r="I85" s="37">
        <v>0.55000000000000004</v>
      </c>
      <c r="J85" s="37">
        <f t="shared" si="11"/>
        <v>741.44399999999985</v>
      </c>
      <c r="K85" s="38">
        <f t="shared" si="12"/>
        <v>82.719359999999995</v>
      </c>
    </row>
    <row r="86" spans="1:11" ht="15" thickBot="1" x14ac:dyDescent="0.35">
      <c r="A86" s="8" t="s">
        <v>77</v>
      </c>
      <c r="B86" s="6" t="s">
        <v>49</v>
      </c>
      <c r="C86" s="6">
        <v>2.8721999999999999</v>
      </c>
      <c r="D86" s="6">
        <v>34.5</v>
      </c>
      <c r="E86" s="6">
        <v>22.5</v>
      </c>
      <c r="F86" s="6">
        <f>References!E54*References!F54</f>
        <v>2.4</v>
      </c>
      <c r="G86" s="37">
        <f t="shared" si="9"/>
        <v>685</v>
      </c>
      <c r="H86" s="37">
        <f t="shared" si="10"/>
        <v>0.82</v>
      </c>
      <c r="I86" s="37">
        <v>0.55000000000000004</v>
      </c>
      <c r="J86" s="37">
        <f t="shared" si="11"/>
        <v>741.44399999999985</v>
      </c>
      <c r="K86" s="38">
        <f t="shared" si="12"/>
        <v>82.719359999999995</v>
      </c>
    </row>
    <row r="87" spans="1:11" ht="15" thickBot="1" x14ac:dyDescent="0.35">
      <c r="A87" s="8" t="s">
        <v>78</v>
      </c>
      <c r="B87" s="6" t="s">
        <v>49</v>
      </c>
      <c r="C87" s="6">
        <v>2.8721999999999999</v>
      </c>
      <c r="D87" s="6">
        <v>34.5</v>
      </c>
      <c r="E87" s="6">
        <v>22.5</v>
      </c>
      <c r="F87" s="6">
        <f>References!E55*References!F55</f>
        <v>2.23</v>
      </c>
      <c r="G87" s="37">
        <f t="shared" si="9"/>
        <v>685</v>
      </c>
      <c r="H87" s="37">
        <f t="shared" si="10"/>
        <v>0.82</v>
      </c>
      <c r="I87" s="37">
        <v>0.55000000000000004</v>
      </c>
      <c r="J87" s="37">
        <f t="shared" si="11"/>
        <v>688.92504999999994</v>
      </c>
      <c r="K87" s="38">
        <f t="shared" si="12"/>
        <v>76.860071999999988</v>
      </c>
    </row>
    <row r="88" spans="1:11" ht="15" thickBot="1" x14ac:dyDescent="0.35">
      <c r="A88" s="8" t="s">
        <v>90</v>
      </c>
      <c r="B88" s="6" t="s">
        <v>49</v>
      </c>
      <c r="C88" s="6">
        <v>2.8721999999999999</v>
      </c>
      <c r="D88" s="6">
        <v>34.5</v>
      </c>
      <c r="E88" s="6">
        <v>24</v>
      </c>
      <c r="F88" s="6">
        <f>References!E56*References!F56</f>
        <v>0.36</v>
      </c>
      <c r="G88" s="37">
        <f t="shared" si="9"/>
        <v>685</v>
      </c>
      <c r="H88" s="37">
        <f t="shared" si="10"/>
        <v>0.82</v>
      </c>
      <c r="I88" s="37">
        <v>0.55000000000000004</v>
      </c>
      <c r="J88" s="37">
        <f t="shared" si="11"/>
        <v>111.21659999999999</v>
      </c>
      <c r="K88" s="38">
        <f t="shared" si="12"/>
        <v>10.856916</v>
      </c>
    </row>
    <row r="89" spans="1:11" ht="15" thickBot="1" x14ac:dyDescent="0.35">
      <c r="A89" s="8" t="s">
        <v>79</v>
      </c>
      <c r="B89" s="6" t="s">
        <v>50</v>
      </c>
      <c r="C89" s="6">
        <v>2.8721999999999999</v>
      </c>
      <c r="D89" s="6">
        <v>34.5</v>
      </c>
      <c r="E89" s="6">
        <v>22.5</v>
      </c>
      <c r="F89" s="6">
        <f>References!E57*References!F57</f>
        <v>2.4</v>
      </c>
      <c r="G89" s="37">
        <f t="shared" si="9"/>
        <v>230</v>
      </c>
      <c r="H89" s="37">
        <f t="shared" si="10"/>
        <v>0.83</v>
      </c>
      <c r="I89" s="37">
        <v>0.55000000000000004</v>
      </c>
      <c r="J89" s="37">
        <f t="shared" si="11"/>
        <v>251.98799999999997</v>
      </c>
      <c r="K89" s="38">
        <f t="shared" si="12"/>
        <v>82.719359999999995</v>
      </c>
    </row>
    <row r="90" spans="1:11" ht="15" thickBot="1" x14ac:dyDescent="0.35">
      <c r="A90" s="8" t="s">
        <v>58</v>
      </c>
      <c r="B90" s="6" t="s">
        <v>50</v>
      </c>
      <c r="C90" s="6">
        <v>2.8721999999999999</v>
      </c>
      <c r="D90" s="6">
        <v>34.5</v>
      </c>
      <c r="E90" s="6">
        <v>24</v>
      </c>
      <c r="F90" s="6">
        <f>References!E58*References!F58</f>
        <v>0.72</v>
      </c>
      <c r="G90" s="37">
        <f t="shared" si="9"/>
        <v>230</v>
      </c>
      <c r="H90" s="37">
        <f t="shared" si="10"/>
        <v>0.83</v>
      </c>
      <c r="I90" s="37">
        <v>0.55000000000000004</v>
      </c>
      <c r="J90" s="37">
        <f t="shared" si="11"/>
        <v>75.596399999999988</v>
      </c>
      <c r="K90" s="38">
        <f t="shared" si="12"/>
        <v>21.713832</v>
      </c>
    </row>
    <row r="91" spans="1:11" ht="15" thickBot="1" x14ac:dyDescent="0.35">
      <c r="A91" s="8" t="s">
        <v>59</v>
      </c>
      <c r="B91" s="6" t="s">
        <v>50</v>
      </c>
      <c r="C91" s="6">
        <v>2.8721999999999999</v>
      </c>
      <c r="D91" s="6">
        <v>34.5</v>
      </c>
      <c r="E91" s="6">
        <v>24</v>
      </c>
      <c r="F91" s="6">
        <f>References!E59*References!F59</f>
        <v>0.72</v>
      </c>
      <c r="G91" s="37">
        <f t="shared" si="9"/>
        <v>230</v>
      </c>
      <c r="H91" s="37">
        <f t="shared" si="10"/>
        <v>0.83</v>
      </c>
      <c r="I91" s="37">
        <v>0.55000000000000004</v>
      </c>
      <c r="J91" s="37">
        <f t="shared" si="11"/>
        <v>75.596399999999988</v>
      </c>
      <c r="K91" s="38">
        <f t="shared" si="12"/>
        <v>21.713832</v>
      </c>
    </row>
    <row r="92" spans="1:11" ht="15" thickBot="1" x14ac:dyDescent="0.35">
      <c r="A92" s="8" t="s">
        <v>91</v>
      </c>
      <c r="B92" s="6" t="s">
        <v>50</v>
      </c>
      <c r="C92" s="6">
        <v>2.8721999999999999</v>
      </c>
      <c r="D92" s="6">
        <v>34.5</v>
      </c>
      <c r="E92" s="6">
        <v>22.5</v>
      </c>
      <c r="F92" s="6">
        <f>References!E60*References!F60</f>
        <v>0</v>
      </c>
      <c r="G92" s="37">
        <f t="shared" si="9"/>
        <v>230</v>
      </c>
      <c r="H92" s="37">
        <f t="shared" si="10"/>
        <v>0.83</v>
      </c>
      <c r="I92" s="37">
        <v>0.55000000000000004</v>
      </c>
      <c r="J92" s="37">
        <f t="shared" si="11"/>
        <v>0</v>
      </c>
      <c r="K92" s="38">
        <f t="shared" si="12"/>
        <v>0</v>
      </c>
    </row>
    <row r="93" spans="1:11" ht="15" thickBot="1" x14ac:dyDescent="0.35">
      <c r="A93" s="8" t="s">
        <v>72</v>
      </c>
      <c r="B93" s="6" t="s">
        <v>47</v>
      </c>
      <c r="C93" s="6">
        <v>2.8210999999999999</v>
      </c>
      <c r="D93" s="6">
        <v>34.5</v>
      </c>
      <c r="E93" s="6">
        <v>22.5</v>
      </c>
      <c r="F93" s="6">
        <f>References!E61*References!F61</f>
        <v>3.35</v>
      </c>
      <c r="G93" s="37">
        <f t="shared" si="9"/>
        <v>685</v>
      </c>
      <c r="H93" s="37">
        <f t="shared" si="10"/>
        <v>0.8</v>
      </c>
      <c r="I93" s="37">
        <v>0.55000000000000004</v>
      </c>
      <c r="J93" s="37">
        <f t="shared" si="11"/>
        <v>1009.69</v>
      </c>
      <c r="K93" s="38">
        <f t="shared" si="12"/>
        <v>113.40822</v>
      </c>
    </row>
    <row r="94" spans="1:11" ht="15" thickBot="1" x14ac:dyDescent="0.35">
      <c r="A94" s="8" t="s">
        <v>71</v>
      </c>
      <c r="B94" s="6" t="s">
        <v>47</v>
      </c>
      <c r="C94" s="6">
        <v>2.8721999999999999</v>
      </c>
      <c r="D94" s="6">
        <v>34.5</v>
      </c>
      <c r="E94" s="6">
        <v>22.5</v>
      </c>
      <c r="F94" s="6">
        <f>References!E62*References!F62</f>
        <v>1.4</v>
      </c>
      <c r="G94" s="37">
        <f t="shared" si="9"/>
        <v>685</v>
      </c>
      <c r="H94" s="37">
        <f t="shared" si="10"/>
        <v>0.8</v>
      </c>
      <c r="I94" s="37">
        <v>0.55000000000000004</v>
      </c>
      <c r="J94" s="37">
        <f t="shared" si="11"/>
        <v>421.96</v>
      </c>
      <c r="K94" s="38">
        <f t="shared" si="12"/>
        <v>48.252959999999995</v>
      </c>
    </row>
    <row r="95" spans="1:11" ht="15" thickBot="1" x14ac:dyDescent="0.35">
      <c r="A95" s="8" t="s">
        <v>71</v>
      </c>
      <c r="B95" s="6" t="s">
        <v>47</v>
      </c>
      <c r="C95" s="6">
        <v>2.8721999999999999</v>
      </c>
      <c r="D95" s="6">
        <v>34.5</v>
      </c>
      <c r="E95" s="6">
        <v>22.5</v>
      </c>
      <c r="F95" s="6">
        <f>References!E63*References!F63</f>
        <v>1.4</v>
      </c>
      <c r="G95" s="37">
        <f t="shared" si="9"/>
        <v>685</v>
      </c>
      <c r="H95" s="37">
        <f t="shared" si="10"/>
        <v>0.8</v>
      </c>
      <c r="I95" s="37">
        <v>0.55000000000000004</v>
      </c>
      <c r="J95" s="37">
        <f t="shared" si="11"/>
        <v>421.96</v>
      </c>
      <c r="K95" s="38">
        <f t="shared" si="12"/>
        <v>48.252959999999995</v>
      </c>
    </row>
    <row r="96" spans="1:11" ht="15" thickBot="1" x14ac:dyDescent="0.35">
      <c r="A96" s="8" t="s">
        <v>71</v>
      </c>
      <c r="B96" s="6" t="s">
        <v>47</v>
      </c>
      <c r="C96" s="6">
        <v>2.8721999999999999</v>
      </c>
      <c r="D96" s="6">
        <v>34.5</v>
      </c>
      <c r="E96" s="6">
        <v>22.5</v>
      </c>
      <c r="F96" s="6">
        <f>References!E64*References!F64</f>
        <v>1.4</v>
      </c>
      <c r="G96" s="37">
        <f t="shared" si="9"/>
        <v>685</v>
      </c>
      <c r="H96" s="37">
        <f t="shared" si="10"/>
        <v>0.8</v>
      </c>
      <c r="I96" s="37">
        <v>0.55000000000000004</v>
      </c>
      <c r="J96" s="37">
        <f t="shared" si="11"/>
        <v>421.96</v>
      </c>
      <c r="K96" s="38">
        <f t="shared" si="12"/>
        <v>48.252959999999995</v>
      </c>
    </row>
    <row r="97" spans="1:11" ht="15" thickBot="1" x14ac:dyDescent="0.35">
      <c r="A97" s="8" t="s">
        <v>71</v>
      </c>
      <c r="B97" s="6" t="s">
        <v>47</v>
      </c>
      <c r="C97" s="6">
        <v>2.8721999999999999</v>
      </c>
      <c r="D97" s="6">
        <v>34.5</v>
      </c>
      <c r="E97" s="6">
        <v>22.5</v>
      </c>
      <c r="F97" s="6">
        <f>References!E65*References!F65</f>
        <v>1.4</v>
      </c>
      <c r="G97" s="37">
        <f t="shared" si="9"/>
        <v>685</v>
      </c>
      <c r="H97" s="37">
        <f t="shared" si="10"/>
        <v>0.8</v>
      </c>
      <c r="I97" s="37">
        <v>0.55000000000000004</v>
      </c>
      <c r="J97" s="37">
        <f t="shared" si="11"/>
        <v>421.96</v>
      </c>
      <c r="K97" s="38">
        <f t="shared" si="12"/>
        <v>48.252959999999995</v>
      </c>
    </row>
    <row r="98" spans="1:11" ht="15" thickBot="1" x14ac:dyDescent="0.35">
      <c r="A98" s="8" t="s">
        <v>67</v>
      </c>
      <c r="B98" s="6" t="s">
        <v>47</v>
      </c>
      <c r="C98" s="6">
        <v>2.8721999999999999</v>
      </c>
      <c r="D98" s="6">
        <v>34.5</v>
      </c>
      <c r="E98" s="6">
        <v>22.5</v>
      </c>
      <c r="F98" s="6">
        <f>References!E66*References!F66</f>
        <v>1.4</v>
      </c>
      <c r="G98" s="37">
        <f t="shared" si="9"/>
        <v>685</v>
      </c>
      <c r="H98" s="37">
        <f t="shared" si="10"/>
        <v>0.8</v>
      </c>
      <c r="I98" s="37">
        <v>0.55000000000000004</v>
      </c>
      <c r="J98" s="37">
        <f>G98*H98*F98*I98</f>
        <v>421.96</v>
      </c>
      <c r="K98" s="38">
        <f>(C98*F98)*(D98-E98)</f>
        <v>48.252959999999995</v>
      </c>
    </row>
    <row r="99" spans="1:11" ht="15" thickBot="1" x14ac:dyDescent="0.35">
      <c r="A99" s="23" t="s">
        <v>89</v>
      </c>
      <c r="B99" s="21" t="s">
        <v>47</v>
      </c>
      <c r="C99" s="21">
        <v>2.8721999999999999</v>
      </c>
      <c r="D99" s="21">
        <v>34.5</v>
      </c>
      <c r="E99" s="21">
        <v>24</v>
      </c>
      <c r="F99" s="21">
        <f>References!E67*References!F67</f>
        <v>0.36</v>
      </c>
      <c r="G99" s="39">
        <f t="shared" ref="G99" si="13">_xlfn.IFS(B99="E",685,B99="N",120,B99="W",685,B99="S",230)</f>
        <v>685</v>
      </c>
      <c r="H99" s="39">
        <f t="shared" ref="H99" si="14">_xlfn.IFS(B99="E",0.8,B99="N",0.91,B99="W",0.82,B99="S",0.83)</f>
        <v>0.8</v>
      </c>
      <c r="I99" s="39">
        <v>0.55000000000000004</v>
      </c>
      <c r="J99" s="39">
        <f t="shared" si="11"/>
        <v>108.504</v>
      </c>
      <c r="K99" s="40">
        <f t="shared" si="12"/>
        <v>10.856916</v>
      </c>
    </row>
    <row r="100" spans="1:11" ht="15" thickBot="1" x14ac:dyDescent="0.35">
      <c r="H100" s="89" t="s">
        <v>123</v>
      </c>
      <c r="I100" s="89"/>
      <c r="J100" s="44">
        <f>SUM(J73:J99)</f>
        <v>11242.204599999995</v>
      </c>
      <c r="K100" s="44">
        <f>SUM(K73:K99)</f>
        <v>1593.753864</v>
      </c>
    </row>
    <row r="101" spans="1:11" ht="15" thickBot="1" x14ac:dyDescent="0.35">
      <c r="H101" s="89" t="s">
        <v>168</v>
      </c>
      <c r="I101" s="89"/>
      <c r="J101" s="90">
        <f>J100+K100</f>
        <v>12835.958463999996</v>
      </c>
      <c r="K101" s="91"/>
    </row>
  </sheetData>
  <mergeCells count="11">
    <mergeCell ref="A1:K1"/>
    <mergeCell ref="H35:I35"/>
    <mergeCell ref="H69:I69"/>
    <mergeCell ref="A37:K37"/>
    <mergeCell ref="H101:I101"/>
    <mergeCell ref="J101:K101"/>
    <mergeCell ref="A2:K2"/>
    <mergeCell ref="A71:K71"/>
    <mergeCell ref="H34:I34"/>
    <mergeCell ref="H68:I68"/>
    <mergeCell ref="H100:I100"/>
  </mergeCells>
  <conditionalFormatting sqref="A72:K99">
    <cfRule type="cellIs" dxfId="2" priority="1" operator="equal">
      <formula>0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235"/>
  <sheetViews>
    <sheetView topLeftCell="A136" zoomScale="70" zoomScaleNormal="70" workbookViewId="0">
      <selection activeCell="L175" sqref="L175"/>
    </sheetView>
  </sheetViews>
  <sheetFormatPr defaultRowHeight="14.4" x14ac:dyDescent="0.3"/>
  <cols>
    <col min="1" max="1" width="34.88671875" customWidth="1"/>
    <col min="2" max="2" width="9.6640625" customWidth="1"/>
    <col min="3" max="3" width="10.88671875" customWidth="1"/>
    <col min="4" max="5" width="8.88671875" customWidth="1"/>
    <col min="6" max="6" width="10.44140625" customWidth="1"/>
    <col min="7" max="7" width="8.88671875" customWidth="1"/>
    <col min="8" max="8" width="12.88671875" customWidth="1"/>
    <col min="9" max="9" width="12" customWidth="1"/>
    <col min="10" max="10" width="8.88671875" customWidth="1"/>
    <col min="15" max="15" width="14" customWidth="1"/>
    <col min="16" max="16" width="12" customWidth="1"/>
    <col min="17" max="17" width="11.33203125" customWidth="1"/>
    <col min="18" max="18" width="14" customWidth="1"/>
    <col min="19" max="19" width="11.33203125" customWidth="1"/>
  </cols>
  <sheetData>
    <row r="1" spans="1:20" x14ac:dyDescent="0.3">
      <c r="A1" s="88" t="s">
        <v>19</v>
      </c>
      <c r="B1" s="88"/>
      <c r="C1" s="88"/>
      <c r="D1" s="88"/>
      <c r="E1" s="88"/>
      <c r="F1" s="88"/>
      <c r="G1" s="88"/>
      <c r="H1" s="88"/>
      <c r="I1" s="88"/>
    </row>
    <row r="2" spans="1:20" x14ac:dyDescent="0.3">
      <c r="A2" s="52"/>
      <c r="B2" s="52"/>
      <c r="C2" s="52"/>
      <c r="D2" s="52"/>
      <c r="E2" s="52"/>
      <c r="F2" s="52"/>
      <c r="G2" s="52"/>
      <c r="H2" s="52"/>
      <c r="I2" s="52"/>
    </row>
    <row r="3" spans="1:20" ht="15" thickBot="1" x14ac:dyDescent="0.35">
      <c r="A3" s="41" t="s">
        <v>20</v>
      </c>
      <c r="B3" s="42" t="s">
        <v>169</v>
      </c>
      <c r="C3" s="42" t="s">
        <v>21</v>
      </c>
      <c r="D3" s="42" t="s">
        <v>13</v>
      </c>
      <c r="E3" s="42" t="s">
        <v>7</v>
      </c>
      <c r="F3" s="42" t="s">
        <v>22</v>
      </c>
      <c r="G3" s="42" t="s">
        <v>23</v>
      </c>
      <c r="H3" s="42" t="s">
        <v>24</v>
      </c>
      <c r="I3" s="43" t="s">
        <v>25</v>
      </c>
      <c r="O3" s="1"/>
    </row>
    <row r="4" spans="1:20" ht="15" thickBot="1" x14ac:dyDescent="0.35">
      <c r="A4" s="10" t="s">
        <v>238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(1.232*(D4-E4)*C4)</f>
        <v>162.35773030399997</v>
      </c>
      <c r="I4" s="15">
        <f t="shared" ref="I4:I35" si="1">3000*C4*(F4-G4)</f>
        <v>291.35822808945596</v>
      </c>
    </row>
    <row r="5" spans="1:20" ht="15" thickBot="1" x14ac:dyDescent="0.35">
      <c r="A5" s="10" t="s">
        <v>239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</row>
    <row r="6" spans="1:20" ht="15" thickBot="1" x14ac:dyDescent="0.35">
      <c r="A6" s="10" t="s">
        <v>240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</row>
    <row r="7" spans="1:20" ht="15" thickBot="1" x14ac:dyDescent="0.35">
      <c r="A7" s="10" t="s">
        <v>241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Q7" s="1"/>
    </row>
    <row r="8" spans="1:20" ht="15" thickBot="1" x14ac:dyDescent="0.35">
      <c r="A8" s="10" t="s">
        <v>322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Q8" s="1"/>
    </row>
    <row r="9" spans="1:20" ht="15" thickBot="1" x14ac:dyDescent="0.35">
      <c r="A9" s="10" t="s">
        <v>242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Q9" s="1"/>
      <c r="R9" s="1"/>
      <c r="S9" s="1"/>
      <c r="T9" s="1"/>
    </row>
    <row r="10" spans="1:20" ht="15" thickBot="1" x14ac:dyDescent="0.35">
      <c r="A10" s="10" t="s">
        <v>243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Q10" s="1"/>
      <c r="R10" s="1"/>
      <c r="S10" s="1"/>
      <c r="T10" s="1"/>
    </row>
    <row r="11" spans="1:20" ht="15" thickBot="1" x14ac:dyDescent="0.35">
      <c r="A11" s="10" t="s">
        <v>244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Q11" s="1"/>
      <c r="R11" s="1"/>
      <c r="S11" s="1"/>
      <c r="T11" s="1"/>
    </row>
    <row r="12" spans="1:20" ht="15" thickBot="1" x14ac:dyDescent="0.35">
      <c r="A12" s="10" t="s">
        <v>245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Q12" s="1"/>
      <c r="R12" s="1"/>
      <c r="S12" s="1"/>
      <c r="T12" s="1"/>
    </row>
    <row r="13" spans="1:20" ht="15" thickBot="1" x14ac:dyDescent="0.35">
      <c r="A13" s="10" t="s">
        <v>246</v>
      </c>
      <c r="B13" s="6">
        <f>References!Z13*4</f>
        <v>168.77</v>
      </c>
      <c r="C13" s="6">
        <f>(References!Y13*B13)/3.6</f>
        <v>12.376466666666667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182.97368320000001</v>
      </c>
      <c r="I13" s="15">
        <f t="shared" si="1"/>
        <v>358.52675877479999</v>
      </c>
      <c r="N13" s="47"/>
      <c r="O13" s="47"/>
    </row>
    <row r="14" spans="1:20" ht="15" thickBot="1" x14ac:dyDescent="0.35">
      <c r="A14" s="10" t="s">
        <v>323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20" ht="15" thickBot="1" x14ac:dyDescent="0.35">
      <c r="A15" s="10" t="s">
        <v>247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20" ht="15" thickBot="1" x14ac:dyDescent="0.35">
      <c r="A16" s="10" t="s">
        <v>248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20" ht="15" thickBot="1" x14ac:dyDescent="0.35">
      <c r="A17" s="10" t="s">
        <v>249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20" ht="15" thickBot="1" x14ac:dyDescent="0.35">
      <c r="A18" s="10" t="s">
        <v>250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P18" s="1"/>
      <c r="Q18" s="1"/>
    </row>
    <row r="19" spans="1:20" ht="15" thickBot="1" x14ac:dyDescent="0.35">
      <c r="A19" s="10" t="s">
        <v>251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P19" s="1"/>
      <c r="Q19" s="1"/>
    </row>
    <row r="20" spans="1:20" ht="15" thickBot="1" x14ac:dyDescent="0.35">
      <c r="A20" s="10" t="s">
        <v>252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20" ht="15" thickBot="1" x14ac:dyDescent="0.35">
      <c r="A21" s="10" t="s">
        <v>253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20" ht="15" thickBot="1" x14ac:dyDescent="0.35">
      <c r="A22" s="10" t="s">
        <v>254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Q22" s="92"/>
      <c r="R22" s="92"/>
    </row>
    <row r="23" spans="1:20" ht="15" thickBot="1" x14ac:dyDescent="0.35">
      <c r="A23" s="10" t="s">
        <v>255</v>
      </c>
      <c r="B23" s="6">
        <f>References!Z23*4</f>
        <v>523.87279999999998</v>
      </c>
      <c r="C23" s="6">
        <f>(References!Y23*B23)/3.6</f>
        <v>38.417338666666666</v>
      </c>
      <c r="D23" s="6">
        <v>34.5</v>
      </c>
      <c r="E23" s="6">
        <v>22.5</v>
      </c>
      <c r="F23" s="6">
        <v>1.8136751999999999E-2</v>
      </c>
      <c r="G23" s="6">
        <v>8.4806099999999995E-3</v>
      </c>
      <c r="H23" s="6">
        <f t="shared" si="0"/>
        <v>567.96193484799994</v>
      </c>
      <c r="I23" s="15">
        <f t="shared" si="1"/>
        <v>1112.889832282272</v>
      </c>
      <c r="Q23" s="3"/>
      <c r="R23" s="3"/>
    </row>
    <row r="24" spans="1:20" ht="15" thickBot="1" x14ac:dyDescent="0.35">
      <c r="A24" s="10" t="s">
        <v>324</v>
      </c>
      <c r="B24" s="6">
        <f>References!Z24*4</f>
        <v>11.9092</v>
      </c>
      <c r="C24" s="6">
        <f>(References!Y24*B24)/3.6</f>
        <v>0.83860616666666665</v>
      </c>
      <c r="D24" s="6">
        <v>34.5</v>
      </c>
      <c r="E24" s="6">
        <v>24</v>
      </c>
      <c r="F24" s="6">
        <v>1.8136751999999999E-2</v>
      </c>
      <c r="G24" s="6">
        <v>9.2932350000000004E-3</v>
      </c>
      <c r="H24" s="6">
        <f t="shared" si="0"/>
        <v>10.848209371999999</v>
      </c>
      <c r="I24" s="15">
        <f t="shared" si="1"/>
        <v>22.248683673664495</v>
      </c>
      <c r="Q24" s="2"/>
      <c r="R24" s="1"/>
      <c r="S24" s="1"/>
      <c r="T24" s="1"/>
    </row>
    <row r="25" spans="1:20" ht="15" thickBot="1" x14ac:dyDescent="0.35">
      <c r="A25" s="53" t="s">
        <v>29</v>
      </c>
      <c r="B25" s="6">
        <f>References!Z25*4</f>
        <v>2624.7159999999999</v>
      </c>
      <c r="C25" s="6">
        <f>(References!Y25*B25)/3.6</f>
        <v>192.47917333333334</v>
      </c>
      <c r="D25" s="6">
        <v>34.5</v>
      </c>
      <c r="E25" s="6">
        <v>22.5</v>
      </c>
      <c r="F25" s="6">
        <v>1.8136751999999999E-2</v>
      </c>
      <c r="G25" s="6">
        <v>8.4806099999999995E-3</v>
      </c>
      <c r="H25" s="6">
        <f t="shared" si="0"/>
        <v>2845.61209856</v>
      </c>
      <c r="I25" s="15">
        <f t="shared" si="1"/>
        <v>5575.8186892478398</v>
      </c>
      <c r="Q25" s="2"/>
      <c r="R25" s="1"/>
      <c r="S25" s="1"/>
      <c r="T25" s="1"/>
    </row>
    <row r="26" spans="1:20" ht="15" thickBot="1" x14ac:dyDescent="0.35">
      <c r="A26" s="10" t="s">
        <v>256</v>
      </c>
      <c r="B26" s="6">
        <f>References!Z26*4</f>
        <v>131.44</v>
      </c>
      <c r="C26" s="6">
        <f>(References!Y26*B26)/3.6</f>
        <v>9.7667222222222225</v>
      </c>
      <c r="D26" s="6">
        <v>34.5</v>
      </c>
      <c r="E26" s="6">
        <v>22</v>
      </c>
      <c r="F26" s="6">
        <v>1.8136751999999999E-2</v>
      </c>
      <c r="G26" s="6">
        <v>8.2197599999999996E-3</v>
      </c>
      <c r="H26" s="6">
        <f t="shared" si="0"/>
        <v>150.40752222222224</v>
      </c>
      <c r="I26" s="15">
        <f t="shared" si="1"/>
        <v>290.569518432</v>
      </c>
    </row>
    <row r="27" spans="1:20" ht="15" thickBot="1" x14ac:dyDescent="0.35">
      <c r="A27" s="10" t="s">
        <v>257</v>
      </c>
      <c r="B27" s="6">
        <f>References!Z27*4</f>
        <v>50.71</v>
      </c>
      <c r="C27" s="6">
        <f>(References!Y27*B27)/3.6</f>
        <v>3.7187333333333337</v>
      </c>
      <c r="D27" s="6">
        <v>34.5</v>
      </c>
      <c r="E27" s="6">
        <v>22.5</v>
      </c>
      <c r="F27" s="6">
        <v>1.8136751999999999E-2</v>
      </c>
      <c r="G27" s="6">
        <v>8.4806099999999995E-3</v>
      </c>
      <c r="H27" s="6">
        <f t="shared" si="0"/>
        <v>54.9777536</v>
      </c>
      <c r="I27" s="15">
        <f t="shared" si="1"/>
        <v>107.7258513804</v>
      </c>
      <c r="P27" s="1"/>
      <c r="Q27" s="1"/>
      <c r="R27" s="1"/>
      <c r="S27" s="1"/>
    </row>
    <row r="28" spans="1:20" ht="15" thickBot="1" x14ac:dyDescent="0.35">
      <c r="A28" s="10" t="s">
        <v>325</v>
      </c>
      <c r="B28" s="6">
        <f>References!Z28*4</f>
        <v>12.9452</v>
      </c>
      <c r="C28" s="6">
        <f>(References!Y28*B28)/3.6</f>
        <v>0.91155783333333329</v>
      </c>
      <c r="D28" s="6">
        <v>34.5</v>
      </c>
      <c r="E28" s="6">
        <v>24</v>
      </c>
      <c r="F28" s="6">
        <v>1.8136751999999999E-2</v>
      </c>
      <c r="G28" s="6">
        <v>9.2932350000000004E-3</v>
      </c>
      <c r="H28" s="6">
        <f t="shared" si="0"/>
        <v>11.791912132</v>
      </c>
      <c r="I28" s="15">
        <f t="shared" si="1"/>
        <v>24.184131586699497</v>
      </c>
      <c r="P28" s="1"/>
      <c r="Q28" s="1"/>
      <c r="R28" s="1"/>
      <c r="S28" s="1"/>
    </row>
    <row r="29" spans="1:20" ht="15" thickBot="1" x14ac:dyDescent="0.35">
      <c r="A29" s="10" t="s">
        <v>258</v>
      </c>
      <c r="B29" s="6">
        <f>References!Z29*4</f>
        <v>57.5244</v>
      </c>
      <c r="C29" s="6">
        <f>(References!Y29*B29)/3.6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20" ht="15" thickBot="1" x14ac:dyDescent="0.35">
      <c r="A30" s="8" t="s">
        <v>259</v>
      </c>
      <c r="B30" s="6">
        <f>References!Z30*4</f>
        <v>57.5244</v>
      </c>
      <c r="C30" s="6">
        <f>(References!Y30*B30)/3.6</f>
        <v>4.2184559999999998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62.365653503999994</v>
      </c>
      <c r="I30" s="15">
        <f t="shared" si="1"/>
        <v>122.20203047025598</v>
      </c>
    </row>
    <row r="31" spans="1:20" ht="15" thickBot="1" x14ac:dyDescent="0.35">
      <c r="A31" s="10" t="s">
        <v>260</v>
      </c>
      <c r="B31" s="6">
        <f>References!Z31*4</f>
        <v>35.860399999999998</v>
      </c>
      <c r="C31" s="6">
        <f>(References!Y31*B31)/3.6</f>
        <v>2.6297626666666667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38.878411264</v>
      </c>
      <c r="I31" s="15">
        <f t="shared" si="1"/>
        <v>76.180085206895995</v>
      </c>
    </row>
    <row r="32" spans="1:20" ht="15" thickBot="1" x14ac:dyDescent="0.35">
      <c r="A32" s="10" t="s">
        <v>261</v>
      </c>
      <c r="B32" s="6">
        <f>References!Z32*4</f>
        <v>57.742400000000004</v>
      </c>
      <c r="C32" s="6">
        <f>(References!Y32*B32)/3.6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ht="15" thickBot="1" x14ac:dyDescent="0.35">
      <c r="A33" s="10" t="s">
        <v>262</v>
      </c>
      <c r="B33" s="6">
        <f>References!Z33*4</f>
        <v>57.742400000000004</v>
      </c>
      <c r="C33" s="6">
        <f>(References!Y33*B33)/3.6</f>
        <v>4.2344426666666672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62.602000384000007</v>
      </c>
      <c r="I33" s="15">
        <f t="shared" si="1"/>
        <v>122.66513904057601</v>
      </c>
    </row>
    <row r="34" spans="1:9" ht="15" thickBot="1" x14ac:dyDescent="0.35">
      <c r="A34" s="10" t="s">
        <v>263</v>
      </c>
      <c r="B34" s="6">
        <f>References!Z34*4</f>
        <v>21.95</v>
      </c>
      <c r="C34" s="6">
        <f>(References!Y34*B34)/3.6</f>
        <v>1.6096666666666668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23.797312000000002</v>
      </c>
      <c r="I34" s="15">
        <f t="shared" si="1"/>
        <v>46.629509717999994</v>
      </c>
    </row>
    <row r="35" spans="1:9" ht="15" thickBot="1" x14ac:dyDescent="0.35">
      <c r="A35" s="10" t="s">
        <v>264</v>
      </c>
      <c r="B35" s="6">
        <f>References!Z35*4</f>
        <v>22.04</v>
      </c>
      <c r="C35" s="6">
        <f>(References!Y35*B35)/3.6</f>
        <v>1.6162666666666665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23.894886399999997</v>
      </c>
      <c r="I35" s="15">
        <f t="shared" si="1"/>
        <v>46.820701329599991</v>
      </c>
    </row>
    <row r="36" spans="1:9" ht="15" thickBot="1" x14ac:dyDescent="0.35">
      <c r="A36" s="10" t="s">
        <v>265</v>
      </c>
      <c r="B36" s="6">
        <f>References!Z36*4</f>
        <v>22.545200000000001</v>
      </c>
      <c r="C36" s="6">
        <f>(References!Y36*B36)/3.6</f>
        <v>1.6533146666666667</v>
      </c>
      <c r="D36" s="6">
        <v>34.5</v>
      </c>
      <c r="E36" s="6">
        <v>22.5</v>
      </c>
      <c r="F36" s="6">
        <v>1.8136751999999999E-2</v>
      </c>
      <c r="G36" s="6">
        <v>8.4806099999999995E-3</v>
      </c>
      <c r="H36" s="6">
        <f t="shared" ref="H36:H67" si="2">(1.232*(D36-E36)*C36)</f>
        <v>24.442604031999998</v>
      </c>
      <c r="I36" s="15">
        <f t="shared" ref="I36:I67" si="3">3000*C36*(F36-G36)</f>
        <v>47.893923576048003</v>
      </c>
    </row>
    <row r="37" spans="1:9" ht="15" thickBot="1" x14ac:dyDescent="0.35">
      <c r="A37" s="10" t="s">
        <v>266</v>
      </c>
      <c r="B37" s="6">
        <f>References!Z37*4</f>
        <v>22.081199999999999</v>
      </c>
      <c r="C37" s="6">
        <f>(References!Y37*B37)/3.6</f>
        <v>1.5548845</v>
      </c>
      <c r="D37" s="6">
        <v>34.5</v>
      </c>
      <c r="E37" s="6">
        <v>24</v>
      </c>
      <c r="F37" s="6">
        <v>1.8136751999999999E-2</v>
      </c>
      <c r="G37" s="6">
        <v>9.2932350000000004E-3</v>
      </c>
      <c r="H37" s="6">
        <f t="shared" si="2"/>
        <v>20.113985891999999</v>
      </c>
      <c r="I37" s="15">
        <f t="shared" si="3"/>
        <v>41.2519425263595</v>
      </c>
    </row>
    <row r="38" spans="1:9" ht="15" thickBot="1" x14ac:dyDescent="0.35">
      <c r="A38" s="10" t="s">
        <v>267</v>
      </c>
      <c r="B38" s="6">
        <f>References!Z38*4</f>
        <v>36.596800000000002</v>
      </c>
      <c r="C38" s="6">
        <f>(References!Y38*B38)/3.6</f>
        <v>2.6837653333333336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39.676786688</v>
      </c>
      <c r="I38" s="15">
        <f t="shared" si="3"/>
        <v>77.744457460031995</v>
      </c>
    </row>
    <row r="39" spans="1:9" ht="15" thickBot="1" x14ac:dyDescent="0.35">
      <c r="A39" s="10" t="s">
        <v>268</v>
      </c>
      <c r="B39" s="6">
        <f>References!Z39*4</f>
        <v>19.808800000000002</v>
      </c>
      <c r="C39" s="6">
        <f>(References!Y39*B39)/3.6</f>
        <v>1.4526453333333336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21.475908608000001</v>
      </c>
      <c r="I39" s="15">
        <f t="shared" si="3"/>
        <v>42.080848842912005</v>
      </c>
    </row>
    <row r="40" spans="1:9" ht="15" thickBot="1" x14ac:dyDescent="0.35">
      <c r="A40" s="10" t="s">
        <v>269</v>
      </c>
      <c r="B40" s="6">
        <f>References!Z40*4</f>
        <v>101.01519999999999</v>
      </c>
      <c r="C40" s="6">
        <f>(References!Y40*B40)/3.6</f>
        <v>7.4077813333333333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109.51663923199999</v>
      </c>
      <c r="I40" s="15">
        <f t="shared" si="3"/>
        <v>214.59176537884801</v>
      </c>
    </row>
    <row r="41" spans="1:9" ht="15" thickBot="1" x14ac:dyDescent="0.35">
      <c r="A41" s="10" t="s">
        <v>270</v>
      </c>
      <c r="B41" s="6">
        <f>References!Z41*4</f>
        <v>57.5244</v>
      </c>
      <c r="C41" s="6">
        <f>(References!Y41*B41)/3.6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" thickBot="1" x14ac:dyDescent="0.35">
      <c r="A42" s="10" t="s">
        <v>271</v>
      </c>
      <c r="B42" s="6">
        <f>References!Z42*4</f>
        <v>57.5244</v>
      </c>
      <c r="C42" s="6">
        <f>(References!Y42*B42)/3.6</f>
        <v>4.2184559999999998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62.365653503999994</v>
      </c>
      <c r="I42" s="15">
        <f t="shared" si="3"/>
        <v>122.20203047025598</v>
      </c>
    </row>
    <row r="43" spans="1:9" ht="15" thickBot="1" x14ac:dyDescent="0.35">
      <c r="A43" s="10" t="s">
        <v>272</v>
      </c>
      <c r="B43" s="6">
        <f>References!Z43*4</f>
        <v>41.671999999999997</v>
      </c>
      <c r="C43" s="6">
        <f>(References!Y43*B43)/3.6</f>
        <v>3.0559466666666664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45.179115519999989</v>
      </c>
      <c r="I43" s="15">
        <f t="shared" si="3"/>
        <v>88.525964873279975</v>
      </c>
    </row>
    <row r="44" spans="1:9" ht="15" thickBot="1" x14ac:dyDescent="0.35">
      <c r="A44" s="10" t="s">
        <v>273</v>
      </c>
      <c r="B44" s="6">
        <f>References!Z44*4</f>
        <v>39.921999999999997</v>
      </c>
      <c r="C44" s="6">
        <f>(References!Y44*B44)/3.6</f>
        <v>2.9276133333333334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43.281835520000001</v>
      </c>
      <c r="I44" s="15">
        <f t="shared" si="3"/>
        <v>84.80835020328</v>
      </c>
    </row>
    <row r="45" spans="1:9" ht="15" thickBot="1" x14ac:dyDescent="0.35">
      <c r="A45" s="10" t="s">
        <v>274</v>
      </c>
      <c r="B45" s="6">
        <f>References!Z45*4</f>
        <v>57.742400000000004</v>
      </c>
      <c r="C45" s="6">
        <f>(References!Y45*B45)/3.6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" thickBot="1" x14ac:dyDescent="0.35">
      <c r="A46" s="10" t="s">
        <v>275</v>
      </c>
      <c r="B46" s="6">
        <f>References!Z46*4</f>
        <v>57.742400000000004</v>
      </c>
      <c r="C46" s="6">
        <f>(References!Y46*B46)/3.6</f>
        <v>4.2344426666666672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62.602000384000007</v>
      </c>
      <c r="I46" s="15">
        <f t="shared" si="3"/>
        <v>122.66513904057601</v>
      </c>
    </row>
    <row r="47" spans="1:9" ht="15" thickBot="1" x14ac:dyDescent="0.35">
      <c r="A47" s="10" t="s">
        <v>276</v>
      </c>
      <c r="B47" s="6">
        <f>References!Z47*4</f>
        <v>57.455599999999997</v>
      </c>
      <c r="C47" s="6">
        <f>(References!Y47*B47)/3.6</f>
        <v>4.2134106666666664</v>
      </c>
      <c r="D47" s="6">
        <v>34.5</v>
      </c>
      <c r="E47" s="6">
        <v>22.5</v>
      </c>
      <c r="F47" s="6">
        <v>1.8136751999999999E-2</v>
      </c>
      <c r="G47" s="6">
        <v>8.4806099999999995E-3</v>
      </c>
      <c r="H47" s="6">
        <f t="shared" si="2"/>
        <v>62.29106329599999</v>
      </c>
      <c r="I47" s="15">
        <f t="shared" si="3"/>
        <v>122.05587510494399</v>
      </c>
    </row>
    <row r="48" spans="1:9" ht="15" thickBot="1" x14ac:dyDescent="0.35">
      <c r="A48" s="10" t="s">
        <v>277</v>
      </c>
      <c r="B48" s="6">
        <f>References!Z48*4</f>
        <v>33.723999999999997</v>
      </c>
      <c r="C48" s="6">
        <f>(References!Y48*B48)/3.6</f>
        <v>2.4730933333333334</v>
      </c>
      <c r="D48" s="6">
        <v>34.5</v>
      </c>
      <c r="E48" s="6">
        <v>22.5</v>
      </c>
      <c r="F48" s="6">
        <v>1.8136751999999999E-2</v>
      </c>
      <c r="G48" s="6">
        <v>8.4806099999999995E-3</v>
      </c>
      <c r="H48" s="6">
        <f t="shared" si="2"/>
        <v>36.562211839999996</v>
      </c>
      <c r="I48" s="15">
        <f t="shared" si="3"/>
        <v>71.64162121775999</v>
      </c>
    </row>
    <row r="49" spans="1:9" ht="15" thickBot="1" x14ac:dyDescent="0.35">
      <c r="A49" s="10" t="s">
        <v>278</v>
      </c>
      <c r="B49" s="6">
        <f>References!Z49*4</f>
        <v>33.254800000000003</v>
      </c>
      <c r="C49" s="6">
        <f>(References!Y49*B49)/3.6</f>
        <v>2.3416921666666668</v>
      </c>
      <c r="D49" s="6">
        <v>34.5</v>
      </c>
      <c r="E49" s="6">
        <v>24</v>
      </c>
      <c r="F49" s="6">
        <v>1.8136751999999999E-2</v>
      </c>
      <c r="G49" s="6">
        <v>9.2932350000000004E-3</v>
      </c>
      <c r="H49" s="6">
        <f t="shared" si="2"/>
        <v>30.292129868</v>
      </c>
      <c r="I49" s="15">
        <f t="shared" si="3"/>
        <v>62.12638345405049</v>
      </c>
    </row>
    <row r="50" spans="1:9" ht="15" thickBot="1" x14ac:dyDescent="0.35">
      <c r="A50" s="10" t="s">
        <v>279</v>
      </c>
      <c r="B50" s="6">
        <f>References!Z50*4</f>
        <v>33.75</v>
      </c>
      <c r="C50" s="6">
        <f>(References!Y50*B50)/3.6</f>
        <v>2.4750000000000001</v>
      </c>
      <c r="D50" s="6">
        <v>34.5</v>
      </c>
      <c r="E50" s="6">
        <v>22.5</v>
      </c>
      <c r="F50" s="6">
        <v>1.8136751999999999E-2</v>
      </c>
      <c r="G50" s="6">
        <v>8.4806099999999995E-3</v>
      </c>
      <c r="H50" s="6">
        <f t="shared" si="2"/>
        <v>36.590399999999995</v>
      </c>
      <c r="I50" s="15">
        <f t="shared" si="3"/>
        <v>71.696854349999995</v>
      </c>
    </row>
    <row r="51" spans="1:9" ht="15" thickBot="1" x14ac:dyDescent="0.35">
      <c r="A51" s="10" t="s">
        <v>280</v>
      </c>
      <c r="B51" s="6">
        <f>References!Z51*4</f>
        <v>54.427999999999997</v>
      </c>
      <c r="C51" s="6">
        <f>(References!Y51*B51)/3.6</f>
        <v>3.9913866666666666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59.008660479999996</v>
      </c>
      <c r="I51" s="15">
        <f t="shared" si="3"/>
        <v>115.62418929072</v>
      </c>
    </row>
    <row r="52" spans="1:9" ht="15" thickBot="1" x14ac:dyDescent="0.35">
      <c r="A52" s="10" t="s">
        <v>281</v>
      </c>
      <c r="B52" s="6">
        <f>References!Z52*4</f>
        <v>69.039599999999993</v>
      </c>
      <c r="C52" s="6">
        <f>(References!Y52*B52)/3.6</f>
        <v>4.8615385</v>
      </c>
      <c r="D52" s="6">
        <v>34.5</v>
      </c>
      <c r="E52" s="6">
        <v>24</v>
      </c>
      <c r="F52" s="6">
        <v>1.8136751999999999E-2</v>
      </c>
      <c r="G52" s="6">
        <v>9.2932350000000004E-3</v>
      </c>
      <c r="H52" s="6">
        <f t="shared" si="2"/>
        <v>62.888862035999999</v>
      </c>
      <c r="I52" s="15">
        <f t="shared" si="3"/>
        <v>128.97929511271349</v>
      </c>
    </row>
    <row r="53" spans="1:9" ht="15" thickBot="1" x14ac:dyDescent="0.35">
      <c r="A53" s="10" t="s">
        <v>282</v>
      </c>
      <c r="B53" s="6">
        <f>References!Z53*4</f>
        <v>68.506799999999998</v>
      </c>
      <c r="C53" s="6">
        <f>(References!Y53*B53)/3.6</f>
        <v>5.0238319999999996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74.272332287999987</v>
      </c>
      <c r="I53" s="15">
        <f t="shared" si="3"/>
        <v>145.53250552843198</v>
      </c>
    </row>
    <row r="54" spans="1:9" ht="15" thickBot="1" x14ac:dyDescent="0.35">
      <c r="A54" s="10" t="s">
        <v>283</v>
      </c>
      <c r="B54" s="6">
        <f>References!Z54*4</f>
        <v>34.284399999999998</v>
      </c>
      <c r="C54" s="6">
        <f>(References!Y54*B54)/3.6</f>
        <v>2.5141893333333334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37.169775103999996</v>
      </c>
      <c r="I54" s="15">
        <f t="shared" si="3"/>
        <v>72.832107652655992</v>
      </c>
    </row>
    <row r="55" spans="1:9" ht="15" thickBot="1" x14ac:dyDescent="0.35">
      <c r="A55" s="10" t="s">
        <v>284</v>
      </c>
      <c r="B55" s="6">
        <f>References!Z55*4</f>
        <v>141.27080000000001</v>
      </c>
      <c r="C55" s="6">
        <f>(References!Y55*B55)/3.6</f>
        <v>10.359858666666666</v>
      </c>
      <c r="D55" s="6">
        <v>34.5</v>
      </c>
      <c r="E55" s="6">
        <v>22.5</v>
      </c>
      <c r="F55" s="6">
        <v>1.8136751999999999E-2</v>
      </c>
      <c r="G55" s="6">
        <v>8.4806099999999995E-3</v>
      </c>
      <c r="H55" s="6">
        <f t="shared" si="2"/>
        <v>153.16015052799997</v>
      </c>
      <c r="I55" s="15">
        <f t="shared" si="3"/>
        <v>300.10879915579198</v>
      </c>
    </row>
    <row r="56" spans="1:9" ht="15" thickBot="1" x14ac:dyDescent="0.35">
      <c r="A56" s="10" t="s">
        <v>285</v>
      </c>
      <c r="B56" s="6">
        <f>References!Z56*4</f>
        <v>54.393599999999999</v>
      </c>
      <c r="C56" s="6">
        <f>(References!Y56*B56)/3.6</f>
        <v>3.988864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58.971365375999994</v>
      </c>
      <c r="I56" s="15">
        <f t="shared" si="3"/>
        <v>115.55111160806401</v>
      </c>
    </row>
    <row r="57" spans="1:9" ht="15" thickBot="1" x14ac:dyDescent="0.35">
      <c r="A57" s="10" t="s">
        <v>286</v>
      </c>
      <c r="B57" s="6">
        <f>References!Z57*4</f>
        <v>68.171199999999999</v>
      </c>
      <c r="C57" s="6">
        <f>(References!Y57*B57)/3.6</f>
        <v>4.8003886666666666</v>
      </c>
      <c r="D57" s="6">
        <v>34.5</v>
      </c>
      <c r="E57" s="6">
        <v>24</v>
      </c>
      <c r="F57" s="6">
        <v>1.8136751999999999E-2</v>
      </c>
      <c r="G57" s="6">
        <v>9.2932350000000004E-3</v>
      </c>
      <c r="H57" s="6">
        <f t="shared" si="2"/>
        <v>62.097827791999997</v>
      </c>
      <c r="I57" s="15">
        <f t="shared" si="3"/>
        <v>127.35695634082198</v>
      </c>
    </row>
    <row r="58" spans="1:9" ht="15" thickBot="1" x14ac:dyDescent="0.35">
      <c r="A58" s="10" t="s">
        <v>287</v>
      </c>
      <c r="B58" s="6">
        <f>References!Z58*4</f>
        <v>41.766800000000003</v>
      </c>
      <c r="C58" s="6">
        <f>(References!Y58*B58)/3.6</f>
        <v>3.0628986666666669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45.281893887999999</v>
      </c>
      <c r="I58" s="15">
        <f t="shared" si="3"/>
        <v>88.727353370831992</v>
      </c>
    </row>
    <row r="59" spans="1:9" ht="15" thickBot="1" x14ac:dyDescent="0.35">
      <c r="A59" s="10" t="s">
        <v>288</v>
      </c>
      <c r="B59" s="6">
        <f>References!Z59*4</f>
        <v>46.367600000000003</v>
      </c>
      <c r="C59" s="6">
        <f>(References!Y59*B59)/3.6</f>
        <v>3.4002906666666672</v>
      </c>
      <c r="D59" s="6">
        <v>34.5</v>
      </c>
      <c r="E59" s="6">
        <v>22.5</v>
      </c>
      <c r="F59" s="6">
        <v>1.8136751999999999E-2</v>
      </c>
      <c r="G59" s="6">
        <v>8.4806099999999995E-3</v>
      </c>
      <c r="H59" s="6">
        <f t="shared" si="2"/>
        <v>50.269897216000004</v>
      </c>
      <c r="I59" s="15">
        <f t="shared" si="3"/>
        <v>98.501068555824006</v>
      </c>
    </row>
    <row r="60" spans="1:9" ht="15" thickBot="1" x14ac:dyDescent="0.35">
      <c r="A60" s="10" t="s">
        <v>289</v>
      </c>
      <c r="B60" s="6">
        <f>References!Z60*4</f>
        <v>76.307599999999994</v>
      </c>
      <c r="C60" s="6">
        <f>(References!Y60*B60)/3.6</f>
        <v>5.5958906666666666</v>
      </c>
      <c r="D60" s="6">
        <v>34.5</v>
      </c>
      <c r="E60" s="6">
        <v>22.5</v>
      </c>
      <c r="F60" s="6">
        <v>1.8136751999999999E-2</v>
      </c>
      <c r="G60" s="6">
        <v>8.4806099999999995E-3</v>
      </c>
      <c r="H60" s="6">
        <f t="shared" si="2"/>
        <v>82.729647615999994</v>
      </c>
      <c r="I60" s="15">
        <f t="shared" si="3"/>
        <v>162.10414468142397</v>
      </c>
    </row>
    <row r="61" spans="1:9" ht="15" thickBot="1" x14ac:dyDescent="0.35">
      <c r="A61" s="10" t="s">
        <v>326</v>
      </c>
      <c r="B61" s="6">
        <f>References!Z61*4</f>
        <v>10.137600000000001</v>
      </c>
      <c r="C61" s="6">
        <f>(References!Y61*B61)/3.6</f>
        <v>0.71385600000000016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9.2344412160000022</v>
      </c>
      <c r="I61" s="15">
        <f t="shared" si="3"/>
        <v>18.938993014656003</v>
      </c>
    </row>
    <row r="62" spans="1:9" ht="15" thickBot="1" x14ac:dyDescent="0.35">
      <c r="A62" s="10" t="s">
        <v>290</v>
      </c>
      <c r="B62" s="6">
        <f>References!Z62*4</f>
        <v>136.86080000000001</v>
      </c>
      <c r="C62" s="6">
        <f>(References!Y62*B62)/3.6</f>
        <v>9.637281333333334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124.667871328</v>
      </c>
      <c r="I62" s="15">
        <f t="shared" si="3"/>
        <v>255.68238391534797</v>
      </c>
    </row>
    <row r="63" spans="1:9" ht="15" thickBot="1" x14ac:dyDescent="0.35">
      <c r="A63" s="10" t="s">
        <v>291</v>
      </c>
      <c r="B63" s="6">
        <f>References!Z63*4</f>
        <v>10.3764</v>
      </c>
      <c r="C63" s="6">
        <f>(References!Y63*B63)/3.6</f>
        <v>0.73067150000000003</v>
      </c>
      <c r="D63" s="6">
        <v>34.5</v>
      </c>
      <c r="E63" s="6">
        <v>24</v>
      </c>
      <c r="F63" s="6">
        <v>1.8136751999999999E-2</v>
      </c>
      <c r="G63" s="6">
        <v>9.2932350000000004E-3</v>
      </c>
      <c r="H63" s="6">
        <f t="shared" si="2"/>
        <v>9.4519665239999995</v>
      </c>
      <c r="I63" s="15">
        <f t="shared" si="3"/>
        <v>19.3851174949965</v>
      </c>
    </row>
    <row r="64" spans="1:9" ht="15" thickBot="1" x14ac:dyDescent="0.35">
      <c r="A64" s="10" t="s">
        <v>292</v>
      </c>
      <c r="B64" s="6">
        <f>References!Z64*4</f>
        <v>7.85</v>
      </c>
      <c r="C64" s="6">
        <f>(References!Y64*B64)/3.6</f>
        <v>0.55277083333333332</v>
      </c>
      <c r="D64" s="6">
        <v>34.5</v>
      </c>
      <c r="E64" s="6">
        <v>24</v>
      </c>
      <c r="F64" s="6">
        <v>1.8136751999999999E-2</v>
      </c>
      <c r="G64" s="6">
        <v>9.2932350000000004E-3</v>
      </c>
      <c r="H64" s="6">
        <f t="shared" si="2"/>
        <v>7.1506435000000002</v>
      </c>
      <c r="I64" s="15">
        <f t="shared" si="3"/>
        <v>14.665314785062497</v>
      </c>
    </row>
    <row r="65" spans="1:9" ht="15" thickBot="1" x14ac:dyDescent="0.35">
      <c r="A65" s="10" t="s">
        <v>293</v>
      </c>
      <c r="B65" s="6">
        <f>References!Z65*4</f>
        <v>22.8736</v>
      </c>
      <c r="C65" s="6">
        <f>(References!Y65*B65)/3.6</f>
        <v>1.6773973333333334</v>
      </c>
      <c r="D65" s="6">
        <v>34.5</v>
      </c>
      <c r="E65" s="6">
        <v>22.5</v>
      </c>
      <c r="F65" s="6">
        <v>1.8136751999999999E-2</v>
      </c>
      <c r="G65" s="6">
        <v>8.4806099999999995E-3</v>
      </c>
      <c r="H65" s="6">
        <f t="shared" si="2"/>
        <v>24.798642175999998</v>
      </c>
      <c r="I65" s="15">
        <f t="shared" si="3"/>
        <v>48.591560523264</v>
      </c>
    </row>
    <row r="66" spans="1:9" ht="15" thickBot="1" x14ac:dyDescent="0.35">
      <c r="A66" s="10" t="s">
        <v>294</v>
      </c>
      <c r="B66" s="6">
        <f>References!Z66*4</f>
        <v>36.9</v>
      </c>
      <c r="C66" s="6">
        <f>(References!Y66*B66)/3.6</f>
        <v>2.706</v>
      </c>
      <c r="D66" s="6">
        <v>34.5</v>
      </c>
      <c r="E66" s="6">
        <v>22.5</v>
      </c>
      <c r="F66" s="6">
        <v>1.8136751999999999E-2</v>
      </c>
      <c r="G66" s="6">
        <v>8.4806099999999995E-3</v>
      </c>
      <c r="H66" s="6">
        <f t="shared" si="2"/>
        <v>40.005503999999995</v>
      </c>
      <c r="I66" s="15">
        <f t="shared" si="3"/>
        <v>78.38856075599999</v>
      </c>
    </row>
    <row r="67" spans="1:9" ht="15" thickBot="1" x14ac:dyDescent="0.35">
      <c r="A67" s="10" t="s">
        <v>327</v>
      </c>
      <c r="B67" s="6">
        <f>References!Z67*4</f>
        <v>7.78</v>
      </c>
      <c r="C67" s="6">
        <f>(References!Y67*B67)/3.6</f>
        <v>0.54784166666666667</v>
      </c>
      <c r="D67" s="6">
        <v>34.5</v>
      </c>
      <c r="E67" s="6">
        <v>24</v>
      </c>
      <c r="F67" s="6">
        <v>1.8136751999999999E-2</v>
      </c>
      <c r="G67" s="6">
        <v>9.2932350000000004E-3</v>
      </c>
      <c r="H67" s="6">
        <f t="shared" si="2"/>
        <v>7.0868798000000002</v>
      </c>
      <c r="I67" s="15">
        <f t="shared" si="3"/>
        <v>14.534541277424999</v>
      </c>
    </row>
    <row r="68" spans="1:9" ht="15" thickBot="1" x14ac:dyDescent="0.35">
      <c r="A68" s="10" t="s">
        <v>295</v>
      </c>
      <c r="B68" s="6">
        <f>References!Z68*4</f>
        <v>152.13</v>
      </c>
      <c r="C68" s="6">
        <f>(References!Y68*B68)/3.6</f>
        <v>11.1562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ref="H68:H73" si="4">(1.232*(D68-E68)*C68)</f>
        <v>164.9332608</v>
      </c>
      <c r="I68" s="15">
        <f t="shared" ref="I68:I73" si="5">3000*C68*(F68-G68)</f>
        <v>323.17755414119995</v>
      </c>
    </row>
    <row r="69" spans="1:9" ht="15" thickBot="1" x14ac:dyDescent="0.35">
      <c r="A69" s="10" t="s">
        <v>296</v>
      </c>
      <c r="B69" s="6">
        <f>References!Z69*4</f>
        <v>203.55240000000001</v>
      </c>
      <c r="C69" s="6">
        <f>(References!Y69*B69)/3.6</f>
        <v>14.927175999999999</v>
      </c>
      <c r="D69" s="6">
        <v>34.5</v>
      </c>
      <c r="E69" s="6">
        <v>22.5</v>
      </c>
      <c r="F69" s="6">
        <v>1.8136751999999999E-2</v>
      </c>
      <c r="G69" s="6">
        <v>8.4806099999999995E-3</v>
      </c>
      <c r="H69" s="6">
        <f t="shared" si="4"/>
        <v>220.68336998399997</v>
      </c>
      <c r="I69" s="15">
        <f t="shared" si="5"/>
        <v>432.41679334497599</v>
      </c>
    </row>
    <row r="70" spans="1:9" ht="15" thickBot="1" x14ac:dyDescent="0.35">
      <c r="A70" s="10" t="s">
        <v>297</v>
      </c>
      <c r="B70" s="6">
        <f>References!Z70*4</f>
        <v>108.0224</v>
      </c>
      <c r="C70" s="6">
        <f>(References!Y70*B70)/3.6</f>
        <v>7.9216426666666671</v>
      </c>
      <c r="D70" s="6">
        <v>34.5</v>
      </c>
      <c r="E70" s="6">
        <v>22.5</v>
      </c>
      <c r="F70" s="6">
        <v>1.8136751999999999E-2</v>
      </c>
      <c r="G70" s="6">
        <v>8.4806099999999995E-3</v>
      </c>
      <c r="H70" s="6">
        <f t="shared" si="4"/>
        <v>117.113565184</v>
      </c>
      <c r="I70" s="15">
        <f t="shared" si="5"/>
        <v>229.477519387776</v>
      </c>
    </row>
    <row r="71" spans="1:9" ht="15" thickBot="1" x14ac:dyDescent="0.35">
      <c r="A71" s="10" t="s">
        <v>328</v>
      </c>
      <c r="B71" s="6">
        <f>References!Z71*4</f>
        <v>10.137600000000001</v>
      </c>
      <c r="C71" s="6">
        <f>(References!Y71*B71)/3.6</f>
        <v>0.71385600000000016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4"/>
        <v>9.2344412160000022</v>
      </c>
      <c r="I71" s="15">
        <f t="shared" si="5"/>
        <v>18.938993014656003</v>
      </c>
    </row>
    <row r="72" spans="1:9" ht="15" thickBot="1" x14ac:dyDescent="0.35">
      <c r="A72" s="10" t="s">
        <v>298</v>
      </c>
      <c r="B72" s="6">
        <f>References!Z72*4</f>
        <v>9.1199999999999992</v>
      </c>
      <c r="C72" s="6">
        <f>(References!Y72*B72)/3.6</f>
        <v>0.66879999999999995</v>
      </c>
      <c r="D72" s="6">
        <v>34.5</v>
      </c>
      <c r="E72" s="6">
        <v>22.5</v>
      </c>
      <c r="F72" s="6">
        <v>1.8136751999999999E-2</v>
      </c>
      <c r="G72" s="6">
        <v>8.4806099999999995E-3</v>
      </c>
      <c r="H72" s="6">
        <f t="shared" si="4"/>
        <v>9.8875391999999991</v>
      </c>
      <c r="I72" s="15">
        <f t="shared" si="5"/>
        <v>19.374083308799996</v>
      </c>
    </row>
    <row r="73" spans="1:9" ht="15" thickBot="1" x14ac:dyDescent="0.35">
      <c r="A73" s="19" t="s">
        <v>299</v>
      </c>
      <c r="B73" s="21">
        <f>References!Z73*4</f>
        <v>726.79679999999996</v>
      </c>
      <c r="C73" s="21">
        <f>(References!Y73*B73)/3.6</f>
        <v>51.178607999999997</v>
      </c>
      <c r="D73" s="21">
        <v>34.5</v>
      </c>
      <c r="E73" s="21">
        <v>24</v>
      </c>
      <c r="F73" s="21">
        <v>1.8136751999999999E-2</v>
      </c>
      <c r="G73" s="21">
        <v>9.2932350000000004E-3</v>
      </c>
      <c r="H73" s="21">
        <f t="shared" si="4"/>
        <v>662.04647308799997</v>
      </c>
      <c r="I73" s="22">
        <f t="shared" si="5"/>
        <v>1357.7966696530077</v>
      </c>
    </row>
    <row r="74" spans="1:9" ht="15" thickBot="1" x14ac:dyDescent="0.35">
      <c r="F74" s="89" t="s">
        <v>336</v>
      </c>
      <c r="G74" s="89"/>
      <c r="H74" s="44">
        <f>SUM(H4:H73)</f>
        <v>8169.4957428528915</v>
      </c>
      <c r="I74" s="44">
        <f>SUM(I4:I73)</f>
        <v>16087.922931357525</v>
      </c>
    </row>
    <row r="75" spans="1:9" ht="15" thickBot="1" x14ac:dyDescent="0.35">
      <c r="F75" s="89" t="s">
        <v>162</v>
      </c>
      <c r="G75" s="89"/>
      <c r="H75" s="54">
        <f>H74+I74</f>
        <v>24257.418674210418</v>
      </c>
      <c r="I75" s="54"/>
    </row>
    <row r="77" spans="1:9" ht="23.4" x14ac:dyDescent="0.45">
      <c r="A77" s="93" t="s">
        <v>42</v>
      </c>
      <c r="B77" s="93"/>
      <c r="C77" s="93"/>
      <c r="D77" s="93"/>
      <c r="E77" s="93"/>
      <c r="F77" s="93"/>
      <c r="G77" s="93"/>
      <c r="H77" s="93"/>
      <c r="I77" s="93"/>
    </row>
    <row r="78" spans="1:9" ht="15" thickBot="1" x14ac:dyDescent="0.35">
      <c r="A78" s="41" t="s">
        <v>20</v>
      </c>
      <c r="B78" s="42" t="s">
        <v>169</v>
      </c>
      <c r="C78" s="42" t="s">
        <v>21</v>
      </c>
      <c r="D78" s="42" t="s">
        <v>13</v>
      </c>
      <c r="E78" s="42" t="s">
        <v>7</v>
      </c>
      <c r="F78" s="42" t="s">
        <v>22</v>
      </c>
      <c r="G78" s="42" t="s">
        <v>23</v>
      </c>
      <c r="H78" s="42" t="s">
        <v>24</v>
      </c>
      <c r="I78" s="43" t="s">
        <v>25</v>
      </c>
    </row>
    <row r="79" spans="1:9" ht="15" thickBot="1" x14ac:dyDescent="0.35">
      <c r="A79" s="8" t="s">
        <v>124</v>
      </c>
      <c r="B79" s="6">
        <f>References!AB4*4</f>
        <v>137.10759999999999</v>
      </c>
      <c r="C79" s="6">
        <f>((0.15+0.01*3+0.007*(D79-E79))*B79)/3.6</f>
        <v>10.054557333333333</v>
      </c>
      <c r="D79" s="6">
        <v>34.5</v>
      </c>
      <c r="E79" s="6">
        <v>22.5</v>
      </c>
      <c r="F79" s="6">
        <v>1.813675E-2</v>
      </c>
      <c r="G79" s="6">
        <f>_xlfn.IFS(E79=22.5,0.00848061,E79=22,0.00821976,E79=24,0.00929323)</f>
        <v>8.4806099999999995E-3</v>
      </c>
      <c r="H79" s="6">
        <f>1.23*C79*(D79-E79)</f>
        <v>148.40526624</v>
      </c>
      <c r="I79" s="15">
        <f>3000*C79*(F79-G79)</f>
        <v>291.26463974607998</v>
      </c>
    </row>
    <row r="80" spans="1:9" ht="15" thickBot="1" x14ac:dyDescent="0.35">
      <c r="A80" s="8" t="s">
        <v>207</v>
      </c>
      <c r="B80" s="6">
        <f>References!AB5*4</f>
        <v>10.47</v>
      </c>
      <c r="C80" s="6">
        <f t="shared" ref="C80:C113" si="6">((0.15+0.01*3+0.007*(D80-E80))*B80)/3.6</f>
        <v>0.73726250000000004</v>
      </c>
      <c r="D80" s="6">
        <v>34.5</v>
      </c>
      <c r="E80" s="6">
        <v>24</v>
      </c>
      <c r="F80" s="6">
        <v>1.813675E-2</v>
      </c>
      <c r="G80" s="6">
        <f t="shared" ref="G80:G143" si="7">_xlfn.IFS(E80=22.5,0.00848061,E80=22,0.00821976,E80=24,0.00929323)</f>
        <v>9.2932299999999995E-3</v>
      </c>
      <c r="H80" s="6">
        <f t="shared" ref="H80:H143" si="8">1.23*C80*(D80-E80)</f>
        <v>9.5217451875000005</v>
      </c>
      <c r="I80" s="15">
        <f t="shared" ref="I80:I143" si="9">3000*C80*(F80-G80)</f>
        <v>19.559986991999999</v>
      </c>
    </row>
    <row r="81" spans="1:9" ht="15" thickBot="1" x14ac:dyDescent="0.35">
      <c r="A81" s="8" t="s">
        <v>170</v>
      </c>
      <c r="B81" s="6">
        <f>References!AB6*4</f>
        <v>137.04</v>
      </c>
      <c r="C81" s="6">
        <f t="shared" si="6"/>
        <v>10.0496</v>
      </c>
      <c r="D81" s="6">
        <v>34.5</v>
      </c>
      <c r="E81" s="6">
        <v>22.5</v>
      </c>
      <c r="F81" s="6">
        <v>1.813675E-2</v>
      </c>
      <c r="G81" s="6">
        <f t="shared" si="7"/>
        <v>8.4806099999999995E-3</v>
      </c>
      <c r="H81" s="6">
        <f t="shared" si="8"/>
        <v>148.33209600000001</v>
      </c>
      <c r="I81" s="15">
        <f t="shared" si="9"/>
        <v>291.12103363200004</v>
      </c>
    </row>
    <row r="82" spans="1:9" ht="15" thickBot="1" x14ac:dyDescent="0.35">
      <c r="A82" s="8" t="s">
        <v>206</v>
      </c>
      <c r="B82" s="6">
        <f>References!AB7*4</f>
        <v>10.47</v>
      </c>
      <c r="C82" s="6">
        <f t="shared" si="6"/>
        <v>0.73726250000000004</v>
      </c>
      <c r="D82" s="6">
        <v>34.5</v>
      </c>
      <c r="E82" s="6">
        <v>24</v>
      </c>
      <c r="F82" s="6">
        <v>1.813675E-2</v>
      </c>
      <c r="G82" s="6">
        <f t="shared" si="7"/>
        <v>9.2932299999999995E-3</v>
      </c>
      <c r="H82" s="6">
        <f t="shared" si="8"/>
        <v>9.5217451875000005</v>
      </c>
      <c r="I82" s="15">
        <f t="shared" si="9"/>
        <v>19.559986991999999</v>
      </c>
    </row>
    <row r="83" spans="1:9" ht="15" thickBot="1" x14ac:dyDescent="0.35">
      <c r="A83" s="8" t="s">
        <v>231</v>
      </c>
      <c r="B83" s="6">
        <f>References!AB8*4</f>
        <v>881.32960000000003</v>
      </c>
      <c r="C83" s="6">
        <f t="shared" si="6"/>
        <v>64.630837333333332</v>
      </c>
      <c r="D83" s="6">
        <v>34.5</v>
      </c>
      <c r="E83" s="6">
        <v>22.5</v>
      </c>
      <c r="F83" s="6">
        <v>1.813675E-2</v>
      </c>
      <c r="G83" s="6">
        <f t="shared" si="7"/>
        <v>8.4806099999999995E-3</v>
      </c>
      <c r="H83" s="6">
        <f t="shared" si="8"/>
        <v>953.95115903999999</v>
      </c>
      <c r="I83" s="15">
        <f t="shared" si="9"/>
        <v>1872.25324082368</v>
      </c>
    </row>
    <row r="84" spans="1:9" ht="15" thickBot="1" x14ac:dyDescent="0.35">
      <c r="A84" s="8" t="s">
        <v>232</v>
      </c>
      <c r="B84" s="6">
        <f>References!AB9*4</f>
        <v>573.16452000000004</v>
      </c>
      <c r="C84" s="6">
        <f t="shared" si="6"/>
        <v>42.032064800000001</v>
      </c>
      <c r="D84" s="6">
        <v>34.5</v>
      </c>
      <c r="E84" s="6">
        <v>22.5</v>
      </c>
      <c r="F84" s="6">
        <v>1.813675E-2</v>
      </c>
      <c r="G84" s="6">
        <f t="shared" si="7"/>
        <v>8.4806099999999995E-3</v>
      </c>
      <c r="H84" s="6">
        <f t="shared" si="8"/>
        <v>620.39327644800005</v>
      </c>
      <c r="I84" s="15">
        <f t="shared" si="9"/>
        <v>1217.6025065936162</v>
      </c>
    </row>
    <row r="85" spans="1:9" ht="15" thickBot="1" x14ac:dyDescent="0.35">
      <c r="A85" s="8" t="s">
        <v>233</v>
      </c>
      <c r="B85" s="6">
        <f>References!AB10*4</f>
        <v>315.02960000000002</v>
      </c>
      <c r="C85" s="6">
        <f t="shared" si="6"/>
        <v>23.10217066666667</v>
      </c>
      <c r="D85" s="6">
        <v>34.5</v>
      </c>
      <c r="E85" s="6">
        <v>22.5</v>
      </c>
      <c r="F85" s="6">
        <v>1.813675E-2</v>
      </c>
      <c r="G85" s="6">
        <f t="shared" si="7"/>
        <v>8.4806099999999995E-3</v>
      </c>
      <c r="H85" s="6">
        <f t="shared" si="8"/>
        <v>340.98803904000005</v>
      </c>
      <c r="I85" s="15">
        <f t="shared" si="9"/>
        <v>669.2333827836801</v>
      </c>
    </row>
    <row r="86" spans="1:9" ht="15" thickBot="1" x14ac:dyDescent="0.35">
      <c r="A86" s="48" t="s">
        <v>234</v>
      </c>
      <c r="B86" s="6">
        <f>References!AB11*4</f>
        <v>398.61880000000002</v>
      </c>
      <c r="C86" s="6">
        <f t="shared" si="6"/>
        <v>29.232045333333335</v>
      </c>
      <c r="D86" s="6">
        <v>34.5</v>
      </c>
      <c r="E86" s="6">
        <v>22.5</v>
      </c>
      <c r="F86" s="6">
        <v>1.813675E-2</v>
      </c>
      <c r="G86" s="6">
        <f t="shared" si="7"/>
        <v>8.4806099999999995E-3</v>
      </c>
      <c r="H86" s="6">
        <f t="shared" si="8"/>
        <v>431.46498912000004</v>
      </c>
      <c r="I86" s="15">
        <f t="shared" si="9"/>
        <v>846.80616667504023</v>
      </c>
    </row>
    <row r="87" spans="1:9" ht="15" thickBot="1" x14ac:dyDescent="0.35">
      <c r="A87" s="48" t="s">
        <v>235</v>
      </c>
      <c r="B87" s="6">
        <f>References!AB12*4</f>
        <v>571.5204</v>
      </c>
      <c r="C87" s="6">
        <f t="shared" si="6"/>
        <v>41.911496000000007</v>
      </c>
      <c r="D87" s="6">
        <v>34.5</v>
      </c>
      <c r="E87" s="6">
        <v>22.5</v>
      </c>
      <c r="F87" s="6">
        <v>1.813675E-2</v>
      </c>
      <c r="G87" s="6">
        <f t="shared" si="7"/>
        <v>8.4806099999999995E-3</v>
      </c>
      <c r="H87" s="6">
        <f t="shared" si="8"/>
        <v>618.61368096000012</v>
      </c>
      <c r="I87" s="15">
        <f t="shared" si="9"/>
        <v>1214.1098189563204</v>
      </c>
    </row>
    <row r="88" spans="1:9" ht="15" thickBot="1" x14ac:dyDescent="0.35">
      <c r="A88" s="8" t="s">
        <v>125</v>
      </c>
      <c r="B88" s="6">
        <f>References!AB13*4</f>
        <v>137.16</v>
      </c>
      <c r="C88" s="6">
        <f t="shared" si="6"/>
        <v>10.058399999999999</v>
      </c>
      <c r="D88" s="6">
        <v>34.5</v>
      </c>
      <c r="E88" s="6">
        <v>22.5</v>
      </c>
      <c r="F88" s="6">
        <v>1.813675E-2</v>
      </c>
      <c r="G88" s="6">
        <f t="shared" si="7"/>
        <v>8.4806099999999995E-3</v>
      </c>
      <c r="H88" s="6">
        <f t="shared" si="8"/>
        <v>148.46198399999997</v>
      </c>
      <c r="I88" s="15">
        <f t="shared" si="9"/>
        <v>291.37595572800001</v>
      </c>
    </row>
    <row r="89" spans="1:9" ht="15" thickBot="1" x14ac:dyDescent="0.35">
      <c r="A89" s="8" t="s">
        <v>208</v>
      </c>
      <c r="B89" s="6">
        <f>References!AB14*4</f>
        <v>10.47</v>
      </c>
      <c r="C89" s="6">
        <f t="shared" si="6"/>
        <v>0.73726250000000004</v>
      </c>
      <c r="D89" s="6">
        <v>34.5</v>
      </c>
      <c r="E89" s="6">
        <v>24</v>
      </c>
      <c r="F89" s="6">
        <v>1.813675E-2</v>
      </c>
      <c r="G89" s="6">
        <f t="shared" si="7"/>
        <v>9.2932299999999995E-3</v>
      </c>
      <c r="H89" s="6">
        <f t="shared" si="8"/>
        <v>9.5217451875000005</v>
      </c>
      <c r="I89" s="15">
        <f t="shared" si="9"/>
        <v>19.559986991999999</v>
      </c>
    </row>
    <row r="90" spans="1:9" ht="15" thickBot="1" x14ac:dyDescent="0.35">
      <c r="A90" s="8" t="s">
        <v>126</v>
      </c>
      <c r="B90" s="6">
        <f>References!AB15*4</f>
        <v>136.47</v>
      </c>
      <c r="C90" s="6">
        <f t="shared" si="6"/>
        <v>10.007800000000001</v>
      </c>
      <c r="D90" s="6">
        <v>34.5</v>
      </c>
      <c r="E90" s="6">
        <v>22.5</v>
      </c>
      <c r="F90" s="6">
        <v>1.813675E-2</v>
      </c>
      <c r="G90" s="6">
        <f t="shared" si="7"/>
        <v>8.4806099999999995E-3</v>
      </c>
      <c r="H90" s="6">
        <f t="shared" si="8"/>
        <v>147.71512800000002</v>
      </c>
      <c r="I90" s="15">
        <f t="shared" si="9"/>
        <v>289.91015367600005</v>
      </c>
    </row>
    <row r="91" spans="1:9" ht="15" thickBot="1" x14ac:dyDescent="0.35">
      <c r="A91" s="8" t="s">
        <v>209</v>
      </c>
      <c r="B91" s="6">
        <f>References!AB16*4</f>
        <v>10.47</v>
      </c>
      <c r="C91" s="6">
        <f t="shared" si="6"/>
        <v>0.73726250000000004</v>
      </c>
      <c r="D91" s="6">
        <v>34.5</v>
      </c>
      <c r="E91" s="6">
        <v>24</v>
      </c>
      <c r="F91" s="6">
        <v>1.813675E-2</v>
      </c>
      <c r="G91" s="6">
        <f t="shared" si="7"/>
        <v>9.2932299999999995E-3</v>
      </c>
      <c r="H91" s="6">
        <f t="shared" si="8"/>
        <v>9.5217451875000005</v>
      </c>
      <c r="I91" s="15">
        <f t="shared" si="9"/>
        <v>19.559986991999999</v>
      </c>
    </row>
    <row r="92" spans="1:9" ht="15" thickBot="1" x14ac:dyDescent="0.35">
      <c r="A92" s="8" t="s">
        <v>171</v>
      </c>
      <c r="B92" s="6">
        <f>References!AB17*4</f>
        <v>54.6952</v>
      </c>
      <c r="C92" s="6">
        <f t="shared" si="6"/>
        <v>4.0109813333333335</v>
      </c>
      <c r="D92" s="6">
        <v>34.5</v>
      </c>
      <c r="E92" s="6">
        <v>22.5</v>
      </c>
      <c r="F92" s="6">
        <v>1.813675E-2</v>
      </c>
      <c r="G92" s="6">
        <f t="shared" si="7"/>
        <v>8.4806099999999995E-3</v>
      </c>
      <c r="H92" s="6">
        <f t="shared" si="8"/>
        <v>59.202084480000003</v>
      </c>
      <c r="I92" s="15">
        <f t="shared" si="9"/>
        <v>116.19179187616002</v>
      </c>
    </row>
    <row r="93" spans="1:9" ht="15" thickBot="1" x14ac:dyDescent="0.35">
      <c r="A93" s="8" t="s">
        <v>210</v>
      </c>
      <c r="B93" s="6">
        <f>References!AB18*4</f>
        <v>10.4924</v>
      </c>
      <c r="C93" s="6">
        <f t="shared" si="6"/>
        <v>0.73883983333333336</v>
      </c>
      <c r="D93" s="6">
        <v>34.5</v>
      </c>
      <c r="E93" s="6">
        <v>24</v>
      </c>
      <c r="F93" s="6">
        <v>1.813675E-2</v>
      </c>
      <c r="G93" s="6">
        <f t="shared" si="7"/>
        <v>9.2932299999999995E-3</v>
      </c>
      <c r="H93" s="6">
        <f t="shared" si="8"/>
        <v>9.5421164474999998</v>
      </c>
      <c r="I93" s="15">
        <f t="shared" si="9"/>
        <v>19.601834528640001</v>
      </c>
    </row>
    <row r="94" spans="1:9" ht="15" thickBot="1" x14ac:dyDescent="0.35">
      <c r="A94" s="8" t="s">
        <v>172</v>
      </c>
      <c r="B94" s="6">
        <f>References!AB19*4</f>
        <v>55.682400000000001</v>
      </c>
      <c r="C94" s="6">
        <f t="shared" si="6"/>
        <v>4.0833760000000003</v>
      </c>
      <c r="D94" s="6">
        <v>34.5</v>
      </c>
      <c r="E94" s="6">
        <v>22.5</v>
      </c>
      <c r="F94" s="6">
        <v>1.813675E-2</v>
      </c>
      <c r="G94" s="6">
        <f t="shared" si="7"/>
        <v>8.4806099999999995E-3</v>
      </c>
      <c r="H94" s="6">
        <f t="shared" si="8"/>
        <v>60.270629760000006</v>
      </c>
      <c r="I94" s="15">
        <f t="shared" si="9"/>
        <v>118.28895098592001</v>
      </c>
    </row>
    <row r="95" spans="1:9" ht="15" thickBot="1" x14ac:dyDescent="0.35">
      <c r="A95" s="8" t="s">
        <v>211</v>
      </c>
      <c r="B95" s="6">
        <f>References!AB20*4</f>
        <v>10.462</v>
      </c>
      <c r="C95" s="6">
        <f t="shared" si="6"/>
        <v>0.73669916666666668</v>
      </c>
      <c r="D95" s="6">
        <v>34.5</v>
      </c>
      <c r="E95" s="6">
        <v>24</v>
      </c>
      <c r="F95" s="6">
        <v>1.813675E-2</v>
      </c>
      <c r="G95" s="6">
        <f t="shared" si="7"/>
        <v>9.2932299999999995E-3</v>
      </c>
      <c r="H95" s="6">
        <f t="shared" si="8"/>
        <v>9.5144697375000007</v>
      </c>
      <c r="I95" s="15">
        <f t="shared" si="9"/>
        <v>19.545041443199999</v>
      </c>
    </row>
    <row r="96" spans="1:9" ht="15" thickBot="1" x14ac:dyDescent="0.35">
      <c r="A96" s="8" t="s">
        <v>173</v>
      </c>
      <c r="B96" s="6">
        <f>References!AB21*4</f>
        <v>55.501600000000003</v>
      </c>
      <c r="C96" s="6">
        <f t="shared" si="6"/>
        <v>4.0701173333333331</v>
      </c>
      <c r="D96" s="6">
        <v>34.5</v>
      </c>
      <c r="E96" s="6">
        <v>22.5</v>
      </c>
      <c r="F96" s="6">
        <v>1.813675E-2</v>
      </c>
      <c r="G96" s="6">
        <f t="shared" si="7"/>
        <v>8.4806099999999995E-3</v>
      </c>
      <c r="H96" s="6">
        <f t="shared" si="8"/>
        <v>60.074931839999991</v>
      </c>
      <c r="I96" s="15">
        <f t="shared" si="9"/>
        <v>117.90486836127999</v>
      </c>
    </row>
    <row r="97" spans="1:9" ht="15" thickBot="1" x14ac:dyDescent="0.35">
      <c r="A97" s="8" t="s">
        <v>212</v>
      </c>
      <c r="B97" s="6">
        <f>References!AB22*4</f>
        <v>10.4788</v>
      </c>
      <c r="C97" s="6">
        <f t="shared" si="6"/>
        <v>0.73788216666666662</v>
      </c>
      <c r="D97" s="6">
        <v>34.5</v>
      </c>
      <c r="E97" s="6">
        <v>24</v>
      </c>
      <c r="F97" s="6">
        <v>1.813675E-2</v>
      </c>
      <c r="G97" s="6">
        <f t="shared" si="7"/>
        <v>9.2932299999999995E-3</v>
      </c>
      <c r="H97" s="6">
        <f t="shared" si="8"/>
        <v>9.5297481825000006</v>
      </c>
      <c r="I97" s="15">
        <f t="shared" si="9"/>
        <v>19.57642709568</v>
      </c>
    </row>
    <row r="98" spans="1:9" ht="15" thickBot="1" x14ac:dyDescent="0.35">
      <c r="A98" s="8" t="s">
        <v>174</v>
      </c>
      <c r="B98" s="6">
        <f>References!AB23*4</f>
        <v>122.848</v>
      </c>
      <c r="C98" s="6">
        <f>((0.15+0.01*3+0.007*(D98-E98))*B98)/3.6</f>
        <v>9.0088533333333327</v>
      </c>
      <c r="D98" s="6">
        <v>34.5</v>
      </c>
      <c r="E98" s="6">
        <v>22.5</v>
      </c>
      <c r="F98" s="6">
        <v>1.813675E-2</v>
      </c>
      <c r="G98" s="6">
        <f t="shared" si="7"/>
        <v>8.4806099999999995E-3</v>
      </c>
      <c r="H98" s="6">
        <f t="shared" si="8"/>
        <v>132.97067519999999</v>
      </c>
      <c r="I98" s="15">
        <f t="shared" si="9"/>
        <v>260.97224707840002</v>
      </c>
    </row>
    <row r="99" spans="1:9" ht="15" thickBot="1" x14ac:dyDescent="0.35">
      <c r="A99" s="8" t="s">
        <v>213</v>
      </c>
      <c r="B99" s="6">
        <f>References!AB24*4</f>
        <v>10.5496</v>
      </c>
      <c r="C99" s="6">
        <f t="shared" si="6"/>
        <v>0.7428676666666667</v>
      </c>
      <c r="D99" s="6">
        <v>34.5</v>
      </c>
      <c r="E99" s="6">
        <v>24</v>
      </c>
      <c r="F99" s="6">
        <v>1.813675E-2</v>
      </c>
      <c r="G99" s="6">
        <f t="shared" si="7"/>
        <v>9.2932299999999995E-3</v>
      </c>
      <c r="H99" s="6">
        <f t="shared" si="8"/>
        <v>9.5941359150000007</v>
      </c>
      <c r="I99" s="15">
        <f t="shared" si="9"/>
        <v>19.708695202560001</v>
      </c>
    </row>
    <row r="100" spans="1:9" ht="15" thickBot="1" x14ac:dyDescent="0.35">
      <c r="A100" s="8" t="s">
        <v>175</v>
      </c>
      <c r="B100" s="6">
        <f>References!AB25*4</f>
        <v>71.765199999999993</v>
      </c>
      <c r="C100" s="6">
        <f t="shared" si="6"/>
        <v>5.2627813333333329</v>
      </c>
      <c r="D100" s="6">
        <v>34.5</v>
      </c>
      <c r="E100" s="6">
        <v>22.5</v>
      </c>
      <c r="F100" s="6">
        <v>1.813675E-2</v>
      </c>
      <c r="G100" s="6">
        <f t="shared" si="7"/>
        <v>8.4806099999999995E-3</v>
      </c>
      <c r="H100" s="6">
        <f t="shared" si="8"/>
        <v>77.678652479999997</v>
      </c>
      <c r="I100" s="15">
        <f t="shared" si="9"/>
        <v>152.45446003216</v>
      </c>
    </row>
    <row r="101" spans="1:9" ht="15" thickBot="1" x14ac:dyDescent="0.35">
      <c r="A101" s="8" t="s">
        <v>176</v>
      </c>
      <c r="B101" s="6">
        <f>References!AB26*4</f>
        <v>91.316000000000003</v>
      </c>
      <c r="C101" s="6">
        <f t="shared" si="6"/>
        <v>6.6965066666666671</v>
      </c>
      <c r="D101" s="6">
        <v>34.5</v>
      </c>
      <c r="E101" s="6">
        <v>22.5</v>
      </c>
      <c r="F101" s="6">
        <v>1.813675E-2</v>
      </c>
      <c r="G101" s="6">
        <f t="shared" si="7"/>
        <v>8.4806099999999995E-3</v>
      </c>
      <c r="H101" s="6">
        <f>1.23*C101*(D101-E101)</f>
        <v>98.840438400000011</v>
      </c>
      <c r="I101" s="15">
        <f t="shared" si="9"/>
        <v>193.98721765280001</v>
      </c>
    </row>
    <row r="102" spans="1:9" ht="15" thickBot="1" x14ac:dyDescent="0.35">
      <c r="A102" s="8" t="s">
        <v>205</v>
      </c>
      <c r="B102" s="6">
        <f>References!AB27*4</f>
        <v>9.6484000000000005</v>
      </c>
      <c r="C102" s="6">
        <f t="shared" si="6"/>
        <v>0.6794081666666667</v>
      </c>
      <c r="D102" s="6">
        <v>34.5</v>
      </c>
      <c r="E102" s="6">
        <v>24</v>
      </c>
      <c r="F102" s="6">
        <v>1.813675E-2</v>
      </c>
      <c r="G102" s="6">
        <f t="shared" si="7"/>
        <v>9.2932299999999995E-3</v>
      </c>
      <c r="H102" s="6">
        <f t="shared" si="8"/>
        <v>8.7745564725000005</v>
      </c>
      <c r="I102" s="15">
        <f t="shared" si="9"/>
        <v>18.025079130240002</v>
      </c>
    </row>
    <row r="103" spans="1:9" ht="15" thickBot="1" x14ac:dyDescent="0.35">
      <c r="A103" s="8" t="s">
        <v>177</v>
      </c>
      <c r="B103" s="6">
        <f>References!AB28*4</f>
        <v>19.147600000000001</v>
      </c>
      <c r="C103" s="6">
        <f t="shared" si="6"/>
        <v>1.3483101666666666</v>
      </c>
      <c r="D103" s="6">
        <v>34.5</v>
      </c>
      <c r="E103" s="6">
        <v>24</v>
      </c>
      <c r="F103" s="6">
        <v>1.813675E-2</v>
      </c>
      <c r="G103" s="6">
        <f t="shared" si="7"/>
        <v>9.2932299999999995E-3</v>
      </c>
      <c r="H103" s="6">
        <f t="shared" si="8"/>
        <v>17.413425802500001</v>
      </c>
      <c r="I103" s="15">
        <f t="shared" si="9"/>
        <v>35.771423775359999</v>
      </c>
    </row>
    <row r="104" spans="1:9" ht="15" thickBot="1" x14ac:dyDescent="0.35">
      <c r="A104" s="8" t="s">
        <v>178</v>
      </c>
      <c r="B104" s="6">
        <f>References!AB29*4</f>
        <v>9.8323999999999998</v>
      </c>
      <c r="C104" s="6">
        <f t="shared" si="6"/>
        <v>0.69236483333333332</v>
      </c>
      <c r="D104" s="6">
        <v>34.5</v>
      </c>
      <c r="E104" s="6">
        <v>24</v>
      </c>
      <c r="F104" s="6">
        <v>1.813675E-2</v>
      </c>
      <c r="G104" s="6">
        <f t="shared" si="7"/>
        <v>9.2932299999999995E-3</v>
      </c>
      <c r="H104" s="6">
        <f t="shared" si="8"/>
        <v>8.9418918224999988</v>
      </c>
      <c r="I104" s="15">
        <f t="shared" si="9"/>
        <v>18.368826752640004</v>
      </c>
    </row>
    <row r="105" spans="1:9" ht="15" thickBot="1" x14ac:dyDescent="0.35">
      <c r="A105" s="8" t="s">
        <v>179</v>
      </c>
      <c r="B105" s="6">
        <f>References!AB30*4</f>
        <v>55.494</v>
      </c>
      <c r="C105" s="6">
        <f t="shared" si="6"/>
        <v>4.0695600000000001</v>
      </c>
      <c r="D105" s="6">
        <v>34.5</v>
      </c>
      <c r="E105" s="6">
        <v>22.5</v>
      </c>
      <c r="F105" s="6">
        <v>1.813675E-2</v>
      </c>
      <c r="G105" s="6">
        <f t="shared" si="7"/>
        <v>8.4806099999999995E-3</v>
      </c>
      <c r="H105" s="6">
        <f t="shared" si="8"/>
        <v>60.066705600000006</v>
      </c>
      <c r="I105" s="15">
        <f t="shared" si="9"/>
        <v>117.88872329520001</v>
      </c>
    </row>
    <row r="106" spans="1:9" ht="15" thickBot="1" x14ac:dyDescent="0.35">
      <c r="A106" s="8" t="s">
        <v>214</v>
      </c>
      <c r="B106" s="6">
        <f>References!AB31*4</f>
        <v>10.47</v>
      </c>
      <c r="C106" s="6">
        <f t="shared" si="6"/>
        <v>0.73726250000000004</v>
      </c>
      <c r="D106" s="6">
        <v>34.5</v>
      </c>
      <c r="E106" s="6">
        <v>24</v>
      </c>
      <c r="F106" s="6">
        <v>1.813675E-2</v>
      </c>
      <c r="G106" s="6">
        <f t="shared" si="7"/>
        <v>9.2932299999999995E-3</v>
      </c>
      <c r="H106" s="6">
        <f t="shared" si="8"/>
        <v>9.5217451875000005</v>
      </c>
      <c r="I106" s="15">
        <f t="shared" si="9"/>
        <v>19.559986991999999</v>
      </c>
    </row>
    <row r="107" spans="1:9" ht="15" thickBot="1" x14ac:dyDescent="0.35">
      <c r="A107" s="8" t="s">
        <v>180</v>
      </c>
      <c r="B107" s="6">
        <f>References!AB32*4</f>
        <v>55.571199999999997</v>
      </c>
      <c r="C107" s="6">
        <f t="shared" si="6"/>
        <v>4.0752213333333334</v>
      </c>
      <c r="D107" s="6">
        <v>34.5</v>
      </c>
      <c r="E107" s="6">
        <v>22.5</v>
      </c>
      <c r="F107" s="6">
        <v>1.813675E-2</v>
      </c>
      <c r="G107" s="6">
        <f t="shared" si="7"/>
        <v>8.4806099999999995E-3</v>
      </c>
      <c r="H107" s="6">
        <f t="shared" si="8"/>
        <v>60.150266880000004</v>
      </c>
      <c r="I107" s="15">
        <f t="shared" si="9"/>
        <v>118.05272317696001</v>
      </c>
    </row>
    <row r="108" spans="1:9" ht="15" thickBot="1" x14ac:dyDescent="0.35">
      <c r="A108" s="8" t="s">
        <v>215</v>
      </c>
      <c r="B108" s="6">
        <f>References!AB33*4</f>
        <v>10.47</v>
      </c>
      <c r="C108" s="6">
        <f t="shared" si="6"/>
        <v>0.73726250000000004</v>
      </c>
      <c r="D108" s="6">
        <v>34.5</v>
      </c>
      <c r="E108" s="6">
        <v>24</v>
      </c>
      <c r="F108" s="6">
        <v>1.813675E-2</v>
      </c>
      <c r="G108" s="6">
        <f t="shared" si="7"/>
        <v>9.2932299999999995E-3</v>
      </c>
      <c r="H108" s="6">
        <f t="shared" si="8"/>
        <v>9.5217451875000005</v>
      </c>
      <c r="I108" s="15">
        <f t="shared" si="9"/>
        <v>19.559986991999999</v>
      </c>
    </row>
    <row r="109" spans="1:9" ht="15" thickBot="1" x14ac:dyDescent="0.35">
      <c r="A109" s="8" t="s">
        <v>181</v>
      </c>
      <c r="B109" s="6">
        <f>References!AB34*4</f>
        <v>54.8264</v>
      </c>
      <c r="C109" s="6">
        <f t="shared" si="6"/>
        <v>4.0206026666666661</v>
      </c>
      <c r="D109" s="6">
        <v>34.5</v>
      </c>
      <c r="E109" s="6">
        <v>22.5</v>
      </c>
      <c r="F109" s="6">
        <v>1.813675E-2</v>
      </c>
      <c r="G109" s="6">
        <f t="shared" si="7"/>
        <v>8.4806099999999995E-3</v>
      </c>
      <c r="H109" s="6">
        <f t="shared" si="8"/>
        <v>59.34409535999999</v>
      </c>
      <c r="I109" s="15">
        <f t="shared" si="9"/>
        <v>116.47050670112</v>
      </c>
    </row>
    <row r="110" spans="1:9" ht="15" thickBot="1" x14ac:dyDescent="0.35">
      <c r="A110" s="8" t="s">
        <v>216</v>
      </c>
      <c r="B110" s="6">
        <f>References!AB35*4</f>
        <v>10.485200000000001</v>
      </c>
      <c r="C110" s="6">
        <f t="shared" si="6"/>
        <v>0.73833283333333333</v>
      </c>
      <c r="D110" s="6">
        <v>34.5</v>
      </c>
      <c r="E110" s="6">
        <v>24</v>
      </c>
      <c r="F110" s="6">
        <v>1.813675E-2</v>
      </c>
      <c r="G110" s="6">
        <f t="shared" si="7"/>
        <v>9.2932299999999995E-3</v>
      </c>
      <c r="H110" s="6">
        <f t="shared" si="8"/>
        <v>9.5355685425000001</v>
      </c>
      <c r="I110" s="15">
        <f t="shared" si="9"/>
        <v>19.588383534720002</v>
      </c>
    </row>
    <row r="111" spans="1:9" ht="15" thickBot="1" x14ac:dyDescent="0.35">
      <c r="A111" s="8" t="s">
        <v>182</v>
      </c>
      <c r="B111" s="6">
        <f>References!AB36*4</f>
        <v>44.208799999999997</v>
      </c>
      <c r="C111" s="6">
        <f t="shared" si="6"/>
        <v>3.2419786666666668</v>
      </c>
      <c r="D111" s="6">
        <v>34.5</v>
      </c>
      <c r="E111" s="6">
        <v>22.5</v>
      </c>
      <c r="F111" s="6">
        <v>1.813675E-2</v>
      </c>
      <c r="G111" s="6">
        <f t="shared" si="7"/>
        <v>8.4806099999999995E-3</v>
      </c>
      <c r="H111" s="6">
        <f t="shared" si="8"/>
        <v>47.851605120000002</v>
      </c>
      <c r="I111" s="15">
        <f t="shared" si="9"/>
        <v>93.914999647040005</v>
      </c>
    </row>
    <row r="112" spans="1:9" ht="15" thickBot="1" x14ac:dyDescent="0.35">
      <c r="A112" s="8" t="s">
        <v>183</v>
      </c>
      <c r="B112" s="6">
        <f>References!AB37*4</f>
        <v>54.725200000000001</v>
      </c>
      <c r="C112" s="6">
        <f t="shared" si="6"/>
        <v>4.0131813333333337</v>
      </c>
      <c r="D112" s="6">
        <v>34.5</v>
      </c>
      <c r="E112" s="6">
        <v>22.5</v>
      </c>
      <c r="F112" s="6">
        <v>1.813675E-2</v>
      </c>
      <c r="G112" s="6">
        <f t="shared" si="7"/>
        <v>8.4806099999999995E-3</v>
      </c>
      <c r="H112" s="6">
        <f t="shared" si="8"/>
        <v>59.234556480000002</v>
      </c>
      <c r="I112" s="15">
        <f t="shared" si="9"/>
        <v>116.25552240016002</v>
      </c>
    </row>
    <row r="113" spans="1:9" ht="15" thickBot="1" x14ac:dyDescent="0.35">
      <c r="A113" s="8" t="s">
        <v>217</v>
      </c>
      <c r="B113" s="6">
        <f>References!AB38*4</f>
        <v>10.56</v>
      </c>
      <c r="C113" s="6">
        <f t="shared" si="6"/>
        <v>0.74360000000000004</v>
      </c>
      <c r="D113" s="6">
        <v>34.5</v>
      </c>
      <c r="E113" s="6">
        <v>24</v>
      </c>
      <c r="F113" s="6">
        <v>1.813675E-2</v>
      </c>
      <c r="G113" s="6">
        <f t="shared" si="7"/>
        <v>9.2932299999999995E-3</v>
      </c>
      <c r="H113" s="6">
        <f t="shared" si="8"/>
        <v>9.6035939999999993</v>
      </c>
      <c r="I113" s="15">
        <f t="shared" si="9"/>
        <v>19.728124416000004</v>
      </c>
    </row>
    <row r="114" spans="1:9" ht="15" thickBot="1" x14ac:dyDescent="0.35">
      <c r="A114" s="8" t="s">
        <v>143</v>
      </c>
      <c r="B114" s="6">
        <f>References!AB39*4</f>
        <v>74.927599999999998</v>
      </c>
      <c r="C114" s="6">
        <f t="shared" ref="C114:C142" si="10">((0.15+0.01*3+0.007*(D114-E114))*B114)/3.6</f>
        <v>5.4946906666666662</v>
      </c>
      <c r="D114" s="6">
        <v>34.5</v>
      </c>
      <c r="E114" s="6">
        <v>22.5</v>
      </c>
      <c r="F114" s="6">
        <v>1.813675E-2</v>
      </c>
      <c r="G114" s="6">
        <f t="shared" si="7"/>
        <v>8.4806099999999995E-3</v>
      </c>
      <c r="H114" s="6">
        <f t="shared" si="8"/>
        <v>81.101634239999996</v>
      </c>
      <c r="I114" s="15">
        <f t="shared" si="9"/>
        <v>159.17250700208001</v>
      </c>
    </row>
    <row r="115" spans="1:9" ht="15" thickBot="1" x14ac:dyDescent="0.35">
      <c r="A115" s="8" t="s">
        <v>218</v>
      </c>
      <c r="B115" s="6">
        <f>References!AB40*4</f>
        <v>27.718399999999999</v>
      </c>
      <c r="C115" s="6">
        <f t="shared" si="10"/>
        <v>1.9518373333333332</v>
      </c>
      <c r="D115" s="6">
        <v>34.5</v>
      </c>
      <c r="E115" s="6">
        <v>24</v>
      </c>
      <c r="F115" s="6">
        <v>1.813675E-2</v>
      </c>
      <c r="G115" s="6">
        <f t="shared" si="7"/>
        <v>9.2932299999999995E-3</v>
      </c>
      <c r="H115" s="6">
        <f t="shared" si="8"/>
        <v>25.207979159999997</v>
      </c>
      <c r="I115" s="15">
        <f t="shared" si="9"/>
        <v>51.78333748224</v>
      </c>
    </row>
    <row r="116" spans="1:9" ht="15" thickBot="1" x14ac:dyDescent="0.35">
      <c r="A116" s="8" t="s">
        <v>184</v>
      </c>
      <c r="B116" s="6">
        <f>References!AB41*4</f>
        <v>101.488</v>
      </c>
      <c r="C116" s="6">
        <f t="shared" si="10"/>
        <v>7.4424533333333329</v>
      </c>
      <c r="D116" s="6">
        <v>34.5</v>
      </c>
      <c r="E116" s="6">
        <v>22.5</v>
      </c>
      <c r="F116" s="6">
        <v>1.813675E-2</v>
      </c>
      <c r="G116" s="6">
        <f t="shared" si="7"/>
        <v>8.4806099999999995E-3</v>
      </c>
      <c r="H116" s="6">
        <f t="shared" si="8"/>
        <v>109.85061119999999</v>
      </c>
      <c r="I116" s="15">
        <f t="shared" si="9"/>
        <v>215.59611399040003</v>
      </c>
    </row>
    <row r="117" spans="1:9" ht="15" thickBot="1" x14ac:dyDescent="0.35">
      <c r="A117" s="8" t="s">
        <v>219</v>
      </c>
      <c r="B117" s="6">
        <f>References!AB42*4</f>
        <v>10.434799999999999</v>
      </c>
      <c r="C117" s="6">
        <f t="shared" si="10"/>
        <v>0.7347838333333333</v>
      </c>
      <c r="D117" s="6">
        <v>34.5</v>
      </c>
      <c r="E117" s="6">
        <v>24</v>
      </c>
      <c r="F117" s="6">
        <v>1.813675E-2</v>
      </c>
      <c r="G117" s="6">
        <f t="shared" si="7"/>
        <v>9.2932299999999995E-3</v>
      </c>
      <c r="H117" s="6">
        <f t="shared" si="8"/>
        <v>9.4897332075000005</v>
      </c>
      <c r="I117" s="15">
        <f t="shared" si="9"/>
        <v>19.494226577279999</v>
      </c>
    </row>
    <row r="118" spans="1:9" ht="15" thickBot="1" x14ac:dyDescent="0.35">
      <c r="A118" s="8" t="s">
        <v>185</v>
      </c>
      <c r="B118" s="6">
        <f>References!AB43*4</f>
        <v>26.4604</v>
      </c>
      <c r="C118" s="6">
        <f t="shared" si="10"/>
        <v>1.9404293333333333</v>
      </c>
      <c r="D118" s="6">
        <v>34.5</v>
      </c>
      <c r="E118" s="6">
        <v>22.5</v>
      </c>
      <c r="F118" s="6">
        <v>1.813675E-2</v>
      </c>
      <c r="G118" s="6">
        <f t="shared" si="7"/>
        <v>8.4806099999999995E-3</v>
      </c>
      <c r="H118" s="6">
        <f t="shared" si="8"/>
        <v>28.640736960000002</v>
      </c>
      <c r="I118" s="15">
        <f t="shared" si="9"/>
        <v>56.211171908320004</v>
      </c>
    </row>
    <row r="119" spans="1:9" ht="15" thickBot="1" x14ac:dyDescent="0.35">
      <c r="A119" s="8" t="s">
        <v>186</v>
      </c>
      <c r="B119" s="6">
        <f>References!AB44*4</f>
        <v>101.92</v>
      </c>
      <c r="C119" s="6">
        <f t="shared" si="10"/>
        <v>7.4741333333333335</v>
      </c>
      <c r="D119" s="6">
        <v>34.5</v>
      </c>
      <c r="E119" s="6">
        <v>22.5</v>
      </c>
      <c r="F119" s="6">
        <v>1.813675E-2</v>
      </c>
      <c r="G119" s="6">
        <f t="shared" si="7"/>
        <v>8.4806099999999995E-3</v>
      </c>
      <c r="H119" s="6">
        <f t="shared" si="8"/>
        <v>110.318208</v>
      </c>
      <c r="I119" s="15">
        <f t="shared" si="9"/>
        <v>216.51383353600002</v>
      </c>
    </row>
    <row r="120" spans="1:9" ht="15" thickBot="1" x14ac:dyDescent="0.35">
      <c r="A120" s="8" t="s">
        <v>220</v>
      </c>
      <c r="B120" s="6">
        <f>References!AB45*4</f>
        <v>10.434799999999999</v>
      </c>
      <c r="C120" s="6">
        <f t="shared" si="10"/>
        <v>0.7347838333333333</v>
      </c>
      <c r="D120" s="6">
        <v>34.5</v>
      </c>
      <c r="E120" s="6">
        <v>24</v>
      </c>
      <c r="F120" s="6">
        <v>1.813675E-2</v>
      </c>
      <c r="G120" s="6">
        <f t="shared" si="7"/>
        <v>9.2932299999999995E-3</v>
      </c>
      <c r="H120" s="6">
        <f>1.23*C120*(D120-E120)</f>
        <v>9.4897332075000005</v>
      </c>
      <c r="I120" s="15">
        <f t="shared" si="9"/>
        <v>19.494226577279999</v>
      </c>
    </row>
    <row r="121" spans="1:9" ht="15" thickBot="1" x14ac:dyDescent="0.35">
      <c r="A121" s="8" t="s">
        <v>187</v>
      </c>
      <c r="B121" s="6">
        <f>References!AB46*4</f>
        <v>55.004800000000003</v>
      </c>
      <c r="C121" s="6">
        <f t="shared" si="10"/>
        <v>4.0336853333333336</v>
      </c>
      <c r="D121" s="6">
        <v>34.5</v>
      </c>
      <c r="E121" s="6">
        <v>22.5</v>
      </c>
      <c r="F121" s="6">
        <v>1.813675E-2</v>
      </c>
      <c r="G121" s="6">
        <f t="shared" si="7"/>
        <v>8.4806099999999995E-3</v>
      </c>
      <c r="H121" s="6">
        <f t="shared" si="8"/>
        <v>59.537195519999997</v>
      </c>
      <c r="I121" s="15">
        <f t="shared" si="9"/>
        <v>116.84949088384001</v>
      </c>
    </row>
    <row r="122" spans="1:9" ht="15" thickBot="1" x14ac:dyDescent="0.35">
      <c r="A122" s="8" t="s">
        <v>221</v>
      </c>
      <c r="B122" s="6">
        <f>References!AB47*4</f>
        <v>10.56</v>
      </c>
      <c r="C122" s="6">
        <f t="shared" si="10"/>
        <v>0.74360000000000004</v>
      </c>
      <c r="D122" s="6">
        <v>34.5</v>
      </c>
      <c r="E122" s="6">
        <v>24</v>
      </c>
      <c r="F122" s="6">
        <v>1.813675E-2</v>
      </c>
      <c r="G122" s="6">
        <f t="shared" si="7"/>
        <v>9.2932299999999995E-3</v>
      </c>
      <c r="H122" s="6">
        <f t="shared" si="8"/>
        <v>9.6035939999999993</v>
      </c>
      <c r="I122" s="15">
        <f t="shared" si="9"/>
        <v>19.728124416000004</v>
      </c>
    </row>
    <row r="123" spans="1:9" ht="15" thickBot="1" x14ac:dyDescent="0.35">
      <c r="A123" s="8" t="s">
        <v>142</v>
      </c>
      <c r="B123" s="6">
        <f>References!AB48*4</f>
        <v>153.81479999999999</v>
      </c>
      <c r="C123" s="6">
        <f t="shared" si="10"/>
        <v>11.279752</v>
      </c>
      <c r="D123" s="6">
        <v>34.5</v>
      </c>
      <c r="E123" s="6">
        <v>22.5</v>
      </c>
      <c r="F123" s="6">
        <v>1.813675E-2</v>
      </c>
      <c r="G123" s="6">
        <f t="shared" si="7"/>
        <v>8.4806099999999995E-3</v>
      </c>
      <c r="H123" s="6">
        <f t="shared" si="8"/>
        <v>166.48913952000001</v>
      </c>
      <c r="I123" s="15">
        <f t="shared" si="9"/>
        <v>326.75659343184003</v>
      </c>
    </row>
    <row r="124" spans="1:9" ht="15" thickBot="1" x14ac:dyDescent="0.35">
      <c r="A124" s="8" t="s">
        <v>188</v>
      </c>
      <c r="B124" s="6">
        <f>References!AB49*4</f>
        <v>101.488</v>
      </c>
      <c r="C124" s="6">
        <f t="shared" si="10"/>
        <v>7.4424533333333329</v>
      </c>
      <c r="D124" s="6">
        <v>34.5</v>
      </c>
      <c r="E124" s="6">
        <v>22.5</v>
      </c>
      <c r="F124" s="6">
        <v>1.813675E-2</v>
      </c>
      <c r="G124" s="6">
        <f t="shared" si="7"/>
        <v>8.4806099999999995E-3</v>
      </c>
      <c r="H124" s="6">
        <f t="shared" si="8"/>
        <v>109.85061119999999</v>
      </c>
      <c r="I124" s="15">
        <f t="shared" si="9"/>
        <v>215.59611399040003</v>
      </c>
    </row>
    <row r="125" spans="1:9" ht="15" thickBot="1" x14ac:dyDescent="0.35">
      <c r="A125" s="8" t="s">
        <v>222</v>
      </c>
      <c r="B125" s="6">
        <f>References!AB50*4</f>
        <v>10.434799999999999</v>
      </c>
      <c r="C125" s="6">
        <f t="shared" si="10"/>
        <v>0.7347838333333333</v>
      </c>
      <c r="D125" s="6">
        <v>34.5</v>
      </c>
      <c r="E125" s="6">
        <v>24</v>
      </c>
      <c r="F125" s="6">
        <v>1.813675E-2</v>
      </c>
      <c r="G125" s="6">
        <f t="shared" si="7"/>
        <v>9.2932299999999995E-3</v>
      </c>
      <c r="H125" s="6">
        <f t="shared" si="8"/>
        <v>9.4897332075000005</v>
      </c>
      <c r="I125" s="15">
        <f t="shared" si="9"/>
        <v>19.494226577279999</v>
      </c>
    </row>
    <row r="126" spans="1:9" ht="15" thickBot="1" x14ac:dyDescent="0.35">
      <c r="A126" s="8" t="s">
        <v>189</v>
      </c>
      <c r="B126" s="6">
        <f>References!AB51*4</f>
        <v>101.92</v>
      </c>
      <c r="C126" s="6">
        <f t="shared" si="10"/>
        <v>7.4741333333333335</v>
      </c>
      <c r="D126" s="6">
        <v>34.5</v>
      </c>
      <c r="E126" s="6">
        <v>22.5</v>
      </c>
      <c r="F126" s="6">
        <v>1.813675E-2</v>
      </c>
      <c r="G126" s="6">
        <f t="shared" si="7"/>
        <v>8.4806099999999995E-3</v>
      </c>
      <c r="H126" s="6">
        <f t="shared" si="8"/>
        <v>110.318208</v>
      </c>
      <c r="I126" s="15">
        <f t="shared" si="9"/>
        <v>216.51383353600002</v>
      </c>
    </row>
    <row r="127" spans="1:9" ht="15" thickBot="1" x14ac:dyDescent="0.35">
      <c r="A127" s="8" t="s">
        <v>223</v>
      </c>
      <c r="B127" s="6">
        <f>References!AB52*4</f>
        <v>10.434799999999999</v>
      </c>
      <c r="C127" s="6">
        <f t="shared" si="10"/>
        <v>0.7347838333333333</v>
      </c>
      <c r="D127" s="6">
        <v>34.5</v>
      </c>
      <c r="E127" s="6">
        <v>24</v>
      </c>
      <c r="F127" s="6">
        <v>1.813675E-2</v>
      </c>
      <c r="G127" s="6">
        <f t="shared" si="7"/>
        <v>9.2932299999999995E-3</v>
      </c>
      <c r="H127" s="6">
        <f t="shared" si="8"/>
        <v>9.4897332075000005</v>
      </c>
      <c r="I127" s="15">
        <f t="shared" si="9"/>
        <v>19.494226577279999</v>
      </c>
    </row>
    <row r="128" spans="1:9" ht="15" thickBot="1" x14ac:dyDescent="0.35">
      <c r="A128" s="8" t="s">
        <v>190</v>
      </c>
      <c r="B128" s="6">
        <f>References!AB53*4</f>
        <v>55.004800000000003</v>
      </c>
      <c r="C128" s="6">
        <f t="shared" si="10"/>
        <v>4.0336853333333336</v>
      </c>
      <c r="D128" s="6">
        <v>34.5</v>
      </c>
      <c r="E128" s="6">
        <v>22.5</v>
      </c>
      <c r="F128" s="6">
        <v>1.813675E-2</v>
      </c>
      <c r="G128" s="6">
        <f t="shared" si="7"/>
        <v>8.4806099999999995E-3</v>
      </c>
      <c r="H128" s="6">
        <f t="shared" si="8"/>
        <v>59.537195519999997</v>
      </c>
      <c r="I128" s="15">
        <f t="shared" si="9"/>
        <v>116.84949088384001</v>
      </c>
    </row>
    <row r="129" spans="1:9" ht="15" thickBot="1" x14ac:dyDescent="0.35">
      <c r="A129" s="8" t="s">
        <v>224</v>
      </c>
      <c r="B129" s="6">
        <f>References!AB54*4</f>
        <v>10.56</v>
      </c>
      <c r="C129" s="6">
        <f t="shared" si="10"/>
        <v>0.74360000000000004</v>
      </c>
      <c r="D129" s="6">
        <v>34.5</v>
      </c>
      <c r="E129" s="6">
        <v>24</v>
      </c>
      <c r="F129" s="6">
        <v>1.813675E-2</v>
      </c>
      <c r="G129" s="6">
        <f t="shared" si="7"/>
        <v>9.2932299999999995E-3</v>
      </c>
      <c r="H129" s="6">
        <f t="shared" si="8"/>
        <v>9.6035939999999993</v>
      </c>
      <c r="I129" s="15">
        <f t="shared" si="9"/>
        <v>19.728124416000004</v>
      </c>
    </row>
    <row r="130" spans="1:9" ht="15" thickBot="1" x14ac:dyDescent="0.35">
      <c r="A130" s="8" t="s">
        <v>191</v>
      </c>
      <c r="B130" s="6">
        <f>References!AB55*4</f>
        <v>55.004800000000003</v>
      </c>
      <c r="C130" s="6">
        <f t="shared" si="10"/>
        <v>4.0336853333333336</v>
      </c>
      <c r="D130" s="6">
        <v>34.5</v>
      </c>
      <c r="E130" s="6">
        <v>22.5</v>
      </c>
      <c r="F130" s="6">
        <v>1.813675E-2</v>
      </c>
      <c r="G130" s="6">
        <f t="shared" si="7"/>
        <v>8.4806099999999995E-3</v>
      </c>
      <c r="H130" s="6">
        <f t="shared" si="8"/>
        <v>59.537195519999997</v>
      </c>
      <c r="I130" s="15">
        <f t="shared" si="9"/>
        <v>116.84949088384001</v>
      </c>
    </row>
    <row r="131" spans="1:9" ht="15" thickBot="1" x14ac:dyDescent="0.35">
      <c r="A131" s="8" t="s">
        <v>225</v>
      </c>
      <c r="B131" s="6">
        <f>References!AB56*4</f>
        <v>10.56</v>
      </c>
      <c r="C131" s="6">
        <f t="shared" si="10"/>
        <v>0.74360000000000004</v>
      </c>
      <c r="D131" s="6">
        <v>34.5</v>
      </c>
      <c r="E131" s="6">
        <v>24</v>
      </c>
      <c r="F131" s="6">
        <v>1.813675E-2</v>
      </c>
      <c r="G131" s="6">
        <f t="shared" si="7"/>
        <v>9.2932299999999995E-3</v>
      </c>
      <c r="H131" s="6">
        <f t="shared" si="8"/>
        <v>9.6035939999999993</v>
      </c>
      <c r="I131" s="15">
        <f t="shared" si="9"/>
        <v>19.728124416000004</v>
      </c>
    </row>
    <row r="132" spans="1:9" ht="15" thickBot="1" x14ac:dyDescent="0.35">
      <c r="A132" s="8" t="s">
        <v>141</v>
      </c>
      <c r="B132" s="6">
        <f>References!AB57*4</f>
        <v>85.446399999999997</v>
      </c>
      <c r="C132" s="6">
        <f t="shared" si="10"/>
        <v>6.2660693333333333</v>
      </c>
      <c r="D132" s="6">
        <v>34.5</v>
      </c>
      <c r="E132" s="6">
        <v>22.5</v>
      </c>
      <c r="F132" s="6">
        <v>1.813675E-2</v>
      </c>
      <c r="G132" s="6">
        <f t="shared" si="7"/>
        <v>8.4806099999999995E-3</v>
      </c>
      <c r="H132" s="6">
        <f t="shared" si="8"/>
        <v>92.487183359999989</v>
      </c>
      <c r="I132" s="15">
        <f t="shared" si="9"/>
        <v>181.51812819712001</v>
      </c>
    </row>
    <row r="133" spans="1:9" ht="15" thickBot="1" x14ac:dyDescent="0.35">
      <c r="A133" s="8" t="s">
        <v>226</v>
      </c>
      <c r="B133" s="6">
        <f>References!AB58*4</f>
        <v>6.6584000000000003</v>
      </c>
      <c r="C133" s="6">
        <f t="shared" si="10"/>
        <v>0.46886233333333333</v>
      </c>
      <c r="D133" s="6">
        <v>34.5</v>
      </c>
      <c r="E133" s="6">
        <v>24</v>
      </c>
      <c r="F133" s="6">
        <v>1.813675E-2</v>
      </c>
      <c r="G133" s="6">
        <f t="shared" si="7"/>
        <v>9.2932299999999995E-3</v>
      </c>
      <c r="H133" s="6">
        <f t="shared" si="8"/>
        <v>6.0553570350000001</v>
      </c>
      <c r="I133" s="15">
        <f t="shared" si="9"/>
        <v>12.439180266240001</v>
      </c>
    </row>
    <row r="134" spans="1:9" ht="15" thickBot="1" x14ac:dyDescent="0.35">
      <c r="A134" s="8" t="s">
        <v>128</v>
      </c>
      <c r="B134" s="6">
        <f>References!AB59*4</f>
        <v>125.7552</v>
      </c>
      <c r="C134" s="6">
        <f t="shared" si="10"/>
        <v>9.2220479999999991</v>
      </c>
      <c r="D134" s="6">
        <v>34.5</v>
      </c>
      <c r="E134" s="6">
        <v>22.5</v>
      </c>
      <c r="F134" s="6">
        <v>1.813675E-2</v>
      </c>
      <c r="G134" s="6">
        <f t="shared" si="7"/>
        <v>8.4806099999999995E-3</v>
      </c>
      <c r="H134" s="6">
        <f t="shared" si="8"/>
        <v>136.11742848</v>
      </c>
      <c r="I134" s="15">
        <f t="shared" si="9"/>
        <v>267.14815972416</v>
      </c>
    </row>
    <row r="135" spans="1:9" ht="15" thickBot="1" x14ac:dyDescent="0.35">
      <c r="A135" s="8" t="s">
        <v>140</v>
      </c>
      <c r="B135" s="6">
        <f>References!AB60*4</f>
        <v>139.94479999999999</v>
      </c>
      <c r="C135" s="6">
        <f t="shared" si="10"/>
        <v>10.398676111111111</v>
      </c>
      <c r="D135" s="6">
        <v>34.5</v>
      </c>
      <c r="E135" s="6">
        <v>22</v>
      </c>
      <c r="F135" s="6">
        <v>1.813675E-2</v>
      </c>
      <c r="G135" s="6">
        <f t="shared" si="7"/>
        <v>8.2197599999999996E-3</v>
      </c>
      <c r="H135" s="6">
        <f t="shared" si="8"/>
        <v>159.87964520833333</v>
      </c>
      <c r="I135" s="15">
        <f t="shared" si="9"/>
        <v>309.37070102138335</v>
      </c>
    </row>
    <row r="136" spans="1:9" ht="15" thickBot="1" x14ac:dyDescent="0.35">
      <c r="A136" s="8" t="s">
        <v>192</v>
      </c>
      <c r="B136" s="6">
        <f>References!AB61*4</f>
        <v>21.644400000000001</v>
      </c>
      <c r="C136" s="6">
        <f t="shared" si="10"/>
        <v>1.5241265000000002</v>
      </c>
      <c r="D136" s="6">
        <v>34.5</v>
      </c>
      <c r="E136" s="6">
        <v>24</v>
      </c>
      <c r="F136" s="6">
        <v>1.813675E-2</v>
      </c>
      <c r="G136" s="6">
        <f t="shared" si="7"/>
        <v>9.2932299999999995E-3</v>
      </c>
      <c r="H136" s="6">
        <f t="shared" si="8"/>
        <v>19.684093747500004</v>
      </c>
      <c r="I136" s="15">
        <f t="shared" si="9"/>
        <v>40.435929555840012</v>
      </c>
    </row>
    <row r="137" spans="1:9" ht="15" thickBot="1" x14ac:dyDescent="0.35">
      <c r="A137" s="8" t="s">
        <v>193</v>
      </c>
      <c r="B137" s="6">
        <f>References!AB62*4</f>
        <v>102.9944</v>
      </c>
      <c r="C137" s="6">
        <f t="shared" si="10"/>
        <v>7.5529226666666665</v>
      </c>
      <c r="D137" s="6">
        <v>34.5</v>
      </c>
      <c r="E137" s="6">
        <v>22.5</v>
      </c>
      <c r="F137" s="6">
        <v>1.813675E-2</v>
      </c>
      <c r="G137" s="6">
        <f t="shared" si="7"/>
        <v>8.4806099999999995E-3</v>
      </c>
      <c r="H137" s="6">
        <f t="shared" si="8"/>
        <v>111.48113856000001</v>
      </c>
      <c r="I137" s="15">
        <f t="shared" si="9"/>
        <v>218.79623603552002</v>
      </c>
    </row>
    <row r="138" spans="1:9" ht="15" thickBot="1" x14ac:dyDescent="0.35">
      <c r="A138" s="8" t="s">
        <v>227</v>
      </c>
      <c r="B138" s="6">
        <f>References!AB63*4</f>
        <v>15.452</v>
      </c>
      <c r="C138" s="6">
        <f t="shared" si="10"/>
        <v>1.0880783333333333</v>
      </c>
      <c r="D138" s="6">
        <v>34.5</v>
      </c>
      <c r="E138" s="6">
        <v>24</v>
      </c>
      <c r="F138" s="6">
        <v>1.813675E-2</v>
      </c>
      <c r="G138" s="6">
        <f t="shared" si="7"/>
        <v>9.2932299999999995E-3</v>
      </c>
      <c r="H138" s="6">
        <f t="shared" si="8"/>
        <v>14.052531674999999</v>
      </c>
      <c r="I138" s="15">
        <f t="shared" si="9"/>
        <v>28.867327507199999</v>
      </c>
    </row>
    <row r="139" spans="1:9" ht="15" thickBot="1" x14ac:dyDescent="0.35">
      <c r="A139" s="8" t="s">
        <v>194</v>
      </c>
      <c r="B139" s="6">
        <f>References!AB64*4</f>
        <v>67.197599999999994</v>
      </c>
      <c r="C139" s="6">
        <f t="shared" si="10"/>
        <v>4.9278240000000002</v>
      </c>
      <c r="D139" s="6">
        <v>34.5</v>
      </c>
      <c r="E139" s="6">
        <v>22.5</v>
      </c>
      <c r="F139" s="6">
        <v>1.813675E-2</v>
      </c>
      <c r="G139" s="6">
        <f t="shared" si="7"/>
        <v>8.4806099999999995E-3</v>
      </c>
      <c r="H139" s="6">
        <f t="shared" si="8"/>
        <v>72.734682240000012</v>
      </c>
      <c r="I139" s="15">
        <f t="shared" si="9"/>
        <v>142.75127531808002</v>
      </c>
    </row>
    <row r="140" spans="1:9" ht="15" thickBot="1" x14ac:dyDescent="0.35">
      <c r="A140" s="8" t="s">
        <v>195</v>
      </c>
      <c r="B140" s="6">
        <f>References!AB65*4</f>
        <v>67.199600000000004</v>
      </c>
      <c r="C140" s="6">
        <f t="shared" si="10"/>
        <v>4.9279706666666669</v>
      </c>
      <c r="D140" s="6">
        <v>34.5</v>
      </c>
      <c r="E140" s="6">
        <v>22.5</v>
      </c>
      <c r="F140" s="6">
        <v>1.813675E-2</v>
      </c>
      <c r="G140" s="6">
        <f t="shared" si="7"/>
        <v>8.4806099999999995E-3</v>
      </c>
      <c r="H140" s="6">
        <f>1.23*C140*(D140-E140)</f>
        <v>72.736847040000001</v>
      </c>
      <c r="I140" s="15">
        <f>3000*C140*(F140-G140)</f>
        <v>142.75552401968002</v>
      </c>
    </row>
    <row r="141" spans="1:9" ht="15" thickBot="1" x14ac:dyDescent="0.35">
      <c r="A141" s="8" t="s">
        <v>196</v>
      </c>
      <c r="B141" s="6">
        <f>References!AB66*4</f>
        <v>40.903199999999998</v>
      </c>
      <c r="C141" s="6">
        <f t="shared" si="10"/>
        <v>2.999568</v>
      </c>
      <c r="D141" s="6">
        <v>34.5</v>
      </c>
      <c r="E141" s="6">
        <v>22.5</v>
      </c>
      <c r="F141" s="6">
        <v>1.813675E-2</v>
      </c>
      <c r="G141" s="6">
        <f t="shared" si="7"/>
        <v>8.4806099999999995E-3</v>
      </c>
      <c r="H141" s="6">
        <f t="shared" si="8"/>
        <v>44.27362368</v>
      </c>
      <c r="I141" s="15">
        <f t="shared" si="9"/>
        <v>86.892745642560001</v>
      </c>
    </row>
    <row r="142" spans="1:9" ht="15" thickBot="1" x14ac:dyDescent="0.35">
      <c r="A142" s="8" t="s">
        <v>197</v>
      </c>
      <c r="B142" s="6">
        <f>References!AB67*4</f>
        <v>76.002799999999993</v>
      </c>
      <c r="C142" s="6">
        <f t="shared" si="10"/>
        <v>5.6474302777777776</v>
      </c>
      <c r="D142" s="6">
        <v>34.5</v>
      </c>
      <c r="E142" s="6">
        <v>22</v>
      </c>
      <c r="F142" s="6">
        <v>1.813675E-2</v>
      </c>
      <c r="G142" s="6">
        <f>_xlfn.IFS(E142=22.5,0.00848061,E142=22,0.00821976,E142=24,0.00929323)</f>
        <v>8.2197599999999996E-3</v>
      </c>
      <c r="H142" s="6">
        <f t="shared" si="8"/>
        <v>86.829240520833324</v>
      </c>
      <c r="I142" s="15">
        <f t="shared" si="9"/>
        <v>168.01652877125832</v>
      </c>
    </row>
    <row r="143" spans="1:9" ht="15" thickBot="1" x14ac:dyDescent="0.35">
      <c r="A143" s="8" t="s">
        <v>198</v>
      </c>
      <c r="B143" s="6">
        <f>References!AB68*4</f>
        <v>59.95</v>
      </c>
      <c r="C143" s="6">
        <f t="shared" ref="C143:C158" si="11">((0.15+0.01*3+0.007*(D143-E143))*B143)/3.6</f>
        <v>4.3963333333333336</v>
      </c>
      <c r="D143" s="6">
        <v>34.5</v>
      </c>
      <c r="E143" s="6">
        <v>22.5</v>
      </c>
      <c r="F143" s="6">
        <v>1.813675E-2</v>
      </c>
      <c r="G143" s="6">
        <f t="shared" si="7"/>
        <v>8.4806099999999995E-3</v>
      </c>
      <c r="H143" s="6">
        <f t="shared" si="8"/>
        <v>64.889880000000005</v>
      </c>
      <c r="I143" s="15">
        <f t="shared" si="9"/>
        <v>127.35483046000003</v>
      </c>
    </row>
    <row r="144" spans="1:9" ht="15" thickBot="1" x14ac:dyDescent="0.35">
      <c r="A144" s="8" t="s">
        <v>228</v>
      </c>
      <c r="B144" s="6">
        <f>References!AB69*4</f>
        <v>6.72</v>
      </c>
      <c r="C144" s="6">
        <f t="shared" si="11"/>
        <v>0.47319999999999995</v>
      </c>
      <c r="D144" s="6">
        <v>34.5</v>
      </c>
      <c r="E144" s="6">
        <v>24</v>
      </c>
      <c r="F144" s="6">
        <v>1.813675E-2</v>
      </c>
      <c r="G144" s="6">
        <f t="shared" ref="G144:G158" si="12">_xlfn.IFS(E144=22.5,0.00848061,E144=22,0.00821976,E144=24,0.00929323)</f>
        <v>9.2932299999999995E-3</v>
      </c>
      <c r="H144" s="6">
        <f t="shared" ref="H144:H158" si="13">1.23*C144*(D144-E144)</f>
        <v>6.1113779999999984</v>
      </c>
      <c r="I144" s="15">
        <f t="shared" ref="I144:I154" si="14">3000*C144*(F144-G144)</f>
        <v>12.554260992</v>
      </c>
    </row>
    <row r="145" spans="1:9" ht="15" thickBot="1" x14ac:dyDescent="0.35">
      <c r="A145" s="8" t="s">
        <v>199</v>
      </c>
      <c r="B145" s="6">
        <f>References!AB70*4</f>
        <v>86.4024</v>
      </c>
      <c r="C145" s="6">
        <f t="shared" si="11"/>
        <v>6.0841690000000002</v>
      </c>
      <c r="D145" s="6">
        <v>34.5</v>
      </c>
      <c r="E145" s="6">
        <v>24</v>
      </c>
      <c r="F145" s="6">
        <v>1.813675E-2</v>
      </c>
      <c r="G145" s="6">
        <f t="shared" si="12"/>
        <v>9.2932299999999995E-3</v>
      </c>
      <c r="H145" s="6">
        <f t="shared" si="13"/>
        <v>78.577042635000012</v>
      </c>
      <c r="I145" s="15">
        <f t="shared" si="14"/>
        <v>161.41641070464001</v>
      </c>
    </row>
    <row r="146" spans="1:9" ht="15" thickBot="1" x14ac:dyDescent="0.35">
      <c r="A146" s="8" t="s">
        <v>200</v>
      </c>
      <c r="B146" s="6">
        <f>References!AB71*4</f>
        <v>94.401200000000003</v>
      </c>
      <c r="C146" s="6">
        <f t="shared" si="11"/>
        <v>6.9227546666666671</v>
      </c>
      <c r="D146" s="6">
        <v>34.5</v>
      </c>
      <c r="E146" s="6">
        <v>22.5</v>
      </c>
      <c r="F146" s="6">
        <v>1.813675E-2</v>
      </c>
      <c r="G146" s="6">
        <f t="shared" si="12"/>
        <v>8.4806099999999995E-3</v>
      </c>
      <c r="H146" s="6">
        <f t="shared" si="13"/>
        <v>102.17985888000001</v>
      </c>
      <c r="I146" s="15">
        <f t="shared" si="14"/>
        <v>200.54126474096003</v>
      </c>
    </row>
    <row r="147" spans="1:9" ht="15" thickBot="1" x14ac:dyDescent="0.35">
      <c r="A147" s="8" t="s">
        <v>201</v>
      </c>
      <c r="B147" s="6">
        <f>References!AB72*4</f>
        <v>140.16999999999999</v>
      </c>
      <c r="C147" s="6">
        <f t="shared" si="11"/>
        <v>10.415409722222222</v>
      </c>
      <c r="D147" s="6">
        <v>34.5</v>
      </c>
      <c r="E147" s="6">
        <v>22</v>
      </c>
      <c r="F147" s="6">
        <v>1.813675E-2</v>
      </c>
      <c r="G147" s="6">
        <f t="shared" si="12"/>
        <v>8.2197599999999996E-3</v>
      </c>
      <c r="H147" s="6">
        <f t="shared" si="13"/>
        <v>160.13692447916665</v>
      </c>
      <c r="I147" s="15">
        <f t="shared" si="14"/>
        <v>309.86854218354165</v>
      </c>
    </row>
    <row r="148" spans="1:9" ht="15" thickBot="1" x14ac:dyDescent="0.35">
      <c r="A148" s="8" t="s">
        <v>202</v>
      </c>
      <c r="B148" s="6">
        <f>References!AB73*4</f>
        <v>22.764800000000001</v>
      </c>
      <c r="C148" s="6">
        <f t="shared" si="11"/>
        <v>1.6030213333333332</v>
      </c>
      <c r="D148" s="6">
        <v>34.5</v>
      </c>
      <c r="E148" s="6">
        <v>24</v>
      </c>
      <c r="F148" s="6">
        <v>1.813675E-2</v>
      </c>
      <c r="G148" s="6">
        <f t="shared" si="12"/>
        <v>9.2932299999999995E-3</v>
      </c>
      <c r="H148" s="6">
        <f t="shared" si="13"/>
        <v>20.703020519999999</v>
      </c>
      <c r="I148" s="15">
        <f t="shared" si="14"/>
        <v>42.529053665279996</v>
      </c>
    </row>
    <row r="149" spans="1:9" ht="15" thickBot="1" x14ac:dyDescent="0.35">
      <c r="A149" s="8" t="s">
        <v>203</v>
      </c>
      <c r="B149" s="6">
        <f>References!AB74*4</f>
        <v>16.5352</v>
      </c>
      <c r="C149" s="6">
        <f t="shared" si="11"/>
        <v>1.1643536666666667</v>
      </c>
      <c r="D149" s="6">
        <v>34.5</v>
      </c>
      <c r="E149" s="6">
        <v>24</v>
      </c>
      <c r="F149" s="6">
        <v>1.813675E-2</v>
      </c>
      <c r="G149" s="6">
        <f t="shared" si="12"/>
        <v>9.2932299999999995E-3</v>
      </c>
      <c r="H149" s="6">
        <f t="shared" si="13"/>
        <v>15.037627605000001</v>
      </c>
      <c r="I149" s="15">
        <f t="shared" si="14"/>
        <v>30.890954814720004</v>
      </c>
    </row>
    <row r="150" spans="1:9" ht="15" thickBot="1" x14ac:dyDescent="0.35">
      <c r="A150" s="8" t="s">
        <v>204</v>
      </c>
      <c r="B150" s="6">
        <f>References!AB75*4</f>
        <v>51.64</v>
      </c>
      <c r="C150" s="6">
        <f t="shared" si="11"/>
        <v>3.6363166666666666</v>
      </c>
      <c r="D150" s="6">
        <v>34.5</v>
      </c>
      <c r="E150" s="6">
        <v>24</v>
      </c>
      <c r="F150" s="6">
        <v>1.813675E-2</v>
      </c>
      <c r="G150" s="6">
        <f t="shared" si="12"/>
        <v>9.2932299999999995E-3</v>
      </c>
      <c r="H150" s="6">
        <f t="shared" si="13"/>
        <v>46.963029750000004</v>
      </c>
      <c r="I150" s="15">
        <f t="shared" si="14"/>
        <v>96.473517504000014</v>
      </c>
    </row>
    <row r="151" spans="1:9" ht="15" thickBot="1" x14ac:dyDescent="0.35">
      <c r="A151" s="8" t="s">
        <v>229</v>
      </c>
      <c r="B151" s="6">
        <f>References!AB76*4</f>
        <v>29.913599999999999</v>
      </c>
      <c r="C151" s="6">
        <f t="shared" si="11"/>
        <v>2.1064159999999998</v>
      </c>
      <c r="D151" s="6">
        <v>34.5</v>
      </c>
      <c r="E151" s="6">
        <v>24</v>
      </c>
      <c r="F151" s="6">
        <v>1.813675E-2</v>
      </c>
      <c r="G151" s="6">
        <f t="shared" si="12"/>
        <v>9.2932299999999995E-3</v>
      </c>
      <c r="H151" s="6">
        <f t="shared" si="13"/>
        <v>27.204362639999999</v>
      </c>
      <c r="I151" s="15">
        <f t="shared" si="14"/>
        <v>55.884396072960001</v>
      </c>
    </row>
    <row r="152" spans="1:9" ht="15" thickBot="1" x14ac:dyDescent="0.35">
      <c r="A152" s="8" t="s">
        <v>230</v>
      </c>
      <c r="B152" s="6">
        <f>References!AB77*4</f>
        <v>70.082800000000006</v>
      </c>
      <c r="C152" s="6">
        <f t="shared" si="11"/>
        <v>4.9349971666666672</v>
      </c>
      <c r="D152" s="6">
        <v>34.5</v>
      </c>
      <c r="E152" s="6">
        <v>24</v>
      </c>
      <c r="F152" s="6">
        <v>1.813675E-2</v>
      </c>
      <c r="G152" s="6">
        <f t="shared" si="12"/>
        <v>9.2932299999999995E-3</v>
      </c>
      <c r="H152" s="6">
        <f t="shared" si="13"/>
        <v>63.735488407500007</v>
      </c>
      <c r="I152" s="15">
        <f t="shared" si="14"/>
        <v>130.92823843008003</v>
      </c>
    </row>
    <row r="153" spans="1:9" ht="15" thickBot="1" x14ac:dyDescent="0.35">
      <c r="A153" s="8" t="s">
        <v>133</v>
      </c>
      <c r="B153" s="6">
        <f>References!AB78*4</f>
        <v>11.2</v>
      </c>
      <c r="C153" s="6">
        <f t="shared" si="11"/>
        <v>0.78866666666666663</v>
      </c>
      <c r="D153" s="6">
        <v>34.5</v>
      </c>
      <c r="E153" s="6">
        <v>24</v>
      </c>
      <c r="F153" s="6">
        <v>1.813675E-2</v>
      </c>
      <c r="G153" s="6">
        <f t="shared" si="12"/>
        <v>9.2932299999999995E-3</v>
      </c>
      <c r="H153" s="6">
        <f t="shared" si="13"/>
        <v>10.18563</v>
      </c>
      <c r="I153" s="15">
        <f t="shared" si="14"/>
        <v>20.923768320000001</v>
      </c>
    </row>
    <row r="154" spans="1:9" ht="15" thickBot="1" x14ac:dyDescent="0.35">
      <c r="A154" s="8" t="s">
        <v>134</v>
      </c>
      <c r="B154" s="6">
        <f>References!AB79*4</f>
        <v>11.2</v>
      </c>
      <c r="C154" s="6">
        <f t="shared" si="11"/>
        <v>0.78866666666666663</v>
      </c>
      <c r="D154" s="6">
        <v>34.5</v>
      </c>
      <c r="E154" s="6">
        <v>24</v>
      </c>
      <c r="F154" s="6">
        <v>1.813675E-2</v>
      </c>
      <c r="G154" s="6">
        <f t="shared" si="12"/>
        <v>9.2932299999999995E-3</v>
      </c>
      <c r="H154" s="6">
        <f t="shared" si="13"/>
        <v>10.18563</v>
      </c>
      <c r="I154" s="15">
        <f t="shared" si="14"/>
        <v>20.923768320000001</v>
      </c>
    </row>
    <row r="155" spans="1:9" ht="15" thickBot="1" x14ac:dyDescent="0.35">
      <c r="A155" s="8" t="s">
        <v>135</v>
      </c>
      <c r="B155" s="6">
        <f>References!AB80*4</f>
        <v>11.2</v>
      </c>
      <c r="C155" s="6">
        <f t="shared" si="11"/>
        <v>0.78866666666666663</v>
      </c>
      <c r="D155" s="6">
        <v>34.5</v>
      </c>
      <c r="E155" s="6">
        <v>24</v>
      </c>
      <c r="F155" s="6">
        <v>1.813675E-2</v>
      </c>
      <c r="G155" s="6">
        <f t="shared" si="12"/>
        <v>9.2932299999999995E-3</v>
      </c>
      <c r="H155" s="6">
        <f t="shared" si="13"/>
        <v>10.18563</v>
      </c>
      <c r="I155" s="15">
        <f>3000*C155*(F155-G155)</f>
        <v>20.923768320000001</v>
      </c>
    </row>
    <row r="156" spans="1:9" ht="15" thickBot="1" x14ac:dyDescent="0.35">
      <c r="A156" s="8" t="s">
        <v>132</v>
      </c>
      <c r="B156" s="6">
        <f>References!AB81*4</f>
        <v>165.20840000000001</v>
      </c>
      <c r="C156" s="6">
        <f t="shared" si="11"/>
        <v>12.115282666666667</v>
      </c>
      <c r="D156" s="6">
        <v>34.5</v>
      </c>
      <c r="E156" s="6">
        <v>22.5</v>
      </c>
      <c r="F156" s="6">
        <v>1.813675E-2</v>
      </c>
      <c r="G156" s="6">
        <f t="shared" si="12"/>
        <v>8.4806099999999995E-3</v>
      </c>
      <c r="H156" s="6">
        <f t="shared" si="13"/>
        <v>178.82157216000002</v>
      </c>
      <c r="I156" s="15">
        <f t="shared" ref="I156:I158" si="15">3000*C156*(F156-G156)</f>
        <v>350.96059670672008</v>
      </c>
    </row>
    <row r="157" spans="1:9" ht="15" thickBot="1" x14ac:dyDescent="0.35">
      <c r="A157" s="8" t="s">
        <v>130</v>
      </c>
      <c r="B157" s="6">
        <f>References!AB82*4</f>
        <v>187.89680000000001</v>
      </c>
      <c r="C157" s="6">
        <f t="shared" si="11"/>
        <v>13.779098666666668</v>
      </c>
      <c r="D157" s="6">
        <v>34.5</v>
      </c>
      <c r="E157" s="6">
        <v>22.5</v>
      </c>
      <c r="F157" s="6">
        <v>1.813675E-2</v>
      </c>
      <c r="G157" s="6">
        <f t="shared" si="12"/>
        <v>8.4806099999999995E-3</v>
      </c>
      <c r="H157" s="6">
        <f t="shared" si="13"/>
        <v>203.37949632000004</v>
      </c>
      <c r="I157" s="15">
        <f t="shared" si="15"/>
        <v>399.15871739744006</v>
      </c>
    </row>
    <row r="158" spans="1:9" ht="15" thickBot="1" x14ac:dyDescent="0.35">
      <c r="A158" s="23" t="s">
        <v>156</v>
      </c>
      <c r="B158" s="21">
        <f>References!AB83*4</f>
        <v>8.3604000000000003</v>
      </c>
      <c r="C158" s="21">
        <f t="shared" si="11"/>
        <v>0.58871150000000005</v>
      </c>
      <c r="D158" s="21">
        <v>34.5</v>
      </c>
      <c r="E158" s="21">
        <v>24</v>
      </c>
      <c r="F158" s="6">
        <v>1.813675E-2</v>
      </c>
      <c r="G158" s="21">
        <f t="shared" si="12"/>
        <v>9.2932299999999995E-3</v>
      </c>
      <c r="H158" s="21">
        <f t="shared" si="13"/>
        <v>7.6032090225000006</v>
      </c>
      <c r="I158" s="22">
        <f t="shared" si="15"/>
        <v>15.618845773440002</v>
      </c>
    </row>
    <row r="159" spans="1:9" ht="15" thickBot="1" x14ac:dyDescent="0.35">
      <c r="F159" s="89" t="s">
        <v>123</v>
      </c>
      <c r="G159" s="89"/>
      <c r="H159" s="44">
        <f>SUM(H79:H158)</f>
        <v>7292.9802201313305</v>
      </c>
      <c r="I159" s="44">
        <f>SUM(I79:I158)</f>
        <v>14355.12859520341</v>
      </c>
    </row>
    <row r="160" spans="1:9" ht="15" thickBot="1" x14ac:dyDescent="0.35">
      <c r="F160" s="89" t="s">
        <v>168</v>
      </c>
      <c r="G160" s="89"/>
      <c r="H160" s="54">
        <f>I159+H159</f>
        <v>21648.108815334741</v>
      </c>
      <c r="I160" s="54"/>
    </row>
    <row r="163" spans="1:10" ht="15" thickBot="1" x14ac:dyDescent="0.35">
      <c r="A163" s="16" t="s">
        <v>0</v>
      </c>
      <c r="B163" s="17" t="s">
        <v>169</v>
      </c>
      <c r="C163" s="17" t="s">
        <v>21</v>
      </c>
      <c r="D163" s="17" t="s">
        <v>13</v>
      </c>
      <c r="E163" s="17" t="s">
        <v>7</v>
      </c>
      <c r="F163" s="17" t="s">
        <v>22</v>
      </c>
      <c r="G163" s="17" t="s">
        <v>23</v>
      </c>
      <c r="H163" s="17" t="s">
        <v>302</v>
      </c>
      <c r="I163" s="18" t="s">
        <v>303</v>
      </c>
      <c r="J163" s="5"/>
    </row>
    <row r="164" spans="1:10" ht="15" thickBot="1" x14ac:dyDescent="0.35">
      <c r="A164" s="8" t="s">
        <v>124</v>
      </c>
      <c r="B164" s="6">
        <f>References!AE4*4</f>
        <v>137.10759999999999</v>
      </c>
      <c r="C164" s="6">
        <f>(References!AD4*B164)/3.6</f>
        <v>10.054557333333333</v>
      </c>
      <c r="D164" s="6">
        <v>34.5</v>
      </c>
      <c r="E164" s="6">
        <v>22.5</v>
      </c>
      <c r="F164" s="6">
        <v>1.8136751999999999E-2</v>
      </c>
      <c r="G164" s="6">
        <f>_xlfn.IFS(E164=22.5,0.00848031,E164=24,0.009293235,E164=22,0.00821976)</f>
        <v>8.4803099999999996E-3</v>
      </c>
      <c r="H164" s="6">
        <f>1.232*(D164-E164)*C164</f>
        <v>148.64657561599998</v>
      </c>
      <c r="I164" s="15">
        <f>3000*C164*(F164-G164)</f>
        <v>291.27374917502397</v>
      </c>
    </row>
    <row r="165" spans="1:10" ht="15" thickBot="1" x14ac:dyDescent="0.35">
      <c r="A165" s="8" t="s">
        <v>207</v>
      </c>
      <c r="B165" s="6">
        <f>References!AE5*4</f>
        <v>10.47</v>
      </c>
      <c r="C165" s="6">
        <f>(References!AD5*B165)/3.6</f>
        <v>0.73726250000000004</v>
      </c>
      <c r="D165" s="6">
        <v>34.5</v>
      </c>
      <c r="E165" s="6">
        <v>24</v>
      </c>
      <c r="F165" s="6">
        <v>1.8136751999999999E-2</v>
      </c>
      <c r="G165" s="6">
        <f t="shared" ref="G165:G173" si="16">_xlfn.IFS(E165=22.5,0.00848031,E165=24,0.009293235,E165=22,0.00821976)</f>
        <v>9.2932350000000004E-3</v>
      </c>
      <c r="H165" s="6">
        <f t="shared" ref="H165:H228" si="17">1.232*(D165-E165)*C165</f>
        <v>9.5372277000000008</v>
      </c>
      <c r="I165" s="15">
        <f t="shared" ref="I165:I228" si="18">3000*C165*(F165-G165)</f>
        <v>19.559980356637496</v>
      </c>
    </row>
    <row r="166" spans="1:10" ht="15" thickBot="1" x14ac:dyDescent="0.35">
      <c r="A166" s="8" t="s">
        <v>170</v>
      </c>
      <c r="B166" s="6">
        <f>References!AE6*4</f>
        <v>137.04</v>
      </c>
      <c r="C166" s="6">
        <f>(References!AD6*B166)/3.6</f>
        <v>10.0496</v>
      </c>
      <c r="D166" s="6">
        <v>34.5</v>
      </c>
      <c r="E166" s="6">
        <v>22.5</v>
      </c>
      <c r="F166" s="6">
        <v>1.8136751999999999E-2</v>
      </c>
      <c r="G166" s="6">
        <f t="shared" si="16"/>
        <v>8.4803099999999996E-3</v>
      </c>
      <c r="H166" s="6">
        <f t="shared" si="17"/>
        <v>148.5732864</v>
      </c>
      <c r="I166" s="15">
        <f t="shared" si="18"/>
        <v>291.13013856959998</v>
      </c>
    </row>
    <row r="167" spans="1:10" ht="15" thickBot="1" x14ac:dyDescent="0.35">
      <c r="A167" s="8" t="s">
        <v>206</v>
      </c>
      <c r="B167" s="6">
        <f>References!AE7*4</f>
        <v>10.47</v>
      </c>
      <c r="C167" s="6">
        <f>(References!AD7*B167)/3.6</f>
        <v>0.76780000000000004</v>
      </c>
      <c r="D167" s="6">
        <v>34.5</v>
      </c>
      <c r="E167" s="6">
        <v>22.5</v>
      </c>
      <c r="F167" s="6">
        <v>1.8136751999999999E-2</v>
      </c>
      <c r="G167" s="6">
        <f t="shared" si="16"/>
        <v>8.4803099999999996E-3</v>
      </c>
      <c r="H167" s="6">
        <f t="shared" si="17"/>
        <v>11.351155199999999</v>
      </c>
      <c r="I167" s="15">
        <f t="shared" si="18"/>
        <v>22.242648502799998</v>
      </c>
    </row>
    <row r="168" spans="1:10" ht="15" thickBot="1" x14ac:dyDescent="0.35">
      <c r="A168" s="8" t="s">
        <v>305</v>
      </c>
      <c r="B168" s="6">
        <f>References!AE8*4</f>
        <v>149.63480000000001</v>
      </c>
      <c r="C168" s="6">
        <f>(References!AD8*B168)/3.6</f>
        <v>10.973218666666668</v>
      </c>
      <c r="D168" s="6">
        <v>34.5</v>
      </c>
      <c r="E168" s="6">
        <v>22.5</v>
      </c>
      <c r="F168" s="6">
        <v>1.8136751999999999E-2</v>
      </c>
      <c r="G168" s="6">
        <f t="shared" si="16"/>
        <v>8.4803099999999996E-3</v>
      </c>
      <c r="H168" s="6">
        <f t="shared" si="17"/>
        <v>162.228064768</v>
      </c>
      <c r="I168" s="15">
        <f t="shared" si="18"/>
        <v>317.88674882395202</v>
      </c>
    </row>
    <row r="169" spans="1:10" ht="15" thickBot="1" x14ac:dyDescent="0.35">
      <c r="A169" s="8" t="s">
        <v>306</v>
      </c>
      <c r="B169" s="6">
        <f>References!AE9*4</f>
        <v>149.63480000000001</v>
      </c>
      <c r="C169" s="6">
        <f>(References!AD9*B169)/3.6</f>
        <v>10.973218666666668</v>
      </c>
      <c r="D169" s="6">
        <v>34.5</v>
      </c>
      <c r="E169" s="6">
        <v>22.5</v>
      </c>
      <c r="F169" s="6">
        <v>1.8136751999999999E-2</v>
      </c>
      <c r="G169" s="6">
        <f t="shared" si="16"/>
        <v>8.4803099999999996E-3</v>
      </c>
      <c r="H169" s="6">
        <f t="shared" si="17"/>
        <v>162.228064768</v>
      </c>
      <c r="I169" s="15">
        <f t="shared" si="18"/>
        <v>317.88674882395202</v>
      </c>
    </row>
    <row r="170" spans="1:10" ht="15" thickBot="1" x14ac:dyDescent="0.35">
      <c r="A170" s="8" t="s">
        <v>125</v>
      </c>
      <c r="B170" s="6">
        <f>References!AE10*4</f>
        <v>137.04</v>
      </c>
      <c r="C170" s="6">
        <f>(References!AD10*B170)/3.6</f>
        <v>10.0496</v>
      </c>
      <c r="D170" s="6">
        <v>34.5</v>
      </c>
      <c r="E170" s="6">
        <v>22.5</v>
      </c>
      <c r="F170" s="6">
        <v>1.8136751999999999E-2</v>
      </c>
      <c r="G170" s="6">
        <f t="shared" si="16"/>
        <v>8.4803099999999996E-3</v>
      </c>
      <c r="H170" s="6">
        <f t="shared" si="17"/>
        <v>148.5732864</v>
      </c>
      <c r="I170" s="15">
        <f t="shared" si="18"/>
        <v>291.13013856959998</v>
      </c>
    </row>
    <row r="171" spans="1:10" ht="15" thickBot="1" x14ac:dyDescent="0.35">
      <c r="A171" s="8" t="s">
        <v>208</v>
      </c>
      <c r="B171" s="6">
        <f>References!AE11*4</f>
        <v>10.47</v>
      </c>
      <c r="C171" s="6">
        <f>(References!AD11*B171)/3.6</f>
        <v>0.73726250000000004</v>
      </c>
      <c r="D171" s="6">
        <v>34.5</v>
      </c>
      <c r="E171" s="6">
        <v>24</v>
      </c>
      <c r="F171" s="6">
        <v>1.8136751999999999E-2</v>
      </c>
      <c r="G171" s="6">
        <f t="shared" si="16"/>
        <v>9.2932350000000004E-3</v>
      </c>
      <c r="H171" s="6">
        <f t="shared" si="17"/>
        <v>9.5372277000000008</v>
      </c>
      <c r="I171" s="15">
        <f t="shared" si="18"/>
        <v>19.559980356637496</v>
      </c>
    </row>
    <row r="172" spans="1:10" ht="15" thickBot="1" x14ac:dyDescent="0.35">
      <c r="A172" s="8" t="s">
        <v>126</v>
      </c>
      <c r="B172" s="6">
        <f>References!AE12*4</f>
        <v>137.04</v>
      </c>
      <c r="C172" s="6">
        <f>(References!AD12*B172)/3.6</f>
        <v>10.0496</v>
      </c>
      <c r="D172" s="6">
        <v>34.5</v>
      </c>
      <c r="E172" s="6">
        <v>22.5</v>
      </c>
      <c r="F172" s="6">
        <v>1.8136751999999999E-2</v>
      </c>
      <c r="G172" s="6">
        <f t="shared" si="16"/>
        <v>8.4803099999999996E-3</v>
      </c>
      <c r="H172" s="6">
        <f t="shared" si="17"/>
        <v>148.5732864</v>
      </c>
      <c r="I172" s="15">
        <f t="shared" si="18"/>
        <v>291.13013856959998</v>
      </c>
    </row>
    <row r="173" spans="1:10" ht="15" thickBot="1" x14ac:dyDescent="0.35">
      <c r="A173" s="8" t="s">
        <v>209</v>
      </c>
      <c r="B173" s="6">
        <f>References!AE13*4</f>
        <v>10.47</v>
      </c>
      <c r="C173" s="6">
        <f>(References!AD13*B173)/3.6</f>
        <v>0.73726250000000004</v>
      </c>
      <c r="D173" s="6">
        <v>34.5</v>
      </c>
      <c r="E173" s="6">
        <v>24</v>
      </c>
      <c r="F173" s="6">
        <v>1.8136751999999999E-2</v>
      </c>
      <c r="G173" s="6">
        <f t="shared" si="16"/>
        <v>9.2932350000000004E-3</v>
      </c>
      <c r="H173" s="6">
        <f t="shared" si="17"/>
        <v>9.5372277000000008</v>
      </c>
      <c r="I173" s="15">
        <f t="shared" si="18"/>
        <v>19.559980356637496</v>
      </c>
    </row>
    <row r="174" spans="1:10" ht="15" thickBot="1" x14ac:dyDescent="0.35">
      <c r="A174" s="8" t="s">
        <v>171</v>
      </c>
      <c r="B174" s="6">
        <f>References!AE14*4</f>
        <v>40.557200000000002</v>
      </c>
      <c r="C174" s="6">
        <f>(References!AD14*B174)/3.6</f>
        <v>2.974194666666667</v>
      </c>
      <c r="D174" s="6">
        <v>34.5</v>
      </c>
      <c r="E174" s="6">
        <v>22.5</v>
      </c>
      <c r="F174" s="6">
        <v>1.8136751999999999E-2</v>
      </c>
      <c r="G174" s="6">
        <f>_xlfn.IFS(E174=22.5,0.00848031,E174=24,0.009293235,E174=22,0.00821976)</f>
        <v>8.4803099999999996E-3</v>
      </c>
      <c r="H174" s="6">
        <f t="shared" si="17"/>
        <v>43.970493951999998</v>
      </c>
      <c r="I174" s="15">
        <f t="shared" si="18"/>
        <v>86.160414886127995</v>
      </c>
    </row>
    <row r="175" spans="1:10" ht="15" thickBot="1" x14ac:dyDescent="0.35">
      <c r="A175" s="8" t="s">
        <v>210</v>
      </c>
      <c r="B175" s="6">
        <f>References!AE15*4</f>
        <v>10.488799999999999</v>
      </c>
      <c r="C175" s="6">
        <f>(References!AD15*B175)/3.6</f>
        <v>0.73858633333333323</v>
      </c>
      <c r="D175" s="6">
        <v>34.5</v>
      </c>
      <c r="E175" s="6">
        <v>24</v>
      </c>
      <c r="F175" s="6">
        <v>1.8136751999999999E-2</v>
      </c>
      <c r="G175" s="6">
        <f t="shared" ref="G175:G233" si="19">_xlfn.IFS(E175=22.5,0.00848031,E175=24,0.009293235,E175=22,0.00821976)</f>
        <v>9.2932350000000004E-3</v>
      </c>
      <c r="H175" s="6">
        <f t="shared" si="17"/>
        <v>9.5543528079999991</v>
      </c>
      <c r="I175" s="15">
        <f t="shared" si="18"/>
        <v>19.595102384402992</v>
      </c>
    </row>
    <row r="176" spans="1:10" ht="15" thickBot="1" x14ac:dyDescent="0.35">
      <c r="A176" s="8" t="s">
        <v>172</v>
      </c>
      <c r="B176" s="6">
        <f>References!AE16*4</f>
        <v>55.688800000000001</v>
      </c>
      <c r="C176" s="6">
        <f>(References!AD16*B176)/3.6</f>
        <v>4.0838453333333335</v>
      </c>
      <c r="D176" s="6">
        <v>34.5</v>
      </c>
      <c r="E176" s="6">
        <v>22.5</v>
      </c>
      <c r="F176" s="6">
        <v>1.8136751999999999E-2</v>
      </c>
      <c r="G176" s="6">
        <f t="shared" si="19"/>
        <v>8.4803099999999996E-3</v>
      </c>
      <c r="H176" s="6">
        <f t="shared" si="17"/>
        <v>60.375569407999997</v>
      </c>
      <c r="I176" s="15">
        <f t="shared" si="18"/>
        <v>118.306246794912</v>
      </c>
    </row>
    <row r="177" spans="1:9" ht="15" thickBot="1" x14ac:dyDescent="0.35">
      <c r="A177" s="8" t="s">
        <v>211</v>
      </c>
      <c r="B177" s="6">
        <f>References!AE17*4</f>
        <v>10.462</v>
      </c>
      <c r="C177" s="6">
        <f>(References!AD17*B177)/3.6</f>
        <v>0.73669916666666668</v>
      </c>
      <c r="D177" s="6">
        <v>34.5</v>
      </c>
      <c r="E177" s="6">
        <v>24</v>
      </c>
      <c r="F177" s="6">
        <v>1.8136751999999999E-2</v>
      </c>
      <c r="G177" s="6">
        <f t="shared" si="19"/>
        <v>9.2932350000000004E-3</v>
      </c>
      <c r="H177" s="6">
        <f t="shared" si="17"/>
        <v>9.5299404200000009</v>
      </c>
      <c r="I177" s="15">
        <f t="shared" si="18"/>
        <v>19.545034812907495</v>
      </c>
    </row>
    <row r="178" spans="1:9" ht="15" thickBot="1" x14ac:dyDescent="0.35">
      <c r="A178" s="8" t="s">
        <v>173</v>
      </c>
      <c r="B178" s="6">
        <f>References!AE18*4</f>
        <v>55.495199999999997</v>
      </c>
      <c r="C178" s="6">
        <f>(References!AD18*B178)/3.6</f>
        <v>4.0696479999999999</v>
      </c>
      <c r="D178" s="6">
        <v>34.5</v>
      </c>
      <c r="E178" s="6">
        <v>22.5</v>
      </c>
      <c r="F178" s="6">
        <v>1.8136751999999999E-2</v>
      </c>
      <c r="G178" s="6">
        <f t="shared" si="19"/>
        <v>8.4803099999999996E-3</v>
      </c>
      <c r="H178" s="6">
        <f t="shared" si="17"/>
        <v>60.165676031999993</v>
      </c>
      <c r="I178" s="15">
        <f t="shared" si="18"/>
        <v>117.89495961724799</v>
      </c>
    </row>
    <row r="179" spans="1:9" ht="15" thickBot="1" x14ac:dyDescent="0.35">
      <c r="A179" s="8" t="s">
        <v>212</v>
      </c>
      <c r="B179" s="6">
        <f>References!AE19*4</f>
        <v>10.474399999999999</v>
      </c>
      <c r="C179" s="6">
        <f>(References!AD19*B179)/3.6</f>
        <v>0.73757233333333327</v>
      </c>
      <c r="D179" s="6">
        <v>34.5</v>
      </c>
      <c r="E179" s="6">
        <v>24</v>
      </c>
      <c r="F179" s="6">
        <v>1.8136751999999999E-2</v>
      </c>
      <c r="G179" s="6">
        <f t="shared" si="19"/>
        <v>9.2932350000000004E-3</v>
      </c>
      <c r="H179" s="6">
        <f t="shared" si="17"/>
        <v>9.541235704</v>
      </c>
      <c r="I179" s="15">
        <f t="shared" si="18"/>
        <v>19.568200405688994</v>
      </c>
    </row>
    <row r="180" spans="1:9" ht="15" thickBot="1" x14ac:dyDescent="0.35">
      <c r="A180" s="8" t="s">
        <v>174</v>
      </c>
      <c r="B180" s="6">
        <f>References!AE20*4</f>
        <v>122.848</v>
      </c>
      <c r="C180" s="6">
        <f>(References!AD20*B180)/3.6</f>
        <v>9.0088533333333327</v>
      </c>
      <c r="D180" s="6">
        <v>34.5</v>
      </c>
      <c r="E180" s="6">
        <v>22.5</v>
      </c>
      <c r="F180" s="6">
        <v>1.8136751999999999E-2</v>
      </c>
      <c r="G180" s="6">
        <f t="shared" si="19"/>
        <v>8.4803099999999996E-3</v>
      </c>
      <c r="H180" s="6">
        <f t="shared" si="17"/>
        <v>133.18688767999998</v>
      </c>
      <c r="I180" s="15">
        <f t="shared" si="18"/>
        <v>260.98040909951999</v>
      </c>
    </row>
    <row r="181" spans="1:9" ht="15" thickBot="1" x14ac:dyDescent="0.35">
      <c r="A181" s="8" t="s">
        <v>213</v>
      </c>
      <c r="B181" s="6">
        <f>References!AE21*4</f>
        <v>10.5496</v>
      </c>
      <c r="C181" s="6">
        <f>(References!AD21*B181)/3.6</f>
        <v>0.7428676666666667</v>
      </c>
      <c r="D181" s="6">
        <v>34.5</v>
      </c>
      <c r="E181" s="6">
        <v>24</v>
      </c>
      <c r="F181" s="6">
        <v>1.8136751999999999E-2</v>
      </c>
      <c r="G181" s="6">
        <f t="shared" si="19"/>
        <v>9.2932350000000004E-3</v>
      </c>
      <c r="H181" s="6">
        <f t="shared" si="17"/>
        <v>9.6097361360000004</v>
      </c>
      <c r="I181" s="15">
        <f t="shared" si="18"/>
        <v>19.708688516750996</v>
      </c>
    </row>
    <row r="182" spans="1:9" ht="15" thickBot="1" x14ac:dyDescent="0.35">
      <c r="A182" s="8" t="s">
        <v>175</v>
      </c>
      <c r="B182" s="6">
        <f>References!AE22*4</f>
        <v>71.765199999999993</v>
      </c>
      <c r="C182" s="6">
        <f>(References!AD22*B182)/3.6</f>
        <v>5.2627813333333329</v>
      </c>
      <c r="D182" s="6">
        <v>34.5</v>
      </c>
      <c r="E182" s="6">
        <v>22.5</v>
      </c>
      <c r="F182" s="6">
        <v>1.8136751999999999E-2</v>
      </c>
      <c r="G182" s="6">
        <f t="shared" si="19"/>
        <v>8.4803099999999996E-3</v>
      </c>
      <c r="H182" s="6">
        <f t="shared" si="17"/>
        <v>77.804959231999987</v>
      </c>
      <c r="I182" s="15">
        <f t="shared" si="18"/>
        <v>152.45922811204798</v>
      </c>
    </row>
    <row r="183" spans="1:9" ht="15" thickBot="1" x14ac:dyDescent="0.35">
      <c r="A183" s="8" t="s">
        <v>176</v>
      </c>
      <c r="B183" s="6">
        <f>References!AE23*4</f>
        <v>91.316000000000003</v>
      </c>
      <c r="C183" s="6">
        <f>(References!AD23*B183)/3.6</f>
        <v>6.6965066666666671</v>
      </c>
      <c r="D183" s="6">
        <v>34.5</v>
      </c>
      <c r="E183" s="6">
        <v>22.5</v>
      </c>
      <c r="F183" s="6">
        <v>1.8136751999999999E-2</v>
      </c>
      <c r="G183" s="6">
        <f t="shared" si="19"/>
        <v>8.4803099999999996E-3</v>
      </c>
      <c r="H183" s="6">
        <f t="shared" si="17"/>
        <v>99.001154560000003</v>
      </c>
      <c r="I183" s="15">
        <f t="shared" si="18"/>
        <v>193.99328468784</v>
      </c>
    </row>
    <row r="184" spans="1:9" ht="15" thickBot="1" x14ac:dyDescent="0.35">
      <c r="A184" s="8" t="s">
        <v>205</v>
      </c>
      <c r="B184" s="6">
        <f>References!AE24*4</f>
        <v>9.66</v>
      </c>
      <c r="C184" s="6">
        <f>(References!AD24*B184)/3.6</f>
        <v>0.68022499999999997</v>
      </c>
      <c r="D184" s="6">
        <v>34.5</v>
      </c>
      <c r="E184" s="6">
        <v>24</v>
      </c>
      <c r="F184" s="6">
        <v>1.8136751999999999E-2</v>
      </c>
      <c r="G184" s="6">
        <f t="shared" si="19"/>
        <v>9.2932350000000004E-3</v>
      </c>
      <c r="H184" s="6">
        <f t="shared" si="17"/>
        <v>8.7993905999999988</v>
      </c>
      <c r="I184" s="15">
        <f t="shared" si="18"/>
        <v>18.046744053974997</v>
      </c>
    </row>
    <row r="185" spans="1:9" ht="15" thickBot="1" x14ac:dyDescent="0.35">
      <c r="A185" s="8" t="s">
        <v>177</v>
      </c>
      <c r="B185" s="6">
        <f>References!AE25*4</f>
        <v>19.147600000000001</v>
      </c>
      <c r="C185" s="6">
        <f>(References!AD25*B185)/3.6</f>
        <v>1.3483101666666666</v>
      </c>
      <c r="D185" s="6">
        <v>34.5</v>
      </c>
      <c r="E185" s="6">
        <v>24</v>
      </c>
      <c r="F185" s="6">
        <v>1.8136751999999999E-2</v>
      </c>
      <c r="G185" s="6">
        <f t="shared" si="19"/>
        <v>9.2932350000000004E-3</v>
      </c>
      <c r="H185" s="6">
        <f t="shared" si="17"/>
        <v>17.441740316000001</v>
      </c>
      <c r="I185" s="15">
        <f t="shared" si="18"/>
        <v>35.771411640568495</v>
      </c>
    </row>
    <row r="186" spans="1:9" ht="15" thickBot="1" x14ac:dyDescent="0.35">
      <c r="A186" s="8" t="s">
        <v>178</v>
      </c>
      <c r="B186" s="6">
        <f>References!AE26*4</f>
        <v>9.8323999999999998</v>
      </c>
      <c r="C186" s="6">
        <f>(References!AD26*B186)/3.6</f>
        <v>0.69236483333333332</v>
      </c>
      <c r="D186" s="6">
        <v>34.5</v>
      </c>
      <c r="E186" s="6">
        <v>24</v>
      </c>
      <c r="F186" s="6">
        <v>1.8136751999999999E-2</v>
      </c>
      <c r="G186" s="6">
        <f t="shared" si="19"/>
        <v>9.2932350000000004E-3</v>
      </c>
      <c r="H186" s="6">
        <f t="shared" si="17"/>
        <v>8.9564314839999994</v>
      </c>
      <c r="I186" s="15">
        <f t="shared" si="18"/>
        <v>18.368820521356497</v>
      </c>
    </row>
    <row r="187" spans="1:9" ht="15" thickBot="1" x14ac:dyDescent="0.35">
      <c r="A187" s="8" t="s">
        <v>179</v>
      </c>
      <c r="B187" s="6">
        <f>References!AE27*4</f>
        <v>55.494</v>
      </c>
      <c r="C187" s="6">
        <f>(References!AD27*B187)/3.6</f>
        <v>4.0695600000000001</v>
      </c>
      <c r="D187" s="6">
        <v>34.5</v>
      </c>
      <c r="E187" s="6">
        <v>22.5</v>
      </c>
      <c r="F187" s="6">
        <v>1.8136751999999999E-2</v>
      </c>
      <c r="G187" s="6">
        <f t="shared" si="19"/>
        <v>8.4803099999999996E-3</v>
      </c>
      <c r="H187" s="6">
        <f t="shared" si="17"/>
        <v>60.164375039999996</v>
      </c>
      <c r="I187" s="15">
        <f t="shared" si="18"/>
        <v>117.89241031656</v>
      </c>
    </row>
    <row r="188" spans="1:9" ht="15" thickBot="1" x14ac:dyDescent="0.35">
      <c r="A188" s="8" t="s">
        <v>214</v>
      </c>
      <c r="B188" s="6">
        <f>References!AE28*4</f>
        <v>10.47</v>
      </c>
      <c r="C188" s="6">
        <f>(References!AD28*B188)/3.6</f>
        <v>0.73726250000000004</v>
      </c>
      <c r="D188" s="6">
        <v>34.5</v>
      </c>
      <c r="E188" s="6">
        <v>24</v>
      </c>
      <c r="F188" s="6">
        <v>1.8136751999999999E-2</v>
      </c>
      <c r="G188" s="6">
        <f t="shared" si="19"/>
        <v>9.2932350000000004E-3</v>
      </c>
      <c r="H188" s="6">
        <f t="shared" si="17"/>
        <v>9.5372277000000008</v>
      </c>
      <c r="I188" s="15">
        <f t="shared" si="18"/>
        <v>19.559980356637496</v>
      </c>
    </row>
    <row r="189" spans="1:9" ht="15" thickBot="1" x14ac:dyDescent="0.35">
      <c r="A189" s="8" t="s">
        <v>180</v>
      </c>
      <c r="B189" s="6">
        <f>References!AE29*4</f>
        <v>55.571199999999997</v>
      </c>
      <c r="C189" s="6">
        <f>(References!AD29*B189)/3.6</f>
        <v>4.0752213333333334</v>
      </c>
      <c r="D189" s="6">
        <v>34.5</v>
      </c>
      <c r="E189" s="6">
        <v>22.5</v>
      </c>
      <c r="F189" s="6">
        <v>1.8136751999999999E-2</v>
      </c>
      <c r="G189" s="6">
        <f t="shared" si="19"/>
        <v>8.4803099999999996E-3</v>
      </c>
      <c r="H189" s="6">
        <f t="shared" si="17"/>
        <v>60.248072191999995</v>
      </c>
      <c r="I189" s="15">
        <f t="shared" si="18"/>
        <v>118.056415327488</v>
      </c>
    </row>
    <row r="190" spans="1:9" ht="15" thickBot="1" x14ac:dyDescent="0.35">
      <c r="A190" s="8" t="s">
        <v>215</v>
      </c>
      <c r="B190" s="6">
        <f>References!AE30*4</f>
        <v>10.47</v>
      </c>
      <c r="C190" s="6">
        <f>(References!AD30*B190)/3.6</f>
        <v>0.73726250000000004</v>
      </c>
      <c r="D190" s="6">
        <v>34.5</v>
      </c>
      <c r="E190" s="6">
        <v>24</v>
      </c>
      <c r="F190" s="6">
        <v>1.8136751999999999E-2</v>
      </c>
      <c r="G190" s="6">
        <f t="shared" si="19"/>
        <v>9.2932350000000004E-3</v>
      </c>
      <c r="H190" s="6">
        <f t="shared" si="17"/>
        <v>9.5372277000000008</v>
      </c>
      <c r="I190" s="15">
        <f t="shared" si="18"/>
        <v>19.559980356637496</v>
      </c>
    </row>
    <row r="191" spans="1:9" ht="15" thickBot="1" x14ac:dyDescent="0.35">
      <c r="A191" s="8" t="s">
        <v>181</v>
      </c>
      <c r="B191" s="6">
        <f>References!AE31*4</f>
        <v>40.686399999999999</v>
      </c>
      <c r="C191" s="6">
        <f>(References!AD31*B191)/3.6</f>
        <v>2.9836693333333333</v>
      </c>
      <c r="D191" s="6">
        <v>34.5</v>
      </c>
      <c r="E191" s="6">
        <v>22.5</v>
      </c>
      <c r="F191" s="6">
        <v>1.8136751999999999E-2</v>
      </c>
      <c r="G191" s="6">
        <f t="shared" si="19"/>
        <v>8.4803099999999996E-3</v>
      </c>
      <c r="H191" s="6">
        <f t="shared" si="17"/>
        <v>44.110567423999996</v>
      </c>
      <c r="I191" s="15">
        <f t="shared" si="18"/>
        <v>86.434889593535999</v>
      </c>
    </row>
    <row r="192" spans="1:9" ht="15" thickBot="1" x14ac:dyDescent="0.35">
      <c r="A192" s="8" t="s">
        <v>216</v>
      </c>
      <c r="B192" s="6">
        <f>References!AE32*4</f>
        <v>10.485200000000001</v>
      </c>
      <c r="C192" s="6">
        <f>(References!AD32*B192)/3.6</f>
        <v>0.73833283333333333</v>
      </c>
      <c r="D192" s="6">
        <v>34.5</v>
      </c>
      <c r="E192" s="6">
        <v>24</v>
      </c>
      <c r="F192" s="6">
        <v>1.8136751999999999E-2</v>
      </c>
      <c r="G192" s="6">
        <f t="shared" si="19"/>
        <v>9.2932350000000004E-3</v>
      </c>
      <c r="H192" s="6">
        <f t="shared" si="17"/>
        <v>9.5510735320000002</v>
      </c>
      <c r="I192" s="15">
        <f>3000*C192*(F192-G192)</f>
        <v>19.588376889724497</v>
      </c>
    </row>
    <row r="193" spans="1:9" ht="15" thickBot="1" x14ac:dyDescent="0.35">
      <c r="A193" s="8" t="s">
        <v>183</v>
      </c>
      <c r="B193" s="6">
        <f>References!AE33*4</f>
        <v>63.447600000000001</v>
      </c>
      <c r="C193" s="6">
        <f>(References!AD33*B193)/3.6</f>
        <v>4.6528239999999998</v>
      </c>
      <c r="D193" s="6">
        <v>34.5</v>
      </c>
      <c r="E193" s="6">
        <v>22.5</v>
      </c>
      <c r="F193" s="6">
        <v>1.8136751999999999E-2</v>
      </c>
      <c r="G193" s="6">
        <f t="shared" si="19"/>
        <v>8.4803099999999996E-3</v>
      </c>
      <c r="H193" s="6">
        <f t="shared" si="17"/>
        <v>68.787350015999991</v>
      </c>
      <c r="I193" s="15">
        <f t="shared" si="18"/>
        <v>134.78917527662398</v>
      </c>
    </row>
    <row r="194" spans="1:9" ht="15" thickBot="1" x14ac:dyDescent="0.35">
      <c r="A194" s="8" t="s">
        <v>217</v>
      </c>
      <c r="B194" s="6">
        <f>References!AE34*4</f>
        <v>10.56</v>
      </c>
      <c r="C194" s="6">
        <f>(References!AD34*B194)/3.6</f>
        <v>0.74360000000000004</v>
      </c>
      <c r="D194" s="6">
        <v>34.5</v>
      </c>
      <c r="E194" s="6">
        <v>24</v>
      </c>
      <c r="F194" s="6">
        <v>1.8136751999999999E-2</v>
      </c>
      <c r="G194" s="6">
        <f t="shared" si="19"/>
        <v>9.2932350000000004E-3</v>
      </c>
      <c r="H194" s="6">
        <f t="shared" si="17"/>
        <v>9.6192095999999996</v>
      </c>
      <c r="I194" s="15">
        <f t="shared" si="18"/>
        <v>19.728117723599997</v>
      </c>
    </row>
    <row r="195" spans="1:9" ht="15" thickBot="1" x14ac:dyDescent="0.35">
      <c r="A195" s="8" t="s">
        <v>187</v>
      </c>
      <c r="B195" s="6">
        <f>References!AE35*4</f>
        <v>63.447600000000001</v>
      </c>
      <c r="C195" s="6">
        <f>(References!AD35*B195)/3.6</f>
        <v>4.6528239999999998</v>
      </c>
      <c r="D195" s="6">
        <v>34.5</v>
      </c>
      <c r="E195" s="6">
        <v>22.5</v>
      </c>
      <c r="F195" s="6">
        <v>1.8136751999999999E-2</v>
      </c>
      <c r="G195" s="6">
        <f t="shared" si="19"/>
        <v>8.4803099999999996E-3</v>
      </c>
      <c r="H195" s="6">
        <f t="shared" si="17"/>
        <v>68.787350015999991</v>
      </c>
      <c r="I195" s="15">
        <f t="shared" si="18"/>
        <v>134.78917527662398</v>
      </c>
    </row>
    <row r="196" spans="1:9" ht="15" thickBot="1" x14ac:dyDescent="0.35">
      <c r="A196" s="8" t="s">
        <v>221</v>
      </c>
      <c r="B196" s="6">
        <f>References!AE36*4</f>
        <v>10.56</v>
      </c>
      <c r="C196" s="6">
        <f>(References!AD36*B196)/3.6</f>
        <v>0.74360000000000004</v>
      </c>
      <c r="D196" s="6">
        <v>34.5</v>
      </c>
      <c r="E196" s="6">
        <v>24</v>
      </c>
      <c r="F196" s="6">
        <v>1.8136751999999999E-2</v>
      </c>
      <c r="G196" s="6">
        <f t="shared" si="19"/>
        <v>9.2932350000000004E-3</v>
      </c>
      <c r="H196" s="6">
        <f t="shared" si="17"/>
        <v>9.6192095999999996</v>
      </c>
      <c r="I196" s="15">
        <f t="shared" si="18"/>
        <v>19.728117723599997</v>
      </c>
    </row>
    <row r="197" spans="1:9" ht="15" thickBot="1" x14ac:dyDescent="0.35">
      <c r="A197" s="8" t="s">
        <v>184</v>
      </c>
      <c r="B197" s="6">
        <f>References!AE37*4</f>
        <v>99.132000000000005</v>
      </c>
      <c r="C197" s="6">
        <f>(References!AD37*B197)/3.6</f>
        <v>7.269680000000001</v>
      </c>
      <c r="D197" s="6">
        <v>34.5</v>
      </c>
      <c r="E197" s="6">
        <v>22.5</v>
      </c>
      <c r="F197" s="6">
        <v>1.8136751999999999E-2</v>
      </c>
      <c r="G197" s="6">
        <f t="shared" si="19"/>
        <v>8.4803099999999996E-3</v>
      </c>
      <c r="H197" s="6">
        <f t="shared" si="17"/>
        <v>107.47494912000001</v>
      </c>
      <c r="I197" s="15">
        <f t="shared" si="18"/>
        <v>210.59772983568004</v>
      </c>
    </row>
    <row r="198" spans="1:9" ht="15" thickBot="1" x14ac:dyDescent="0.35">
      <c r="A198" s="8" t="s">
        <v>219</v>
      </c>
      <c r="B198" s="6">
        <f>References!AE38*4</f>
        <v>10.56</v>
      </c>
      <c r="C198" s="6">
        <f>(References!AD38*B198)/3.6</f>
        <v>0.74360000000000004</v>
      </c>
      <c r="D198" s="6">
        <v>34.5</v>
      </c>
      <c r="E198" s="6">
        <v>24</v>
      </c>
      <c r="F198" s="6">
        <v>1.8136751999999999E-2</v>
      </c>
      <c r="G198" s="6">
        <f t="shared" si="19"/>
        <v>9.2932350000000004E-3</v>
      </c>
      <c r="H198" s="6">
        <f t="shared" si="17"/>
        <v>9.6192095999999996</v>
      </c>
      <c r="I198" s="15">
        <f t="shared" si="18"/>
        <v>19.728117723599997</v>
      </c>
    </row>
    <row r="199" spans="1:9" ht="15" thickBot="1" x14ac:dyDescent="0.35">
      <c r="A199" s="8" t="s">
        <v>186</v>
      </c>
      <c r="B199" s="6">
        <f>References!AE39*4</f>
        <v>99.563599999999994</v>
      </c>
      <c r="C199" s="6">
        <f>(References!AD39*B199)/3.6</f>
        <v>7.301330666666666</v>
      </c>
      <c r="D199" s="6">
        <v>34.5</v>
      </c>
      <c r="E199" s="6">
        <v>22.5</v>
      </c>
      <c r="F199" s="6">
        <v>1.8136751999999999E-2</v>
      </c>
      <c r="G199" s="6">
        <f t="shared" si="19"/>
        <v>8.4803099999999996E-3</v>
      </c>
      <c r="H199" s="6">
        <f t="shared" si="17"/>
        <v>107.94287257599998</v>
      </c>
      <c r="I199" s="15">
        <f t="shared" si="18"/>
        <v>211.51462831646398</v>
      </c>
    </row>
    <row r="200" spans="1:9" ht="15" thickBot="1" x14ac:dyDescent="0.35">
      <c r="A200" s="8" t="s">
        <v>220</v>
      </c>
      <c r="B200" s="6">
        <f>References!AE40*4</f>
        <v>10.56</v>
      </c>
      <c r="C200" s="6">
        <f>(References!AD40*B200)/3.6</f>
        <v>0.74360000000000004</v>
      </c>
      <c r="D200" s="6">
        <v>34.5</v>
      </c>
      <c r="E200" s="6">
        <v>24</v>
      </c>
      <c r="F200" s="6">
        <v>1.8136751999999999E-2</v>
      </c>
      <c r="G200" s="6">
        <f t="shared" si="19"/>
        <v>9.2932350000000004E-3</v>
      </c>
      <c r="H200" s="6">
        <f t="shared" si="17"/>
        <v>9.6192095999999996</v>
      </c>
      <c r="I200" s="15">
        <f t="shared" si="18"/>
        <v>19.728117723599997</v>
      </c>
    </row>
    <row r="201" spans="1:9" ht="15" thickBot="1" x14ac:dyDescent="0.35">
      <c r="A201" s="8" t="s">
        <v>190</v>
      </c>
      <c r="B201" s="6">
        <f>References!AE41*4</f>
        <v>54.725200000000001</v>
      </c>
      <c r="C201" s="6">
        <f>(References!AD41*B201)/3.6</f>
        <v>4.0131813333333337</v>
      </c>
      <c r="D201" s="6">
        <v>34.5</v>
      </c>
      <c r="E201" s="6">
        <v>22.5</v>
      </c>
      <c r="F201" s="6">
        <v>1.8136751999999999E-2</v>
      </c>
      <c r="G201" s="6">
        <f t="shared" si="19"/>
        <v>8.4803099999999996E-3</v>
      </c>
      <c r="H201" s="6">
        <f t="shared" si="17"/>
        <v>59.330872832000004</v>
      </c>
      <c r="I201" s="15">
        <f t="shared" si="18"/>
        <v>116.259158342448</v>
      </c>
    </row>
    <row r="202" spans="1:9" ht="15" thickBot="1" x14ac:dyDescent="0.35">
      <c r="A202" s="8" t="s">
        <v>224</v>
      </c>
      <c r="B202" s="6">
        <f>References!AE42*4</f>
        <v>10.56</v>
      </c>
      <c r="C202" s="6">
        <f>(References!AD42*B202)/3.6</f>
        <v>0.74360000000000004</v>
      </c>
      <c r="D202" s="6">
        <v>34.5</v>
      </c>
      <c r="E202" s="6">
        <v>24</v>
      </c>
      <c r="F202" s="6">
        <v>1.8136751999999999E-2</v>
      </c>
      <c r="G202" s="6">
        <f>_xlfn.IFS(E202=22.5,0.00848031,E202=24,0.009293235,E202=22,0.00821976)</f>
        <v>9.2932350000000004E-3</v>
      </c>
      <c r="H202" s="6">
        <f t="shared" si="17"/>
        <v>9.6192095999999996</v>
      </c>
      <c r="I202" s="15">
        <f t="shared" si="18"/>
        <v>19.728117723599997</v>
      </c>
    </row>
    <row r="203" spans="1:9" ht="15" thickBot="1" x14ac:dyDescent="0.35">
      <c r="A203" s="8" t="s">
        <v>191</v>
      </c>
      <c r="B203" s="6">
        <f>References!AE43*4</f>
        <v>55.004800000000003</v>
      </c>
      <c r="C203" s="6">
        <f>(References!AD43*B203)/3.6</f>
        <v>4.0336853333333336</v>
      </c>
      <c r="D203" s="6">
        <v>34.5</v>
      </c>
      <c r="E203" s="6">
        <v>22.5</v>
      </c>
      <c r="F203" s="6">
        <v>1.8136751999999999E-2</v>
      </c>
      <c r="G203" s="6">
        <f t="shared" si="19"/>
        <v>8.4803099999999996E-3</v>
      </c>
      <c r="H203" s="6">
        <f t="shared" si="17"/>
        <v>59.634003968000002</v>
      </c>
      <c r="I203" s="15">
        <f t="shared" si="18"/>
        <v>116.85314540275199</v>
      </c>
    </row>
    <row r="204" spans="1:9" ht="15" thickBot="1" x14ac:dyDescent="0.35">
      <c r="A204" s="8" t="s">
        <v>225</v>
      </c>
      <c r="B204" s="6">
        <f>References!AE44*4</f>
        <v>10.56</v>
      </c>
      <c r="C204" s="6">
        <f>(References!AD44*B204)/3.6</f>
        <v>0.74360000000000004</v>
      </c>
      <c r="D204" s="6">
        <v>34.5</v>
      </c>
      <c r="E204" s="6">
        <v>24</v>
      </c>
      <c r="F204" s="6">
        <v>1.8136751999999999E-2</v>
      </c>
      <c r="G204" s="6">
        <f t="shared" si="19"/>
        <v>9.2932350000000004E-3</v>
      </c>
      <c r="H204" s="6">
        <f t="shared" si="17"/>
        <v>9.6192095999999996</v>
      </c>
      <c r="I204" s="15">
        <f t="shared" si="18"/>
        <v>19.728117723599997</v>
      </c>
    </row>
    <row r="205" spans="1:9" ht="15" thickBot="1" x14ac:dyDescent="0.35">
      <c r="A205" s="8" t="s">
        <v>307</v>
      </c>
      <c r="B205" s="6">
        <f>References!AE45*4</f>
        <v>64.044799999999995</v>
      </c>
      <c r="C205" s="6">
        <f>(References!AD45*B205)/3.6</f>
        <v>4.6966186666666667</v>
      </c>
      <c r="D205" s="6">
        <v>34.5</v>
      </c>
      <c r="E205" s="6">
        <v>22.5</v>
      </c>
      <c r="F205" s="6">
        <v>1.8136751999999999E-2</v>
      </c>
      <c r="G205" s="6">
        <f t="shared" si="19"/>
        <v>8.4803099999999996E-3</v>
      </c>
      <c r="H205" s="6">
        <f t="shared" si="17"/>
        <v>69.434810368000001</v>
      </c>
      <c r="I205" s="15">
        <f t="shared" si="18"/>
        <v>136.057877252352</v>
      </c>
    </row>
    <row r="206" spans="1:9" ht="15" thickBot="1" x14ac:dyDescent="0.35">
      <c r="A206" s="8" t="s">
        <v>329</v>
      </c>
      <c r="B206" s="6">
        <f>References!AE46*4</f>
        <v>10.56</v>
      </c>
      <c r="C206" s="6">
        <f>(References!AD46*B206)/3.6</f>
        <v>0.74360000000000004</v>
      </c>
      <c r="D206" s="6">
        <v>34.5</v>
      </c>
      <c r="E206" s="6">
        <v>24</v>
      </c>
      <c r="F206" s="6">
        <v>1.8136751999999999E-2</v>
      </c>
      <c r="G206" s="6">
        <f t="shared" si="19"/>
        <v>9.2932350000000004E-3</v>
      </c>
      <c r="H206" s="6">
        <f t="shared" si="17"/>
        <v>9.6192095999999996</v>
      </c>
      <c r="I206" s="15">
        <f t="shared" si="18"/>
        <v>19.728117723599997</v>
      </c>
    </row>
    <row r="207" spans="1:9" ht="15" thickBot="1" x14ac:dyDescent="0.35">
      <c r="A207" s="8" t="s">
        <v>308</v>
      </c>
      <c r="B207" s="6">
        <f>References!AE47*4</f>
        <v>64.044799999999995</v>
      </c>
      <c r="C207" s="6">
        <f>(References!AD47*B207)/3.6</f>
        <v>4.6966186666666667</v>
      </c>
      <c r="D207" s="6">
        <v>34.5</v>
      </c>
      <c r="E207" s="6">
        <v>22.5</v>
      </c>
      <c r="F207" s="6">
        <v>1.8136751999999999E-2</v>
      </c>
      <c r="G207" s="6">
        <f t="shared" si="19"/>
        <v>8.4803099999999996E-3</v>
      </c>
      <c r="H207" s="6">
        <f t="shared" si="17"/>
        <v>69.434810368000001</v>
      </c>
      <c r="I207" s="15">
        <f t="shared" si="18"/>
        <v>136.057877252352</v>
      </c>
    </row>
    <row r="208" spans="1:9" ht="15" thickBot="1" x14ac:dyDescent="0.35">
      <c r="A208" s="8" t="s">
        <v>330</v>
      </c>
      <c r="B208" s="6">
        <f>References!AE48*4</f>
        <v>10.56</v>
      </c>
      <c r="C208" s="6">
        <f>(References!AD48*B208)/3.6</f>
        <v>0.74360000000000004</v>
      </c>
      <c r="D208" s="6">
        <v>34.5</v>
      </c>
      <c r="E208" s="6">
        <v>24</v>
      </c>
      <c r="F208" s="6">
        <v>1.8136751999999999E-2</v>
      </c>
      <c r="G208" s="6">
        <f t="shared" si="19"/>
        <v>9.2932350000000004E-3</v>
      </c>
      <c r="H208" s="6">
        <f t="shared" si="17"/>
        <v>9.6192095999999996</v>
      </c>
      <c r="I208" s="15">
        <f t="shared" si="18"/>
        <v>19.728117723599997</v>
      </c>
    </row>
    <row r="209" spans="1:9" ht="15" thickBot="1" x14ac:dyDescent="0.35">
      <c r="A209" s="8" t="s">
        <v>185</v>
      </c>
      <c r="B209" s="6">
        <f>References!AE49*4</f>
        <v>35.860399999999998</v>
      </c>
      <c r="C209" s="6">
        <f>(References!AD49*B209)/3.6</f>
        <v>2.6297626666666667</v>
      </c>
      <c r="D209" s="6">
        <v>34.5</v>
      </c>
      <c r="E209" s="6">
        <v>22.5</v>
      </c>
      <c r="F209" s="6">
        <v>1.8136751999999999E-2</v>
      </c>
      <c r="G209" s="6">
        <f t="shared" si="19"/>
        <v>8.4803099999999996E-3</v>
      </c>
      <c r="H209" s="6">
        <f t="shared" si="17"/>
        <v>38.878411264</v>
      </c>
      <c r="I209" s="15">
        <f>3000*C209*(F209-G209)</f>
        <v>76.182451993295999</v>
      </c>
    </row>
    <row r="210" spans="1:9" ht="15" thickBot="1" x14ac:dyDescent="0.35">
      <c r="A210" s="8" t="s">
        <v>309</v>
      </c>
      <c r="B210" s="6">
        <f>References!AE50*4</f>
        <v>55.004800000000003</v>
      </c>
      <c r="C210" s="6">
        <f>(References!AD50*B210)/3.6</f>
        <v>4.0336853333333336</v>
      </c>
      <c r="D210" s="6">
        <v>34.5</v>
      </c>
      <c r="E210" s="6">
        <v>22.5</v>
      </c>
      <c r="F210" s="6">
        <v>1.8136751999999999E-2</v>
      </c>
      <c r="G210" s="6">
        <f t="shared" si="19"/>
        <v>8.4803099999999996E-3</v>
      </c>
      <c r="H210" s="6">
        <f t="shared" si="17"/>
        <v>59.634003968000002</v>
      </c>
      <c r="I210" s="15">
        <f t="shared" si="18"/>
        <v>116.85314540275199</v>
      </c>
    </row>
    <row r="211" spans="1:9" ht="15" thickBot="1" x14ac:dyDescent="0.35">
      <c r="A211" s="8" t="s">
        <v>331</v>
      </c>
      <c r="B211" s="6">
        <f>References!AE51*4</f>
        <v>10.56</v>
      </c>
      <c r="C211" s="6">
        <f>(References!AD51*B211)/3.6</f>
        <v>0.74360000000000004</v>
      </c>
      <c r="D211" s="6">
        <v>34.5</v>
      </c>
      <c r="E211" s="6">
        <v>24</v>
      </c>
      <c r="F211" s="6">
        <v>1.8136751999999999E-2</v>
      </c>
      <c r="G211" s="6">
        <f t="shared" si="19"/>
        <v>9.2932350000000004E-3</v>
      </c>
      <c r="H211" s="6">
        <f>1.232*(D211-E211)*C211</f>
        <v>9.6192095999999996</v>
      </c>
      <c r="I211" s="15">
        <f t="shared" si="18"/>
        <v>19.728117723599997</v>
      </c>
    </row>
    <row r="212" spans="1:9" ht="15" thickBot="1" x14ac:dyDescent="0.35">
      <c r="A212" s="8" t="s">
        <v>310</v>
      </c>
      <c r="B212" s="6">
        <f>References!AE52*4</f>
        <v>55.004800000000003</v>
      </c>
      <c r="C212" s="6">
        <f>(References!AD52*B212)/3.6</f>
        <v>4.0336853333333336</v>
      </c>
      <c r="D212" s="6">
        <v>34.5</v>
      </c>
      <c r="E212" s="6">
        <v>22.5</v>
      </c>
      <c r="F212" s="6">
        <v>1.8136751999999999E-2</v>
      </c>
      <c r="G212" s="6">
        <f t="shared" si="19"/>
        <v>8.4803099999999996E-3</v>
      </c>
      <c r="H212" s="6">
        <f t="shared" si="17"/>
        <v>59.634003968000002</v>
      </c>
      <c r="I212" s="15">
        <f t="shared" si="18"/>
        <v>116.85314540275199</v>
      </c>
    </row>
    <row r="213" spans="1:9" ht="15" thickBot="1" x14ac:dyDescent="0.35">
      <c r="A213" s="8" t="s">
        <v>332</v>
      </c>
      <c r="B213" s="6">
        <f>References!AE53*4</f>
        <v>10.56</v>
      </c>
      <c r="C213" s="6">
        <f>(References!AD53*B213)/3.6</f>
        <v>0.74360000000000004</v>
      </c>
      <c r="D213" s="6">
        <v>34.5</v>
      </c>
      <c r="E213" s="6">
        <v>24</v>
      </c>
      <c r="F213" s="6">
        <v>1.8136751999999999E-2</v>
      </c>
      <c r="G213" s="6">
        <f t="shared" si="19"/>
        <v>9.2932350000000004E-3</v>
      </c>
      <c r="H213" s="6">
        <f t="shared" si="17"/>
        <v>9.6192095999999996</v>
      </c>
      <c r="I213" s="15">
        <f t="shared" si="18"/>
        <v>19.728117723599997</v>
      </c>
    </row>
    <row r="214" spans="1:9" ht="15" thickBot="1" x14ac:dyDescent="0.35">
      <c r="A214" s="8" t="s">
        <v>311</v>
      </c>
      <c r="B214" s="6">
        <f>References!AE54*4</f>
        <v>93.931600000000003</v>
      </c>
      <c r="C214" s="6">
        <f>(References!AD54*B214)/3.6</f>
        <v>6.8883173333333341</v>
      </c>
      <c r="D214" s="6">
        <v>34.5</v>
      </c>
      <c r="E214" s="6">
        <v>22.5</v>
      </c>
      <c r="F214" s="6">
        <v>1.8136751999999999E-2</v>
      </c>
      <c r="G214" s="6">
        <f t="shared" si="19"/>
        <v>8.4803099999999996E-3</v>
      </c>
      <c r="H214" s="6">
        <f t="shared" si="17"/>
        <v>101.83688345600001</v>
      </c>
      <c r="I214" s="15">
        <f t="shared" si="18"/>
        <v>199.54991042078399</v>
      </c>
    </row>
    <row r="215" spans="1:9" ht="15" thickBot="1" x14ac:dyDescent="0.35">
      <c r="A215" s="8" t="s">
        <v>312</v>
      </c>
      <c r="B215" s="6">
        <f>References!AE55*4</f>
        <v>43.028799999999997</v>
      </c>
      <c r="C215" s="6">
        <f>(References!AD55*B215)/3.6</f>
        <v>3.1554453333333332</v>
      </c>
      <c r="D215" s="6">
        <v>34.5</v>
      </c>
      <c r="E215" s="6">
        <v>22.5</v>
      </c>
      <c r="F215" s="6">
        <v>1.8136751999999999E-2</v>
      </c>
      <c r="G215" s="6">
        <f t="shared" si="19"/>
        <v>8.4803099999999996E-3</v>
      </c>
      <c r="H215" s="6">
        <f t="shared" si="17"/>
        <v>46.650103807999997</v>
      </c>
      <c r="I215" s="15">
        <f t="shared" si="18"/>
        <v>91.411124536511991</v>
      </c>
    </row>
    <row r="216" spans="1:9" ht="15" thickBot="1" x14ac:dyDescent="0.35">
      <c r="A216" s="8" t="s">
        <v>333</v>
      </c>
      <c r="B216" s="6">
        <f>References!AE56*4</f>
        <v>10.56</v>
      </c>
      <c r="C216" s="6">
        <f>(References!AD56*B216)/3.6</f>
        <v>0.74360000000000004</v>
      </c>
      <c r="D216" s="6">
        <v>34.5</v>
      </c>
      <c r="E216" s="6">
        <v>24</v>
      </c>
      <c r="F216" s="6">
        <v>1.8136751999999999E-2</v>
      </c>
      <c r="G216" s="6">
        <f t="shared" si="19"/>
        <v>9.2932350000000004E-3</v>
      </c>
      <c r="H216" s="6">
        <f t="shared" si="17"/>
        <v>9.6192095999999996</v>
      </c>
      <c r="I216" s="15">
        <f t="shared" si="18"/>
        <v>19.728117723599997</v>
      </c>
    </row>
    <row r="217" spans="1:9" ht="15" thickBot="1" x14ac:dyDescent="0.35">
      <c r="A217" s="8" t="s">
        <v>313</v>
      </c>
      <c r="B217" s="6">
        <f>References!AE57*4</f>
        <v>45.26</v>
      </c>
      <c r="C217" s="6">
        <f>(References!AD57*B217)/3.6</f>
        <v>3.3190666666666662</v>
      </c>
      <c r="D217" s="6">
        <v>34.5</v>
      </c>
      <c r="E217" s="6">
        <v>22.5</v>
      </c>
      <c r="F217" s="6">
        <v>1.8136751999999999E-2</v>
      </c>
      <c r="G217" s="6">
        <f t="shared" si="19"/>
        <v>8.4803099999999996E-3</v>
      </c>
      <c r="H217" s="6">
        <f t="shared" si="17"/>
        <v>49.06908159999999</v>
      </c>
      <c r="I217" s="15">
        <f t="shared" si="18"/>
        <v>96.151124282399991</v>
      </c>
    </row>
    <row r="218" spans="1:9" ht="15" thickBot="1" x14ac:dyDescent="0.35">
      <c r="A218" s="8" t="s">
        <v>334</v>
      </c>
      <c r="B218" s="6">
        <f>References!AE58*4</f>
        <v>10.56</v>
      </c>
      <c r="C218" s="6">
        <f>(References!AD58*B218)/3.6</f>
        <v>0.74360000000000004</v>
      </c>
      <c r="D218" s="6">
        <v>34.5</v>
      </c>
      <c r="E218" s="6">
        <v>24</v>
      </c>
      <c r="F218" s="6">
        <v>1.8136751999999999E-2</v>
      </c>
      <c r="G218" s="6">
        <f t="shared" si="19"/>
        <v>9.2932350000000004E-3</v>
      </c>
      <c r="H218" s="6">
        <f t="shared" si="17"/>
        <v>9.6192095999999996</v>
      </c>
      <c r="I218" s="15">
        <f t="shared" si="18"/>
        <v>19.728117723599997</v>
      </c>
    </row>
    <row r="219" spans="1:9" ht="15" thickBot="1" x14ac:dyDescent="0.35">
      <c r="A219" s="8" t="s">
        <v>314</v>
      </c>
      <c r="B219" s="6">
        <f>References!AE59*4</f>
        <v>53.233199999999997</v>
      </c>
      <c r="C219" s="6">
        <f>(References!AD59*B219)/3.6</f>
        <v>3.9037679999999999</v>
      </c>
      <c r="D219" s="6">
        <v>34.5</v>
      </c>
      <c r="E219" s="6">
        <v>22.5</v>
      </c>
      <c r="F219" s="6">
        <v>1.8136751999999999E-2</v>
      </c>
      <c r="G219" s="6">
        <f t="shared" si="19"/>
        <v>8.4803099999999996E-3</v>
      </c>
      <c r="H219" s="6">
        <f t="shared" si="17"/>
        <v>57.713306111999991</v>
      </c>
      <c r="I219" s="15">
        <f t="shared" si="18"/>
        <v>113.08952782036799</v>
      </c>
    </row>
    <row r="220" spans="1:9" ht="15" thickBot="1" x14ac:dyDescent="0.35">
      <c r="A220" s="8" t="s">
        <v>315</v>
      </c>
      <c r="B220" s="6">
        <f>References!AE60*4</f>
        <v>44.348799999999997</v>
      </c>
      <c r="C220" s="6">
        <f>(References!AD60*B220)/3.6</f>
        <v>3.2522453333333328</v>
      </c>
      <c r="D220" s="6">
        <v>34.5</v>
      </c>
      <c r="E220" s="6">
        <v>22.5</v>
      </c>
      <c r="F220" s="6">
        <v>1.8136751999999999E-2</v>
      </c>
      <c r="G220" s="6">
        <f t="shared" si="19"/>
        <v>8.4803099999999996E-3</v>
      </c>
      <c r="H220" s="6">
        <f t="shared" si="17"/>
        <v>48.081195007999987</v>
      </c>
      <c r="I220" s="15">
        <f t="shared" si="18"/>
        <v>94.215355293311987</v>
      </c>
    </row>
    <row r="221" spans="1:9" ht="15" thickBot="1" x14ac:dyDescent="0.35">
      <c r="A221" s="8" t="s">
        <v>316</v>
      </c>
      <c r="B221" s="6">
        <f>References!AE61*4</f>
        <v>33.1</v>
      </c>
      <c r="C221" s="6">
        <f>(References!AD61*B221)/3.6</f>
        <v>2.4273333333333333</v>
      </c>
      <c r="D221" s="6">
        <v>34.5</v>
      </c>
      <c r="E221" s="6">
        <v>22.5</v>
      </c>
      <c r="F221" s="6">
        <v>1.8136751999999999E-2</v>
      </c>
      <c r="G221" s="6">
        <f t="shared" si="19"/>
        <v>8.4803099999999996E-3</v>
      </c>
      <c r="H221" s="6">
        <f t="shared" si="17"/>
        <v>35.885695999999996</v>
      </c>
      <c r="I221" s="15">
        <f t="shared" si="18"/>
        <v>70.31821064399999</v>
      </c>
    </row>
    <row r="222" spans="1:9" ht="15" thickBot="1" x14ac:dyDescent="0.35">
      <c r="A222" s="8" t="s">
        <v>317</v>
      </c>
      <c r="B222" s="6">
        <f>References!AE62*4</f>
        <v>53.87</v>
      </c>
      <c r="C222" s="6">
        <f>(References!AD62*B222)/3.6</f>
        <v>3.9504666666666663</v>
      </c>
      <c r="D222" s="6">
        <v>34.5</v>
      </c>
      <c r="E222" s="6">
        <v>22.5</v>
      </c>
      <c r="F222" s="6">
        <v>1.8136751999999999E-2</v>
      </c>
      <c r="G222" s="6">
        <f t="shared" si="19"/>
        <v>8.4803099999999996E-3</v>
      </c>
      <c r="H222" s="6">
        <f t="shared" si="17"/>
        <v>58.403699199999991</v>
      </c>
      <c r="I222" s="15">
        <f t="shared" si="18"/>
        <v>114.44235671879999</v>
      </c>
    </row>
    <row r="223" spans="1:9" ht="15" thickBot="1" x14ac:dyDescent="0.35">
      <c r="A223" s="8" t="s">
        <v>318</v>
      </c>
      <c r="B223" s="6">
        <f>References!AE63*4</f>
        <v>735.77520000000004</v>
      </c>
      <c r="C223" s="6">
        <f>(References!AD63*B223)/3.6</f>
        <v>53.956848000000001</v>
      </c>
      <c r="D223" s="6">
        <v>34.5</v>
      </c>
      <c r="E223" s="6">
        <v>22.5</v>
      </c>
      <c r="F223" s="6">
        <v>1.8136751999999999E-2</v>
      </c>
      <c r="G223" s="6">
        <f t="shared" si="19"/>
        <v>8.4803099999999996E-3</v>
      </c>
      <c r="H223" s="6">
        <f t="shared" si="17"/>
        <v>797.69804083199995</v>
      </c>
      <c r="I223" s="15">
        <f t="shared" si="18"/>
        <v>1563.093519644448</v>
      </c>
    </row>
    <row r="224" spans="1:9" ht="15" thickBot="1" x14ac:dyDescent="0.35">
      <c r="A224" s="8" t="s">
        <v>319</v>
      </c>
      <c r="B224" s="6">
        <f>References!AE64*4</f>
        <v>235.44040000000001</v>
      </c>
      <c r="C224" s="6">
        <f>(References!AD64*B224)/3.6</f>
        <v>17.265629333333333</v>
      </c>
      <c r="D224" s="6">
        <v>34.5</v>
      </c>
      <c r="E224" s="6">
        <v>22.5</v>
      </c>
      <c r="F224" s="6">
        <v>1.8136751999999999E-2</v>
      </c>
      <c r="G224" s="6">
        <f t="shared" si="19"/>
        <v>8.4803099999999996E-3</v>
      </c>
      <c r="H224" s="6">
        <f t="shared" si="17"/>
        <v>255.25506406399998</v>
      </c>
      <c r="I224" s="15">
        <f t="shared" si="18"/>
        <v>500.17364475249599</v>
      </c>
    </row>
    <row r="225" spans="1:9" ht="15" thickBot="1" x14ac:dyDescent="0.35">
      <c r="A225" s="8" t="s">
        <v>59</v>
      </c>
      <c r="B225" s="6">
        <f>References!AE65*4</f>
        <v>69.780799999999999</v>
      </c>
      <c r="C225" s="6">
        <f>(References!AD65*B225)/3.6</f>
        <v>4.9137313333333328</v>
      </c>
      <c r="D225" s="6">
        <v>34.5</v>
      </c>
      <c r="E225" s="6">
        <v>24</v>
      </c>
      <c r="F225" s="6">
        <v>1.8136751999999999E-2</v>
      </c>
      <c r="G225" s="6">
        <f t="shared" si="19"/>
        <v>9.2932350000000004E-3</v>
      </c>
      <c r="H225" s="6">
        <f t="shared" si="17"/>
        <v>63.564028527999994</v>
      </c>
      <c r="I225" s="15">
        <f t="shared" si="18"/>
        <v>130.36399973929795</v>
      </c>
    </row>
    <row r="226" spans="1:9" ht="15" thickBot="1" x14ac:dyDescent="0.35">
      <c r="A226" s="8" t="s">
        <v>58</v>
      </c>
      <c r="B226" s="6">
        <f>References!AE66*4</f>
        <v>69.922399999999996</v>
      </c>
      <c r="C226" s="6">
        <f>(References!AD66*B226)/3.6</f>
        <v>4.923702333333333</v>
      </c>
      <c r="D226" s="6">
        <v>34.5</v>
      </c>
      <c r="E226" s="6">
        <v>24</v>
      </c>
      <c r="F226" s="6">
        <v>1.8136751999999999E-2</v>
      </c>
      <c r="G226" s="6">
        <f t="shared" si="19"/>
        <v>9.2932350000000004E-3</v>
      </c>
      <c r="H226" s="6">
        <f t="shared" si="17"/>
        <v>63.693013383999997</v>
      </c>
      <c r="I226" s="15">
        <f t="shared" si="18"/>
        <v>130.62853586331897</v>
      </c>
    </row>
    <row r="227" spans="1:9" ht="15" thickBot="1" x14ac:dyDescent="0.35">
      <c r="A227" s="8" t="s">
        <v>311</v>
      </c>
      <c r="B227" s="6">
        <f>References!AE67*4</f>
        <v>174.3656</v>
      </c>
      <c r="C227" s="6">
        <f>(References!AD67*B227)/3.6</f>
        <v>12.786810666666666</v>
      </c>
      <c r="D227" s="6">
        <v>34.5</v>
      </c>
      <c r="E227" s="6">
        <v>22.5</v>
      </c>
      <c r="F227" s="6">
        <v>1.8136751999999999E-2</v>
      </c>
      <c r="G227" s="6">
        <f>_xlfn.IFS(E227=22.5,0.00848031,E227=24,0.009293235,E227=22,0.00821976)</f>
        <v>8.4803099999999996E-3</v>
      </c>
      <c r="H227" s="6">
        <f t="shared" si="17"/>
        <v>189.04020889599997</v>
      </c>
      <c r="I227" s="15">
        <f t="shared" si="18"/>
        <v>370.42528670294399</v>
      </c>
    </row>
    <row r="228" spans="1:9" ht="15" thickBot="1" x14ac:dyDescent="0.35">
      <c r="A228" s="8" t="s">
        <v>73</v>
      </c>
      <c r="B228" s="6">
        <f>References!AE68*4</f>
        <v>43.602400000000003</v>
      </c>
      <c r="C228" s="6">
        <f>(References!AD68*B228)/3.6</f>
        <v>3.1975093333333335</v>
      </c>
      <c r="D228" s="6">
        <v>34.5</v>
      </c>
      <c r="E228" s="6">
        <v>22.5</v>
      </c>
      <c r="F228" s="6">
        <v>1.8136751999999999E-2</v>
      </c>
      <c r="G228" s="6">
        <f t="shared" si="19"/>
        <v>8.4803099999999996E-3</v>
      </c>
      <c r="H228" s="6">
        <f t="shared" si="17"/>
        <v>47.271977984000003</v>
      </c>
      <c r="I228" s="15">
        <f t="shared" si="18"/>
        <v>92.629690265375999</v>
      </c>
    </row>
    <row r="229" spans="1:9" ht="15" thickBot="1" x14ac:dyDescent="0.35">
      <c r="A229" s="8" t="s">
        <v>76</v>
      </c>
      <c r="B229" s="6">
        <f>References!AE69*4</f>
        <v>43.132399999999997</v>
      </c>
      <c r="C229" s="6">
        <f>(References!AD69*B229)/3.6</f>
        <v>3.1630426666666667</v>
      </c>
      <c r="D229" s="6">
        <v>34.5</v>
      </c>
      <c r="E229" s="6">
        <v>22.5</v>
      </c>
      <c r="F229" s="6">
        <v>1.8136751999999999E-2</v>
      </c>
      <c r="G229" s="6">
        <f t="shared" si="19"/>
        <v>8.4803099999999996E-3</v>
      </c>
      <c r="H229" s="6">
        <f t="shared" ref="H229:H231" si="20">1.232*(D229-E229)*C229</f>
        <v>46.762422783999995</v>
      </c>
      <c r="I229" s="15">
        <f t="shared" ref="I229:I233" si="21">3000*C229*(F229-G229)</f>
        <v>91.631214162576001</v>
      </c>
    </row>
    <row r="230" spans="1:9" ht="15" thickBot="1" x14ac:dyDescent="0.35">
      <c r="A230" s="8" t="s">
        <v>77</v>
      </c>
      <c r="B230" s="6">
        <f>References!AE70*4</f>
        <v>37.665199999999999</v>
      </c>
      <c r="C230" s="6">
        <f>(References!AD70*B230)/3.6</f>
        <v>2.7621146666666667</v>
      </c>
      <c r="D230" s="6">
        <v>34.5</v>
      </c>
      <c r="E230" s="6">
        <v>22.5</v>
      </c>
      <c r="F230" s="6">
        <v>1.8136751999999999E-2</v>
      </c>
      <c r="G230" s="6">
        <f t="shared" si="19"/>
        <v>8.4803099999999996E-3</v>
      </c>
      <c r="H230" s="6">
        <f t="shared" si="20"/>
        <v>40.835103231999994</v>
      </c>
      <c r="I230" s="15">
        <f t="shared" si="21"/>
        <v>80.016600228048006</v>
      </c>
    </row>
    <row r="231" spans="1:9" ht="15" thickBot="1" x14ac:dyDescent="0.35">
      <c r="A231" s="8" t="s">
        <v>320</v>
      </c>
      <c r="B231" s="6">
        <f>References!AE71*4</f>
        <v>107.9832</v>
      </c>
      <c r="C231" s="6">
        <f>(References!AD71*B231)/3.6</f>
        <v>7.918768</v>
      </c>
      <c r="D231" s="6">
        <v>34.5</v>
      </c>
      <c r="E231" s="6">
        <v>22.5</v>
      </c>
      <c r="F231" s="6">
        <v>1.8136751999999999E-2</v>
      </c>
      <c r="G231" s="6">
        <f t="shared" si="19"/>
        <v>8.4803099999999996E-3</v>
      </c>
      <c r="H231" s="6">
        <f t="shared" si="20"/>
        <v>117.071066112</v>
      </c>
      <c r="I231" s="15">
        <f t="shared" si="21"/>
        <v>229.40137171036798</v>
      </c>
    </row>
    <row r="232" spans="1:9" ht="15" thickBot="1" x14ac:dyDescent="0.35">
      <c r="A232" s="8" t="s">
        <v>335</v>
      </c>
      <c r="B232" s="6">
        <f>References!AE72*4</f>
        <v>10.56</v>
      </c>
      <c r="C232" s="6">
        <f>(References!AD72*B232)/3.6</f>
        <v>0.74360000000000004</v>
      </c>
      <c r="D232" s="6">
        <v>34.5</v>
      </c>
      <c r="E232" s="6">
        <v>24</v>
      </c>
      <c r="F232" s="6">
        <v>1.8136751999999999E-2</v>
      </c>
      <c r="G232" s="6">
        <f t="shared" si="19"/>
        <v>9.2932350000000004E-3</v>
      </c>
      <c r="H232" s="6">
        <f>1.232*(D232-E232)*C232</f>
        <v>9.6192095999999996</v>
      </c>
      <c r="I232" s="15">
        <f t="shared" si="21"/>
        <v>19.728117723599997</v>
      </c>
    </row>
    <row r="233" spans="1:9" ht="15" thickBot="1" x14ac:dyDescent="0.35">
      <c r="A233" s="23" t="s">
        <v>29</v>
      </c>
      <c r="B233" s="21">
        <f>References!AE73*4</f>
        <v>2512.0731999999998</v>
      </c>
      <c r="C233" s="21">
        <f>(References!AD73*B233)/3.6</f>
        <v>184.21870133333331</v>
      </c>
      <c r="D233" s="21">
        <v>34.5</v>
      </c>
      <c r="E233" s="21">
        <v>22.5</v>
      </c>
      <c r="F233" s="21">
        <v>1.8136751999999999E-2</v>
      </c>
      <c r="G233" s="21">
        <f t="shared" si="19"/>
        <v>8.4803099999999996E-3</v>
      </c>
      <c r="H233" s="21">
        <f>1.232*(D233-E233)*C233</f>
        <v>2723.4892805119994</v>
      </c>
      <c r="I233" s="22">
        <f t="shared" si="21"/>
        <v>5336.691614221967</v>
      </c>
    </row>
    <row r="234" spans="1:9" ht="15" thickBot="1" x14ac:dyDescent="0.35">
      <c r="F234" s="89" t="s">
        <v>336</v>
      </c>
      <c r="G234" s="89"/>
      <c r="H234" s="44">
        <f>SUM(H164:H233)</f>
        <v>7336.2148493479981</v>
      </c>
      <c r="I234" s="44">
        <f>SUM(I164:I233)</f>
        <v>14410.356977646283</v>
      </c>
    </row>
    <row r="235" spans="1:9" ht="15" thickBot="1" x14ac:dyDescent="0.35">
      <c r="F235" s="89" t="s">
        <v>162</v>
      </c>
      <c r="G235" s="89"/>
      <c r="H235" s="54">
        <f>I234+H234</f>
        <v>21746.571826994281</v>
      </c>
      <c r="I235" s="54"/>
    </row>
  </sheetData>
  <mergeCells count="9">
    <mergeCell ref="F235:G235"/>
    <mergeCell ref="F234:G234"/>
    <mergeCell ref="F74:G74"/>
    <mergeCell ref="Q22:R22"/>
    <mergeCell ref="A1:I1"/>
    <mergeCell ref="A77:I77"/>
    <mergeCell ref="F160:G160"/>
    <mergeCell ref="F159:G159"/>
    <mergeCell ref="F75:G75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8"/>
  <sheetViews>
    <sheetView workbookViewId="0">
      <selection sqref="A1:H1"/>
    </sheetView>
  </sheetViews>
  <sheetFormatPr defaultRowHeight="14.4" x14ac:dyDescent="0.3"/>
  <cols>
    <col min="1" max="1" width="26.109375" customWidth="1"/>
    <col min="2" max="2" width="25.33203125" customWidth="1"/>
    <col min="3" max="3" width="12.109375" customWidth="1"/>
    <col min="7" max="7" width="9.33203125" customWidth="1"/>
    <col min="8" max="8" width="10" customWidth="1"/>
  </cols>
  <sheetData>
    <row r="1" spans="1:8" x14ac:dyDescent="0.3">
      <c r="A1" s="95" t="s">
        <v>337</v>
      </c>
      <c r="B1" s="95"/>
      <c r="C1" s="95"/>
      <c r="D1" s="95"/>
      <c r="E1" s="95"/>
      <c r="F1" s="95"/>
      <c r="G1" s="95"/>
      <c r="H1" s="95"/>
    </row>
    <row r="2" spans="1:8" ht="15" thickBot="1" x14ac:dyDescent="0.35">
      <c r="A2" s="41" t="s">
        <v>20</v>
      </c>
      <c r="B2" s="42" t="s">
        <v>338</v>
      </c>
      <c r="C2" s="42" t="s">
        <v>339</v>
      </c>
      <c r="D2" s="42" t="s">
        <v>340</v>
      </c>
      <c r="E2" s="42" t="s">
        <v>341</v>
      </c>
      <c r="F2" s="42" t="s">
        <v>342</v>
      </c>
      <c r="G2" s="42" t="s">
        <v>24</v>
      </c>
      <c r="H2" s="43" t="s">
        <v>25</v>
      </c>
    </row>
    <row r="3" spans="1:8" ht="42" customHeight="1" thickBot="1" x14ac:dyDescent="0.35">
      <c r="A3" s="66" t="s">
        <v>343</v>
      </c>
      <c r="B3" s="60" t="s">
        <v>344</v>
      </c>
      <c r="C3" s="67">
        <v>70.8</v>
      </c>
      <c r="D3" s="67">
        <v>0.33</v>
      </c>
      <c r="E3" s="67">
        <v>0.16</v>
      </c>
      <c r="F3" s="67">
        <v>0.96</v>
      </c>
      <c r="G3" s="67">
        <f>D3*C3*F3</f>
        <v>22.42944</v>
      </c>
      <c r="H3" s="68">
        <f>C3*E3</f>
        <v>11.327999999999999</v>
      </c>
    </row>
    <row r="4" spans="1:8" ht="87" thickBot="1" x14ac:dyDescent="0.35">
      <c r="A4" s="66" t="s">
        <v>345</v>
      </c>
      <c r="B4" s="60" t="s">
        <v>346</v>
      </c>
      <c r="C4" s="67">
        <v>2284.4</v>
      </c>
      <c r="D4" s="67">
        <v>0.33</v>
      </c>
      <c r="E4" s="67">
        <v>0.16</v>
      </c>
      <c r="F4" s="67">
        <v>0.96</v>
      </c>
      <c r="G4" s="67">
        <f t="shared" ref="G4:G43" si="0">D4*C4*F4</f>
        <v>723.69792000000007</v>
      </c>
      <c r="H4" s="68">
        <f t="shared" ref="H4:H43" si="1">C4*E4</f>
        <v>365.50400000000002</v>
      </c>
    </row>
    <row r="5" spans="1:8" ht="29.4" thickBot="1" x14ac:dyDescent="0.35">
      <c r="A5" s="66" t="s">
        <v>347</v>
      </c>
      <c r="B5" s="60" t="s">
        <v>348</v>
      </c>
      <c r="C5" s="67">
        <v>70.8</v>
      </c>
      <c r="D5" s="67">
        <v>0.33</v>
      </c>
      <c r="E5" s="67">
        <v>0.16</v>
      </c>
      <c r="F5" s="67">
        <v>0.96</v>
      </c>
      <c r="G5" s="67">
        <f t="shared" si="0"/>
        <v>22.42944</v>
      </c>
      <c r="H5" s="68">
        <f t="shared" si="1"/>
        <v>11.327999999999999</v>
      </c>
    </row>
    <row r="6" spans="1:8" ht="58.2" thickBot="1" x14ac:dyDescent="0.35">
      <c r="A6" s="66" t="s">
        <v>349</v>
      </c>
      <c r="B6" s="60" t="s">
        <v>350</v>
      </c>
      <c r="C6" s="67">
        <v>300.8</v>
      </c>
      <c r="D6" s="67">
        <v>0.33</v>
      </c>
      <c r="E6" s="67">
        <v>0.16</v>
      </c>
      <c r="F6" s="67">
        <v>0.96</v>
      </c>
      <c r="G6" s="67">
        <f t="shared" si="0"/>
        <v>95.293440000000004</v>
      </c>
      <c r="H6" s="68">
        <f t="shared" si="1"/>
        <v>48.128</v>
      </c>
    </row>
    <row r="7" spans="1:8" ht="58.2" thickBot="1" x14ac:dyDescent="0.35">
      <c r="A7" s="66" t="s">
        <v>351</v>
      </c>
      <c r="B7" s="60" t="s">
        <v>350</v>
      </c>
      <c r="C7" s="67">
        <v>300.8</v>
      </c>
      <c r="D7" s="67">
        <v>0.33</v>
      </c>
      <c r="E7" s="67">
        <v>0.16</v>
      </c>
      <c r="F7" s="67">
        <v>0.96</v>
      </c>
      <c r="G7" s="67">
        <f t="shared" si="0"/>
        <v>95.293440000000004</v>
      </c>
      <c r="H7" s="68">
        <f t="shared" si="1"/>
        <v>48.128</v>
      </c>
    </row>
    <row r="8" spans="1:8" ht="58.2" thickBot="1" x14ac:dyDescent="0.35">
      <c r="A8" s="66" t="s">
        <v>352</v>
      </c>
      <c r="B8" s="60" t="s">
        <v>350</v>
      </c>
      <c r="C8" s="67">
        <v>300.8</v>
      </c>
      <c r="D8" s="67">
        <v>0.33</v>
      </c>
      <c r="E8" s="67">
        <v>0.16</v>
      </c>
      <c r="F8" s="67">
        <v>0.96</v>
      </c>
      <c r="G8" s="67">
        <f t="shared" si="0"/>
        <v>95.293440000000004</v>
      </c>
      <c r="H8" s="68">
        <f t="shared" si="1"/>
        <v>48.128</v>
      </c>
    </row>
    <row r="9" spans="1:8" ht="58.2" thickBot="1" x14ac:dyDescent="0.35">
      <c r="A9" s="66" t="s">
        <v>353</v>
      </c>
      <c r="B9" s="60" t="s">
        <v>350</v>
      </c>
      <c r="C9" s="67">
        <v>300.8</v>
      </c>
      <c r="D9" s="67">
        <v>0.33</v>
      </c>
      <c r="E9" s="67">
        <v>0.16</v>
      </c>
      <c r="F9" s="67">
        <v>0.96</v>
      </c>
      <c r="G9" s="67">
        <f t="shared" si="0"/>
        <v>95.293440000000004</v>
      </c>
      <c r="H9" s="68">
        <f t="shared" si="1"/>
        <v>48.128</v>
      </c>
    </row>
    <row r="10" spans="1:8" ht="58.2" thickBot="1" x14ac:dyDescent="0.35">
      <c r="A10" s="66" t="s">
        <v>354</v>
      </c>
      <c r="B10" s="60" t="s">
        <v>350</v>
      </c>
      <c r="C10" s="67">
        <v>300.8</v>
      </c>
      <c r="D10" s="67">
        <v>0.33</v>
      </c>
      <c r="E10" s="67">
        <v>0.16</v>
      </c>
      <c r="F10" s="67">
        <v>0.96</v>
      </c>
      <c r="G10" s="67">
        <f t="shared" si="0"/>
        <v>95.293440000000004</v>
      </c>
      <c r="H10" s="68">
        <f t="shared" si="1"/>
        <v>48.128</v>
      </c>
    </row>
    <row r="11" spans="1:8" ht="58.2" thickBot="1" x14ac:dyDescent="0.35">
      <c r="A11" s="66" t="s">
        <v>355</v>
      </c>
      <c r="B11" s="60" t="s">
        <v>350</v>
      </c>
      <c r="C11" s="67">
        <v>300.8</v>
      </c>
      <c r="D11" s="67">
        <v>0.33</v>
      </c>
      <c r="E11" s="67">
        <v>0.16</v>
      </c>
      <c r="F11" s="67">
        <v>0.96</v>
      </c>
      <c r="G11" s="67">
        <f t="shared" si="0"/>
        <v>95.293440000000004</v>
      </c>
      <c r="H11" s="68">
        <f t="shared" si="1"/>
        <v>48.128</v>
      </c>
    </row>
    <row r="12" spans="1:8" ht="58.2" thickBot="1" x14ac:dyDescent="0.35">
      <c r="A12" s="66" t="s">
        <v>356</v>
      </c>
      <c r="B12" s="60" t="s">
        <v>350</v>
      </c>
      <c r="C12" s="67">
        <v>300.8</v>
      </c>
      <c r="D12" s="67">
        <v>0.33</v>
      </c>
      <c r="E12" s="67">
        <v>0.16</v>
      </c>
      <c r="F12" s="67">
        <v>0.96</v>
      </c>
      <c r="G12" s="67">
        <f t="shared" si="0"/>
        <v>95.293440000000004</v>
      </c>
      <c r="H12" s="68">
        <f t="shared" si="1"/>
        <v>48.128</v>
      </c>
    </row>
    <row r="13" spans="1:8" ht="74.25" customHeight="1" thickBot="1" x14ac:dyDescent="0.35">
      <c r="A13" s="66" t="s">
        <v>357</v>
      </c>
      <c r="B13" s="60" t="s">
        <v>358</v>
      </c>
      <c r="C13" s="67">
        <v>201.6</v>
      </c>
      <c r="D13" s="67">
        <v>0.33</v>
      </c>
      <c r="E13" s="67">
        <v>0.16</v>
      </c>
      <c r="F13" s="67">
        <v>0.96</v>
      </c>
      <c r="G13" s="67">
        <f t="shared" si="0"/>
        <v>63.866880000000002</v>
      </c>
      <c r="H13" s="68">
        <f t="shared" si="1"/>
        <v>32.256</v>
      </c>
    </row>
    <row r="14" spans="1:8" ht="29.4" thickBot="1" x14ac:dyDescent="0.35">
      <c r="A14" s="66" t="s">
        <v>359</v>
      </c>
      <c r="B14" s="60" t="s">
        <v>360</v>
      </c>
      <c r="C14" s="67">
        <v>1500.8</v>
      </c>
      <c r="D14" s="67">
        <v>0.33</v>
      </c>
      <c r="E14" s="67">
        <v>0.16</v>
      </c>
      <c r="F14" s="67">
        <v>0.96</v>
      </c>
      <c r="G14" s="67">
        <f t="shared" si="0"/>
        <v>475.45344</v>
      </c>
      <c r="H14" s="68">
        <f t="shared" si="1"/>
        <v>240.12799999999999</v>
      </c>
    </row>
    <row r="15" spans="1:8" ht="58.2" thickBot="1" x14ac:dyDescent="0.35">
      <c r="A15" s="66" t="s">
        <v>361</v>
      </c>
      <c r="B15" s="60" t="s">
        <v>350</v>
      </c>
      <c r="C15" s="67">
        <v>300.8</v>
      </c>
      <c r="D15" s="67">
        <v>0.33</v>
      </c>
      <c r="E15" s="67">
        <v>0.16</v>
      </c>
      <c r="F15" s="67">
        <v>0.96</v>
      </c>
      <c r="G15" s="67">
        <f t="shared" si="0"/>
        <v>95.293440000000004</v>
      </c>
      <c r="H15" s="68">
        <f t="shared" si="1"/>
        <v>48.128</v>
      </c>
    </row>
    <row r="16" spans="1:8" ht="58.2" thickBot="1" x14ac:dyDescent="0.35">
      <c r="A16" s="66" t="s">
        <v>362</v>
      </c>
      <c r="B16" s="60" t="s">
        <v>350</v>
      </c>
      <c r="C16" s="67">
        <v>300.8</v>
      </c>
      <c r="D16" s="67">
        <v>0.33</v>
      </c>
      <c r="E16" s="67">
        <v>0.16</v>
      </c>
      <c r="F16" s="67">
        <v>0.96</v>
      </c>
      <c r="G16" s="67">
        <f t="shared" si="0"/>
        <v>95.293440000000004</v>
      </c>
      <c r="H16" s="68">
        <f t="shared" si="1"/>
        <v>48.128</v>
      </c>
    </row>
    <row r="17" spans="1:8" ht="58.2" thickBot="1" x14ac:dyDescent="0.35">
      <c r="A17" s="66" t="s">
        <v>363</v>
      </c>
      <c r="B17" s="60" t="s">
        <v>350</v>
      </c>
      <c r="C17" s="67">
        <v>300.8</v>
      </c>
      <c r="D17" s="67">
        <v>0.33</v>
      </c>
      <c r="E17" s="67">
        <v>0.16</v>
      </c>
      <c r="F17" s="67">
        <v>0.96</v>
      </c>
      <c r="G17" s="67">
        <f t="shared" si="0"/>
        <v>95.293440000000004</v>
      </c>
      <c r="H17" s="68">
        <f t="shared" si="1"/>
        <v>48.128</v>
      </c>
    </row>
    <row r="18" spans="1:8" ht="58.2" thickBot="1" x14ac:dyDescent="0.35">
      <c r="A18" s="66" t="s">
        <v>363</v>
      </c>
      <c r="B18" s="60" t="s">
        <v>350</v>
      </c>
      <c r="C18" s="67">
        <v>300.8</v>
      </c>
      <c r="D18" s="67">
        <v>0.33</v>
      </c>
      <c r="E18" s="67">
        <v>0.16</v>
      </c>
      <c r="F18" s="67">
        <v>0.96</v>
      </c>
      <c r="G18" s="67">
        <f t="shared" si="0"/>
        <v>95.293440000000004</v>
      </c>
      <c r="H18" s="68">
        <f t="shared" si="1"/>
        <v>48.128</v>
      </c>
    </row>
    <row r="19" spans="1:8" ht="58.2" thickBot="1" x14ac:dyDescent="0.35">
      <c r="A19" s="66" t="s">
        <v>364</v>
      </c>
      <c r="B19" s="60" t="s">
        <v>350</v>
      </c>
      <c r="C19" s="67">
        <v>300.8</v>
      </c>
      <c r="D19" s="67">
        <v>0.33</v>
      </c>
      <c r="E19" s="67">
        <v>0.16</v>
      </c>
      <c r="F19" s="67">
        <v>0.96</v>
      </c>
      <c r="G19" s="67">
        <f t="shared" si="0"/>
        <v>95.293440000000004</v>
      </c>
      <c r="H19" s="68">
        <f t="shared" si="1"/>
        <v>48.128</v>
      </c>
    </row>
    <row r="20" spans="1:8" ht="58.2" thickBot="1" x14ac:dyDescent="0.35">
      <c r="A20" s="66" t="s">
        <v>365</v>
      </c>
      <c r="B20" s="60" t="s">
        <v>350</v>
      </c>
      <c r="C20" s="67">
        <v>300.8</v>
      </c>
      <c r="D20" s="67">
        <v>0.33</v>
      </c>
      <c r="E20" s="67">
        <v>0.16</v>
      </c>
      <c r="F20" s="67">
        <v>0.96</v>
      </c>
      <c r="G20" s="67">
        <f t="shared" si="0"/>
        <v>95.293440000000004</v>
      </c>
      <c r="H20" s="68">
        <f t="shared" si="1"/>
        <v>48.128</v>
      </c>
    </row>
    <row r="21" spans="1:8" ht="58.2" thickBot="1" x14ac:dyDescent="0.35">
      <c r="A21" s="66" t="s">
        <v>366</v>
      </c>
      <c r="B21" s="60" t="s">
        <v>350</v>
      </c>
      <c r="C21" s="67">
        <v>300.8</v>
      </c>
      <c r="D21" s="67">
        <v>0.33</v>
      </c>
      <c r="E21" s="67">
        <v>0.16</v>
      </c>
      <c r="F21" s="67">
        <v>0.96</v>
      </c>
      <c r="G21" s="67">
        <f t="shared" si="0"/>
        <v>95.293440000000004</v>
      </c>
      <c r="H21" s="68">
        <f t="shared" si="1"/>
        <v>48.128</v>
      </c>
    </row>
    <row r="22" spans="1:8" ht="58.2" thickBot="1" x14ac:dyDescent="0.35">
      <c r="A22" s="66" t="s">
        <v>367</v>
      </c>
      <c r="B22" s="60" t="s">
        <v>350</v>
      </c>
      <c r="C22" s="67">
        <v>300.8</v>
      </c>
      <c r="D22" s="67">
        <v>0.33</v>
      </c>
      <c r="E22" s="67">
        <v>0.16</v>
      </c>
      <c r="F22" s="67">
        <v>0.96</v>
      </c>
      <c r="G22" s="67">
        <f t="shared" si="0"/>
        <v>95.293440000000004</v>
      </c>
      <c r="H22" s="68">
        <f t="shared" si="1"/>
        <v>48.128</v>
      </c>
    </row>
    <row r="23" spans="1:8" ht="58.2" thickBot="1" x14ac:dyDescent="0.35">
      <c r="A23" s="66" t="s">
        <v>368</v>
      </c>
      <c r="B23" s="60" t="s">
        <v>350</v>
      </c>
      <c r="C23" s="67">
        <v>300.8</v>
      </c>
      <c r="D23" s="67">
        <v>0.33</v>
      </c>
      <c r="E23" s="67">
        <v>0.16</v>
      </c>
      <c r="F23" s="67">
        <v>0.96</v>
      </c>
      <c r="G23" s="67">
        <f t="shared" si="0"/>
        <v>95.293440000000004</v>
      </c>
      <c r="H23" s="68">
        <f t="shared" si="1"/>
        <v>48.128</v>
      </c>
    </row>
    <row r="24" spans="1:8" ht="58.2" thickBot="1" x14ac:dyDescent="0.35">
      <c r="A24" s="66" t="s">
        <v>369</v>
      </c>
      <c r="B24" s="60" t="s">
        <v>350</v>
      </c>
      <c r="C24" s="67">
        <v>300.8</v>
      </c>
      <c r="D24" s="67">
        <v>0.33</v>
      </c>
      <c r="E24" s="67">
        <v>0.16</v>
      </c>
      <c r="F24" s="67">
        <v>0.96</v>
      </c>
      <c r="G24" s="67">
        <f t="shared" si="0"/>
        <v>95.293440000000004</v>
      </c>
      <c r="H24" s="68">
        <f t="shared" si="1"/>
        <v>48.128</v>
      </c>
    </row>
    <row r="25" spans="1:8" ht="87" thickBot="1" x14ac:dyDescent="0.35">
      <c r="A25" s="66" t="s">
        <v>77</v>
      </c>
      <c r="B25" s="60" t="s">
        <v>370</v>
      </c>
      <c r="C25" s="67">
        <v>525.79999999999995</v>
      </c>
      <c r="D25" s="67">
        <v>0.33</v>
      </c>
      <c r="E25" s="67">
        <v>0.16</v>
      </c>
      <c r="F25" s="67">
        <v>0.96</v>
      </c>
      <c r="G25" s="67">
        <f t="shared" si="0"/>
        <v>166.57343999999998</v>
      </c>
      <c r="H25" s="68">
        <f t="shared" si="1"/>
        <v>84.128</v>
      </c>
    </row>
    <row r="26" spans="1:8" ht="87" thickBot="1" x14ac:dyDescent="0.35">
      <c r="A26" s="66" t="s">
        <v>76</v>
      </c>
      <c r="B26" s="60" t="s">
        <v>370</v>
      </c>
      <c r="C26" s="67">
        <v>525.79999999999995</v>
      </c>
      <c r="D26" s="67">
        <v>0.33</v>
      </c>
      <c r="E26" s="67">
        <v>0.16</v>
      </c>
      <c r="F26" s="67">
        <v>0.96</v>
      </c>
      <c r="G26" s="67">
        <f t="shared" si="0"/>
        <v>166.57343999999998</v>
      </c>
      <c r="H26" s="68">
        <f t="shared" si="1"/>
        <v>84.128</v>
      </c>
    </row>
    <row r="27" spans="1:8" ht="58.2" thickBot="1" x14ac:dyDescent="0.35">
      <c r="A27" s="66" t="s">
        <v>73</v>
      </c>
      <c r="B27" s="60" t="s">
        <v>350</v>
      </c>
      <c r="C27" s="67">
        <v>300.8</v>
      </c>
      <c r="D27" s="67">
        <v>0.33</v>
      </c>
      <c r="E27" s="67">
        <v>0.16</v>
      </c>
      <c r="F27" s="67">
        <v>0.96</v>
      </c>
      <c r="G27" s="67">
        <f t="shared" si="0"/>
        <v>95.293440000000004</v>
      </c>
      <c r="H27" s="68">
        <f t="shared" si="1"/>
        <v>48.128</v>
      </c>
    </row>
    <row r="28" spans="1:8" ht="72.599999999999994" thickBot="1" x14ac:dyDescent="0.35">
      <c r="A28" s="69" t="s">
        <v>371</v>
      </c>
      <c r="B28" s="60" t="s">
        <v>372</v>
      </c>
      <c r="C28" s="67">
        <v>425.8</v>
      </c>
      <c r="D28" s="67">
        <v>0.33</v>
      </c>
      <c r="E28" s="67">
        <v>0.16</v>
      </c>
      <c r="F28" s="67">
        <v>0.96</v>
      </c>
      <c r="G28" s="67">
        <f t="shared" si="0"/>
        <v>134.89344</v>
      </c>
      <c r="H28" s="68">
        <f t="shared" si="1"/>
        <v>68.128</v>
      </c>
    </row>
    <row r="29" spans="1:8" ht="72.599999999999994" thickBot="1" x14ac:dyDescent="0.35">
      <c r="A29" s="66" t="s">
        <v>373</v>
      </c>
      <c r="B29" s="60" t="s">
        <v>372</v>
      </c>
      <c r="C29" s="67">
        <v>425.8</v>
      </c>
      <c r="D29" s="67">
        <v>0.33</v>
      </c>
      <c r="E29" s="67">
        <v>0.16</v>
      </c>
      <c r="F29" s="67">
        <v>0.96</v>
      </c>
      <c r="G29" s="67">
        <f t="shared" si="0"/>
        <v>134.89344</v>
      </c>
      <c r="H29" s="68">
        <f t="shared" si="1"/>
        <v>68.128</v>
      </c>
    </row>
    <row r="30" spans="1:8" ht="72.599999999999994" thickBot="1" x14ac:dyDescent="0.35">
      <c r="A30" s="69" t="s">
        <v>374</v>
      </c>
      <c r="B30" s="60" t="s">
        <v>372</v>
      </c>
      <c r="C30" s="67">
        <v>425.8</v>
      </c>
      <c r="D30" s="67">
        <v>0.33</v>
      </c>
      <c r="E30" s="67">
        <v>0.16</v>
      </c>
      <c r="F30" s="67">
        <v>0.96</v>
      </c>
      <c r="G30" s="67">
        <f t="shared" si="0"/>
        <v>134.89344</v>
      </c>
      <c r="H30" s="68">
        <f t="shared" si="1"/>
        <v>68.128</v>
      </c>
    </row>
    <row r="31" spans="1:8" ht="58.2" thickBot="1" x14ac:dyDescent="0.35">
      <c r="A31" s="66" t="s">
        <v>375</v>
      </c>
      <c r="B31" s="60" t="s">
        <v>376</v>
      </c>
      <c r="C31" s="67">
        <v>300.8</v>
      </c>
      <c r="D31" s="67">
        <v>0.33</v>
      </c>
      <c r="E31" s="67">
        <v>0.16</v>
      </c>
      <c r="F31" s="67">
        <v>0.96</v>
      </c>
      <c r="G31" s="67">
        <f t="shared" si="0"/>
        <v>95.293440000000004</v>
      </c>
      <c r="H31" s="68">
        <f t="shared" si="1"/>
        <v>48.128</v>
      </c>
    </row>
    <row r="32" spans="1:8" ht="86.25" customHeight="1" thickBot="1" x14ac:dyDescent="0.35">
      <c r="A32" s="66" t="s">
        <v>36</v>
      </c>
      <c r="B32" s="60" t="s">
        <v>377</v>
      </c>
      <c r="C32" s="67">
        <v>250.4</v>
      </c>
      <c r="D32" s="67">
        <v>0.33</v>
      </c>
      <c r="E32" s="67">
        <v>0.16</v>
      </c>
      <c r="F32" s="67">
        <v>0.96</v>
      </c>
      <c r="G32" s="67">
        <f t="shared" si="0"/>
        <v>79.326720000000009</v>
      </c>
      <c r="H32" s="68">
        <f t="shared" si="1"/>
        <v>40.064</v>
      </c>
    </row>
    <row r="33" spans="1:8" ht="58.2" thickBot="1" x14ac:dyDescent="0.35">
      <c r="A33" s="66" t="s">
        <v>369</v>
      </c>
      <c r="B33" s="60" t="s">
        <v>350</v>
      </c>
      <c r="C33" s="67">
        <v>300.8</v>
      </c>
      <c r="D33" s="67">
        <v>0.33</v>
      </c>
      <c r="E33" s="67">
        <v>0.16</v>
      </c>
      <c r="F33" s="67">
        <v>0.96</v>
      </c>
      <c r="G33" s="67">
        <f t="shared" si="0"/>
        <v>95.293440000000004</v>
      </c>
      <c r="H33" s="68">
        <f t="shared" si="1"/>
        <v>48.128</v>
      </c>
    </row>
    <row r="34" spans="1:8" ht="87" thickBot="1" x14ac:dyDescent="0.35">
      <c r="A34" s="66" t="s">
        <v>31</v>
      </c>
      <c r="B34" s="60" t="s">
        <v>378</v>
      </c>
      <c r="C34" s="67">
        <v>266.2</v>
      </c>
      <c r="D34" s="67">
        <v>0.33</v>
      </c>
      <c r="E34" s="67">
        <v>0.16</v>
      </c>
      <c r="F34" s="67">
        <v>0.96</v>
      </c>
      <c r="G34" s="67">
        <f t="shared" si="0"/>
        <v>84.332160000000002</v>
      </c>
      <c r="H34" s="68">
        <f t="shared" si="1"/>
        <v>42.591999999999999</v>
      </c>
    </row>
    <row r="35" spans="1:8" ht="58.2" thickBot="1" x14ac:dyDescent="0.35">
      <c r="A35" s="66" t="s">
        <v>379</v>
      </c>
      <c r="B35" s="60" t="s">
        <v>380</v>
      </c>
      <c r="C35" s="67">
        <v>155.4</v>
      </c>
      <c r="D35" s="67">
        <v>0.33</v>
      </c>
      <c r="E35" s="67">
        <v>0.16</v>
      </c>
      <c r="F35" s="67">
        <v>0.96</v>
      </c>
      <c r="G35" s="67">
        <f t="shared" si="0"/>
        <v>49.230720000000005</v>
      </c>
      <c r="H35" s="68">
        <f t="shared" si="1"/>
        <v>24.864000000000001</v>
      </c>
    </row>
    <row r="36" spans="1:8" ht="15" thickBot="1" x14ac:dyDescent="0.35">
      <c r="A36" s="66" t="s">
        <v>381</v>
      </c>
      <c r="B36" s="64" t="s">
        <v>382</v>
      </c>
      <c r="C36" s="67">
        <v>0.4</v>
      </c>
      <c r="D36" s="67">
        <v>0.33</v>
      </c>
      <c r="E36" s="67">
        <v>0.16</v>
      </c>
      <c r="F36" s="67">
        <v>0.96</v>
      </c>
      <c r="G36" s="67">
        <f t="shared" si="0"/>
        <v>0.12672</v>
      </c>
      <c r="H36" s="68">
        <f t="shared" si="1"/>
        <v>6.4000000000000001E-2</v>
      </c>
    </row>
    <row r="37" spans="1:8" ht="15" thickBot="1" x14ac:dyDescent="0.35">
      <c r="A37" s="66" t="s">
        <v>383</v>
      </c>
      <c r="B37" s="64" t="s">
        <v>382</v>
      </c>
      <c r="C37" s="67">
        <v>0.4</v>
      </c>
      <c r="D37" s="67">
        <v>0.33</v>
      </c>
      <c r="E37" s="67">
        <v>0.16</v>
      </c>
      <c r="F37" s="67">
        <v>0.96</v>
      </c>
      <c r="G37" s="67">
        <f t="shared" si="0"/>
        <v>0.12672</v>
      </c>
      <c r="H37" s="68">
        <f t="shared" si="1"/>
        <v>6.4000000000000001E-2</v>
      </c>
    </row>
    <row r="38" spans="1:8" ht="58.2" thickBot="1" x14ac:dyDescent="0.35">
      <c r="A38" s="66" t="s">
        <v>384</v>
      </c>
      <c r="B38" s="60" t="s">
        <v>350</v>
      </c>
      <c r="C38" s="67">
        <v>300.8</v>
      </c>
      <c r="D38" s="67">
        <v>0.33</v>
      </c>
      <c r="E38" s="67">
        <v>0.16</v>
      </c>
      <c r="F38" s="67">
        <v>0.96</v>
      </c>
      <c r="G38" s="67">
        <f t="shared" si="0"/>
        <v>95.293440000000004</v>
      </c>
      <c r="H38" s="68">
        <f t="shared" si="1"/>
        <v>48.128</v>
      </c>
    </row>
    <row r="39" spans="1:8" ht="15" thickBot="1" x14ac:dyDescent="0.35">
      <c r="A39" s="70" t="s">
        <v>41</v>
      </c>
      <c r="B39" s="71" t="s">
        <v>382</v>
      </c>
      <c r="C39" s="67">
        <v>0.4</v>
      </c>
      <c r="D39" s="67">
        <v>0.33</v>
      </c>
      <c r="E39" s="67">
        <v>0.16</v>
      </c>
      <c r="F39" s="67">
        <v>0.96</v>
      </c>
      <c r="G39" s="67">
        <f t="shared" si="0"/>
        <v>0.12672</v>
      </c>
      <c r="H39" s="68">
        <f t="shared" si="1"/>
        <v>6.4000000000000001E-2</v>
      </c>
    </row>
    <row r="40" spans="1:8" s="56" customFormat="1" ht="54" customHeight="1" thickBot="1" x14ac:dyDescent="0.35">
      <c r="A40" s="72" t="s">
        <v>176</v>
      </c>
      <c r="B40" s="61" t="s">
        <v>385</v>
      </c>
      <c r="C40" s="73">
        <v>355</v>
      </c>
      <c r="D40" s="67">
        <v>0.33</v>
      </c>
      <c r="E40" s="67">
        <v>0.16</v>
      </c>
      <c r="F40" s="67">
        <v>0.96</v>
      </c>
      <c r="G40" s="67">
        <f t="shared" si="0"/>
        <v>112.464</v>
      </c>
      <c r="H40" s="68">
        <f t="shared" si="1"/>
        <v>56.800000000000004</v>
      </c>
    </row>
    <row r="41" spans="1:8" ht="58.2" thickBot="1" x14ac:dyDescent="0.35">
      <c r="A41" s="70" t="s">
        <v>65</v>
      </c>
      <c r="B41" s="60" t="s">
        <v>386</v>
      </c>
      <c r="C41" s="67">
        <v>61.8</v>
      </c>
      <c r="D41" s="67">
        <v>0.33</v>
      </c>
      <c r="E41" s="67">
        <v>0.16</v>
      </c>
      <c r="F41" s="67">
        <v>0.96</v>
      </c>
      <c r="G41" s="67">
        <f t="shared" si="0"/>
        <v>19.578239999999997</v>
      </c>
      <c r="H41" s="68">
        <f t="shared" si="1"/>
        <v>9.8879999999999999</v>
      </c>
    </row>
    <row r="42" spans="1:8" ht="43.8" thickBot="1" x14ac:dyDescent="0.35">
      <c r="A42" s="70" t="s">
        <v>387</v>
      </c>
      <c r="B42" s="60" t="s">
        <v>388</v>
      </c>
      <c r="C42" s="67">
        <v>2580</v>
      </c>
      <c r="D42" s="67">
        <v>0.33</v>
      </c>
      <c r="E42" s="67">
        <v>0.16</v>
      </c>
      <c r="F42" s="67">
        <v>0.96</v>
      </c>
      <c r="G42" s="67">
        <f t="shared" si="0"/>
        <v>817.34400000000005</v>
      </c>
      <c r="H42" s="68">
        <f t="shared" si="1"/>
        <v>412.8</v>
      </c>
    </row>
    <row r="43" spans="1:8" ht="43.8" thickBot="1" x14ac:dyDescent="0.35">
      <c r="A43" s="74" t="s">
        <v>389</v>
      </c>
      <c r="B43" s="65" t="s">
        <v>390</v>
      </c>
      <c r="C43" s="75">
        <v>750.4</v>
      </c>
      <c r="D43" s="75">
        <v>0.33</v>
      </c>
      <c r="E43" s="75">
        <v>0.16</v>
      </c>
      <c r="F43" s="75">
        <v>0.96</v>
      </c>
      <c r="G43" s="75">
        <f t="shared" si="0"/>
        <v>237.72672</v>
      </c>
      <c r="H43" s="76">
        <f t="shared" si="1"/>
        <v>120.06399999999999</v>
      </c>
    </row>
    <row r="44" spans="1:8" ht="15" thickBot="1" x14ac:dyDescent="0.35">
      <c r="E44" s="94" t="s">
        <v>336</v>
      </c>
      <c r="F44" s="94"/>
      <c r="G44" s="79">
        <f>SUM(G3:G43)</f>
        <v>5447.2492799999991</v>
      </c>
      <c r="H44" s="79">
        <f>SUM(H3:H43)</f>
        <v>2751.1359999999986</v>
      </c>
    </row>
    <row r="45" spans="1:8" ht="15" thickBot="1" x14ac:dyDescent="0.35">
      <c r="E45" s="94" t="s">
        <v>162</v>
      </c>
      <c r="F45" s="94"/>
      <c r="G45" s="94">
        <f>G44+H44</f>
        <v>8198.3852799999986</v>
      </c>
      <c r="H45" s="94"/>
    </row>
    <row r="46" spans="1:8" x14ac:dyDescent="0.3">
      <c r="E46" s="55"/>
      <c r="F46" s="55"/>
      <c r="G46" s="55"/>
      <c r="H46" s="55"/>
    </row>
    <row r="47" spans="1:8" x14ac:dyDescent="0.3">
      <c r="A47" s="88" t="s">
        <v>391</v>
      </c>
      <c r="B47" s="88"/>
      <c r="C47" s="88"/>
      <c r="D47" s="88"/>
      <c r="E47" s="88"/>
      <c r="F47" s="88"/>
      <c r="G47" s="88"/>
      <c r="H47" s="88"/>
    </row>
    <row r="48" spans="1:8" ht="15" thickBot="1" x14ac:dyDescent="0.35">
      <c r="A48" s="16" t="s">
        <v>20</v>
      </c>
      <c r="B48" s="17" t="s">
        <v>338</v>
      </c>
      <c r="C48" s="17" t="s">
        <v>392</v>
      </c>
      <c r="D48" s="17" t="s">
        <v>393</v>
      </c>
      <c r="E48" s="17" t="s">
        <v>341</v>
      </c>
      <c r="F48" s="17" t="s">
        <v>342</v>
      </c>
      <c r="G48" s="17" t="s">
        <v>24</v>
      </c>
      <c r="H48" s="18" t="s">
        <v>25</v>
      </c>
    </row>
    <row r="49" spans="1:8" ht="29.4" thickBot="1" x14ac:dyDescent="0.35">
      <c r="A49" s="8" t="s">
        <v>394</v>
      </c>
      <c r="B49" s="59" t="s">
        <v>395</v>
      </c>
      <c r="C49" s="6">
        <v>25.4</v>
      </c>
      <c r="D49" s="6">
        <v>0.33</v>
      </c>
      <c r="E49" s="6">
        <v>0.16</v>
      </c>
      <c r="F49" s="6">
        <v>0.96</v>
      </c>
      <c r="G49" s="6">
        <f>D49*C49*F49</f>
        <v>8.0467199999999988</v>
      </c>
      <c r="H49" s="15">
        <f>E49*C49</f>
        <v>4.0640000000000001</v>
      </c>
    </row>
    <row r="50" spans="1:8" ht="29.4" thickBot="1" x14ac:dyDescent="0.35">
      <c r="A50" s="8" t="s">
        <v>396</v>
      </c>
      <c r="B50" s="59" t="s">
        <v>395</v>
      </c>
      <c r="C50" s="6">
        <v>25.4</v>
      </c>
      <c r="D50" s="6">
        <v>0.33</v>
      </c>
      <c r="E50" s="6">
        <v>0.16</v>
      </c>
      <c r="F50" s="6">
        <v>0.96</v>
      </c>
      <c r="G50" s="6">
        <f t="shared" ref="G50:G88" si="2">D50*C50*F50</f>
        <v>8.0467199999999988</v>
      </c>
      <c r="H50" s="15">
        <f t="shared" ref="H50:H88" si="3">E50*C50</f>
        <v>4.0640000000000001</v>
      </c>
    </row>
    <row r="51" spans="1:8" ht="29.4" thickBot="1" x14ac:dyDescent="0.35">
      <c r="A51" s="8" t="s">
        <v>397</v>
      </c>
      <c r="B51" s="59" t="s">
        <v>395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si="2"/>
        <v>8.0467199999999988</v>
      </c>
      <c r="H51" s="15">
        <f t="shared" si="3"/>
        <v>4.0640000000000001</v>
      </c>
    </row>
    <row r="52" spans="1:8" ht="29.4" thickBot="1" x14ac:dyDescent="0.35">
      <c r="A52" s="8" t="s">
        <v>398</v>
      </c>
      <c r="B52" s="59" t="s">
        <v>395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58.2" thickBot="1" x14ac:dyDescent="0.35">
      <c r="A53" s="8" t="s">
        <v>67</v>
      </c>
      <c r="B53" s="60" t="s">
        <v>399</v>
      </c>
      <c r="C53" s="6">
        <v>5.4</v>
      </c>
      <c r="D53" s="6">
        <v>0.33</v>
      </c>
      <c r="E53" s="6">
        <v>0.16</v>
      </c>
      <c r="F53" s="6">
        <v>0.96</v>
      </c>
      <c r="G53" s="6">
        <f t="shared" si="2"/>
        <v>1.7107200000000002</v>
      </c>
      <c r="H53" s="15">
        <f t="shared" si="3"/>
        <v>0.8640000000000001</v>
      </c>
    </row>
    <row r="54" spans="1:8" ht="58.2" thickBot="1" x14ac:dyDescent="0.35">
      <c r="A54" s="8" t="s">
        <v>172</v>
      </c>
      <c r="B54" s="60" t="s">
        <v>400</v>
      </c>
      <c r="C54" s="6">
        <v>156.06</v>
      </c>
      <c r="D54" s="6">
        <v>0.33</v>
      </c>
      <c r="E54" s="6">
        <v>0.16</v>
      </c>
      <c r="F54" s="6">
        <v>0.96</v>
      </c>
      <c r="G54" s="6">
        <f t="shared" si="2"/>
        <v>49.439807999999999</v>
      </c>
      <c r="H54" s="15">
        <f t="shared" si="3"/>
        <v>24.9696</v>
      </c>
    </row>
    <row r="55" spans="1:8" ht="58.2" thickBot="1" x14ac:dyDescent="0.35">
      <c r="A55" s="8" t="s">
        <v>173</v>
      </c>
      <c r="B55" s="60" t="s">
        <v>400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58.2" thickBot="1" x14ac:dyDescent="0.35">
      <c r="A56" s="8" t="s">
        <v>179</v>
      </c>
      <c r="B56" s="60" t="s">
        <v>400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58.2" thickBot="1" x14ac:dyDescent="0.35">
      <c r="A57" s="8" t="s">
        <v>180</v>
      </c>
      <c r="B57" s="60" t="s">
        <v>400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58.2" thickBot="1" x14ac:dyDescent="0.35">
      <c r="A58" s="8" t="s">
        <v>183</v>
      </c>
      <c r="B58" s="60" t="s">
        <v>400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58.2" thickBot="1" x14ac:dyDescent="0.35">
      <c r="A59" s="8" t="s">
        <v>187</v>
      </c>
      <c r="B59" s="60" t="s">
        <v>400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58.2" thickBot="1" x14ac:dyDescent="0.35">
      <c r="A60" s="8" t="s">
        <v>190</v>
      </c>
      <c r="B60" s="60" t="s">
        <v>400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58.2" thickBot="1" x14ac:dyDescent="0.35">
      <c r="A61" s="8" t="s">
        <v>191</v>
      </c>
      <c r="B61" s="60" t="s">
        <v>400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29.4" thickBot="1" x14ac:dyDescent="0.35">
      <c r="A62" s="8" t="s">
        <v>181</v>
      </c>
      <c r="B62" s="60" t="s">
        <v>401</v>
      </c>
      <c r="C62" s="6">
        <v>5.4</v>
      </c>
      <c r="D62" s="6">
        <v>0.33</v>
      </c>
      <c r="E62" s="6">
        <v>0.16</v>
      </c>
      <c r="F62" s="6">
        <v>0.96</v>
      </c>
      <c r="G62" s="6">
        <f t="shared" si="2"/>
        <v>1.7107200000000002</v>
      </c>
      <c r="H62" s="15">
        <f t="shared" si="3"/>
        <v>0.8640000000000001</v>
      </c>
    </row>
    <row r="63" spans="1:8" ht="43.8" thickBot="1" x14ac:dyDescent="0.35">
      <c r="A63" s="8" t="s">
        <v>174</v>
      </c>
      <c r="B63" s="60" t="s">
        <v>402</v>
      </c>
      <c r="C63" s="6">
        <v>230.4</v>
      </c>
      <c r="D63" s="6">
        <v>0.33</v>
      </c>
      <c r="E63" s="6">
        <v>0.16</v>
      </c>
      <c r="F63" s="6">
        <v>0.96</v>
      </c>
      <c r="G63" s="6">
        <f t="shared" si="2"/>
        <v>72.99072000000001</v>
      </c>
      <c r="H63" s="15">
        <f t="shared" si="3"/>
        <v>36.864000000000004</v>
      </c>
    </row>
    <row r="64" spans="1:8" ht="29.4" thickBot="1" x14ac:dyDescent="0.35">
      <c r="A64" s="8" t="s">
        <v>175</v>
      </c>
      <c r="B64" s="60" t="s">
        <v>403</v>
      </c>
      <c r="C64" s="6">
        <v>70.400000000000006</v>
      </c>
      <c r="D64" s="6">
        <v>0.33</v>
      </c>
      <c r="E64" s="6">
        <v>0.16</v>
      </c>
      <c r="F64" s="6">
        <v>0.96</v>
      </c>
      <c r="G64" s="6">
        <f t="shared" si="2"/>
        <v>22.302720000000001</v>
      </c>
      <c r="H64" s="15">
        <f t="shared" si="3"/>
        <v>11.264000000000001</v>
      </c>
    </row>
    <row r="65" spans="1:13" ht="43.8" thickBot="1" x14ac:dyDescent="0.35">
      <c r="A65" s="8" t="s">
        <v>176</v>
      </c>
      <c r="B65" s="61" t="s">
        <v>385</v>
      </c>
      <c r="C65" s="6">
        <v>355</v>
      </c>
      <c r="D65" s="6">
        <v>0.33</v>
      </c>
      <c r="E65" s="6">
        <v>0.16</v>
      </c>
      <c r="F65" s="6">
        <v>0.96</v>
      </c>
      <c r="G65" s="6">
        <f t="shared" si="2"/>
        <v>112.464</v>
      </c>
      <c r="H65" s="15">
        <f t="shared" si="3"/>
        <v>56.800000000000004</v>
      </c>
    </row>
    <row r="66" spans="1:13" ht="29.4" thickBot="1" x14ac:dyDescent="0.35">
      <c r="A66" s="8" t="s">
        <v>404</v>
      </c>
      <c r="B66" s="60" t="s">
        <v>405</v>
      </c>
      <c r="C66" s="6">
        <v>5.4</v>
      </c>
      <c r="D66" s="6">
        <v>0.33</v>
      </c>
      <c r="E66" s="6">
        <v>0.16</v>
      </c>
      <c r="F66" s="6">
        <v>0.96</v>
      </c>
      <c r="G66" s="6">
        <f t="shared" si="2"/>
        <v>1.7107200000000002</v>
      </c>
      <c r="H66" s="15">
        <f t="shared" si="3"/>
        <v>0.8640000000000001</v>
      </c>
    </row>
    <row r="67" spans="1:13" ht="72.599999999999994" thickBot="1" x14ac:dyDescent="0.35">
      <c r="A67" s="8" t="s">
        <v>143</v>
      </c>
      <c r="B67" s="60" t="s">
        <v>372</v>
      </c>
      <c r="C67" s="6">
        <v>425.8</v>
      </c>
      <c r="D67" s="6">
        <v>0.33</v>
      </c>
      <c r="E67" s="6">
        <v>0.16</v>
      </c>
      <c r="F67" s="6">
        <v>0.96</v>
      </c>
      <c r="G67" s="6">
        <f t="shared" si="2"/>
        <v>134.89344</v>
      </c>
      <c r="H67" s="15">
        <f t="shared" si="3"/>
        <v>68.128</v>
      </c>
    </row>
    <row r="68" spans="1:13" ht="90.75" customHeight="1" thickBot="1" x14ac:dyDescent="0.35">
      <c r="A68" s="8" t="s">
        <v>142</v>
      </c>
      <c r="B68" s="60" t="s">
        <v>406</v>
      </c>
      <c r="C68" s="6">
        <v>955.8</v>
      </c>
      <c r="D68" s="6">
        <v>0.33</v>
      </c>
      <c r="E68" s="6">
        <v>0.16</v>
      </c>
      <c r="F68" s="6">
        <v>0.96</v>
      </c>
      <c r="G68" s="6">
        <f t="shared" si="2"/>
        <v>302.79743999999999</v>
      </c>
      <c r="H68" s="15">
        <f t="shared" si="3"/>
        <v>152.928</v>
      </c>
    </row>
    <row r="69" spans="1:13" ht="72.599999999999994" thickBot="1" x14ac:dyDescent="0.35">
      <c r="A69" s="8" t="s">
        <v>141</v>
      </c>
      <c r="B69" s="60" t="s">
        <v>372</v>
      </c>
      <c r="C69" s="6">
        <v>425.8</v>
      </c>
      <c r="D69" s="6">
        <v>0.33</v>
      </c>
      <c r="E69" s="6">
        <v>0.16</v>
      </c>
      <c r="F69" s="6">
        <v>0.96</v>
      </c>
      <c r="G69" s="6">
        <f t="shared" si="2"/>
        <v>134.89344</v>
      </c>
      <c r="H69" s="15">
        <f t="shared" si="3"/>
        <v>68.128</v>
      </c>
    </row>
    <row r="70" spans="1:13" ht="29.4" thickBot="1" x14ac:dyDescent="0.35">
      <c r="A70" s="8" t="s">
        <v>184</v>
      </c>
      <c r="B70" s="59" t="s">
        <v>395</v>
      </c>
      <c r="C70" s="6">
        <v>25.4</v>
      </c>
      <c r="D70" s="6">
        <v>0.33</v>
      </c>
      <c r="E70" s="6">
        <v>0.16</v>
      </c>
      <c r="F70" s="6">
        <v>0.96</v>
      </c>
      <c r="G70" s="6">
        <f t="shared" si="2"/>
        <v>8.0467199999999988</v>
      </c>
      <c r="H70" s="15">
        <f t="shared" si="3"/>
        <v>4.0640000000000001</v>
      </c>
    </row>
    <row r="71" spans="1:13" ht="29.4" thickBot="1" x14ac:dyDescent="0.35">
      <c r="A71" s="8" t="s">
        <v>186</v>
      </c>
      <c r="B71" s="59" t="s">
        <v>395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29.4" thickBot="1" x14ac:dyDescent="0.35">
      <c r="A72" s="8" t="s">
        <v>188</v>
      </c>
      <c r="B72" s="59" t="s">
        <v>395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29.4" thickBot="1" x14ac:dyDescent="0.35">
      <c r="A73" s="8" t="s">
        <v>189</v>
      </c>
      <c r="B73" s="59" t="s">
        <v>395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  <c r="M73" s="57"/>
    </row>
    <row r="74" spans="1:13" ht="16.2" thickBot="1" x14ac:dyDescent="0.35">
      <c r="A74" s="8" t="s">
        <v>140</v>
      </c>
      <c r="B74" s="6" t="s">
        <v>407</v>
      </c>
      <c r="C74" s="6">
        <v>0.4</v>
      </c>
      <c r="D74" s="6">
        <v>0.33</v>
      </c>
      <c r="E74" s="6">
        <v>0.16</v>
      </c>
      <c r="F74" s="6">
        <v>0.96</v>
      </c>
      <c r="G74" s="6">
        <f t="shared" si="2"/>
        <v>0.12672</v>
      </c>
      <c r="H74" s="15">
        <f t="shared" si="3"/>
        <v>6.4000000000000001E-2</v>
      </c>
      <c r="M74" s="58"/>
    </row>
    <row r="75" spans="1:13" ht="15" thickBot="1" x14ac:dyDescent="0.35">
      <c r="A75" s="8" t="s">
        <v>193</v>
      </c>
      <c r="B75" s="6" t="s">
        <v>407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</row>
    <row r="76" spans="1:13" ht="15" thickBot="1" x14ac:dyDescent="0.35">
      <c r="A76" s="8" t="s">
        <v>194</v>
      </c>
      <c r="B76" s="6" t="s">
        <v>407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" thickBot="1" x14ac:dyDescent="0.35">
      <c r="A77" s="8" t="s">
        <v>408</v>
      </c>
      <c r="B77" s="6" t="s">
        <v>407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" thickBot="1" x14ac:dyDescent="0.35">
      <c r="A78" s="8" t="s">
        <v>409</v>
      </c>
      <c r="B78" s="6" t="s">
        <v>407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72.599999999999994" thickBot="1" x14ac:dyDescent="0.35">
      <c r="A79" s="8" t="s">
        <v>410</v>
      </c>
      <c r="B79" s="60" t="s">
        <v>411</v>
      </c>
      <c r="C79" s="6">
        <v>2175.4</v>
      </c>
      <c r="D79" s="6">
        <v>0.33</v>
      </c>
      <c r="E79" s="6">
        <v>0.16</v>
      </c>
      <c r="F79" s="6">
        <v>0.96</v>
      </c>
      <c r="G79" s="6">
        <f t="shared" si="2"/>
        <v>689.16672000000005</v>
      </c>
      <c r="H79" s="15">
        <f t="shared" si="3"/>
        <v>348.06400000000002</v>
      </c>
    </row>
    <row r="80" spans="1:13" ht="29.4" thickBot="1" x14ac:dyDescent="0.35">
      <c r="A80" s="8" t="s">
        <v>412</v>
      </c>
      <c r="B80" s="60" t="s">
        <v>413</v>
      </c>
      <c r="C80" s="6">
        <v>1400.4</v>
      </c>
      <c r="D80" s="6">
        <v>0.33</v>
      </c>
      <c r="E80" s="6">
        <v>0.16</v>
      </c>
      <c r="F80" s="6">
        <v>0.96</v>
      </c>
      <c r="G80" s="6">
        <f t="shared" si="2"/>
        <v>443.64672000000002</v>
      </c>
      <c r="H80" s="15">
        <f t="shared" si="3"/>
        <v>224.06400000000002</v>
      </c>
    </row>
    <row r="81" spans="1:8" ht="43.8" thickBot="1" x14ac:dyDescent="0.35">
      <c r="A81" s="8" t="s">
        <v>129</v>
      </c>
      <c r="B81" s="60" t="s">
        <v>414</v>
      </c>
      <c r="C81" s="6">
        <v>215.4</v>
      </c>
      <c r="D81" s="6">
        <v>0.33</v>
      </c>
      <c r="E81" s="6">
        <v>0.16</v>
      </c>
      <c r="F81" s="6">
        <v>0.96</v>
      </c>
      <c r="G81" s="6">
        <f t="shared" si="2"/>
        <v>68.238720000000001</v>
      </c>
      <c r="H81" s="15">
        <f t="shared" si="3"/>
        <v>34.463999999999999</v>
      </c>
    </row>
    <row r="82" spans="1:8" ht="15" thickBot="1" x14ac:dyDescent="0.35">
      <c r="A82" s="8" t="s">
        <v>130</v>
      </c>
      <c r="B82" s="62" t="s">
        <v>407</v>
      </c>
      <c r="C82" s="6">
        <v>0.4</v>
      </c>
      <c r="D82" s="6">
        <v>0.33</v>
      </c>
      <c r="E82" s="6">
        <v>0.16</v>
      </c>
      <c r="F82" s="6">
        <v>0.96</v>
      </c>
      <c r="G82" s="6">
        <f t="shared" si="2"/>
        <v>0.12672</v>
      </c>
      <c r="H82" s="15">
        <f t="shared" si="3"/>
        <v>6.4000000000000001E-2</v>
      </c>
    </row>
    <row r="83" spans="1:8" ht="15" thickBot="1" x14ac:dyDescent="0.35">
      <c r="A83" s="8" t="s">
        <v>132</v>
      </c>
      <c r="B83" s="62" t="s">
        <v>407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8" ht="58.2" thickBot="1" x14ac:dyDescent="0.35">
      <c r="A84" s="8" t="s">
        <v>415</v>
      </c>
      <c r="B84" s="63" t="s">
        <v>416</v>
      </c>
      <c r="C84" s="6">
        <v>396.4</v>
      </c>
      <c r="D84" s="6">
        <v>0.33</v>
      </c>
      <c r="E84" s="6">
        <v>0.16</v>
      </c>
      <c r="F84" s="6">
        <v>0.96</v>
      </c>
      <c r="G84" s="6">
        <f t="shared" si="2"/>
        <v>125.57952</v>
      </c>
      <c r="H84" s="15">
        <f t="shared" si="3"/>
        <v>63.423999999999999</v>
      </c>
    </row>
    <row r="85" spans="1:8" ht="43.8" thickBot="1" x14ac:dyDescent="0.35">
      <c r="A85" s="8" t="s">
        <v>176</v>
      </c>
      <c r="B85" s="61" t="s">
        <v>385</v>
      </c>
      <c r="C85" s="6">
        <v>355</v>
      </c>
      <c r="D85" s="6">
        <v>0.33</v>
      </c>
      <c r="E85" s="6">
        <v>0.16</v>
      </c>
      <c r="F85" s="6">
        <v>0.96</v>
      </c>
      <c r="G85" s="6">
        <f t="shared" si="2"/>
        <v>112.464</v>
      </c>
      <c r="H85" s="15">
        <f t="shared" si="3"/>
        <v>56.800000000000004</v>
      </c>
    </row>
    <row r="86" spans="1:8" ht="87" thickBot="1" x14ac:dyDescent="0.35">
      <c r="A86" s="8" t="s">
        <v>417</v>
      </c>
      <c r="B86" s="60" t="s">
        <v>418</v>
      </c>
      <c r="C86" s="6">
        <v>2477.4</v>
      </c>
      <c r="D86" s="6">
        <v>0.33</v>
      </c>
      <c r="E86" s="6">
        <v>0.16</v>
      </c>
      <c r="F86" s="6">
        <v>0.96</v>
      </c>
      <c r="G86" s="6">
        <f t="shared" si="2"/>
        <v>784.84032000000002</v>
      </c>
      <c r="H86" s="15">
        <f t="shared" si="3"/>
        <v>396.38400000000001</v>
      </c>
    </row>
    <row r="87" spans="1:8" ht="15" thickBot="1" x14ac:dyDescent="0.35">
      <c r="A87" s="8" t="s">
        <v>419</v>
      </c>
      <c r="B87" s="64" t="s">
        <v>382</v>
      </c>
      <c r="C87" s="6">
        <v>0.4</v>
      </c>
      <c r="D87" s="6">
        <v>0.33</v>
      </c>
      <c r="E87" s="6">
        <v>0.16</v>
      </c>
      <c r="F87" s="6">
        <v>0.96</v>
      </c>
      <c r="G87" s="6">
        <f t="shared" si="2"/>
        <v>0.12672</v>
      </c>
      <c r="H87" s="15">
        <f t="shared" si="3"/>
        <v>6.4000000000000001E-2</v>
      </c>
    </row>
    <row r="88" spans="1:8" ht="58.2" thickBot="1" x14ac:dyDescent="0.35">
      <c r="A88" s="23" t="s">
        <v>65</v>
      </c>
      <c r="B88" s="65" t="s">
        <v>420</v>
      </c>
      <c r="C88" s="21">
        <v>45.8</v>
      </c>
      <c r="D88" s="21">
        <v>0.33</v>
      </c>
      <c r="E88" s="21">
        <v>0.16</v>
      </c>
      <c r="F88" s="21">
        <v>0.96</v>
      </c>
      <c r="G88" s="21">
        <f t="shared" si="2"/>
        <v>14.509439999999998</v>
      </c>
      <c r="H88" s="22">
        <f t="shared" si="3"/>
        <v>7.3279999999999994</v>
      </c>
    </row>
    <row r="89" spans="1:8" ht="15" thickBot="1" x14ac:dyDescent="0.35">
      <c r="E89" s="94" t="s">
        <v>336</v>
      </c>
      <c r="F89" s="94"/>
      <c r="G89" s="78">
        <f>SUM(G49:G88)</f>
        <v>3484.8253440000008</v>
      </c>
      <c r="H89" s="78">
        <f>SUM(H49:H88)</f>
        <v>1760.0128</v>
      </c>
    </row>
    <row r="90" spans="1:8" ht="15" thickBot="1" x14ac:dyDescent="0.35">
      <c r="E90" s="94" t="s">
        <v>162</v>
      </c>
      <c r="F90" s="94"/>
      <c r="G90" s="94">
        <f>G89+H89</f>
        <v>5244.8381440000012</v>
      </c>
      <c r="H90" s="94"/>
    </row>
    <row r="91" spans="1:8" x14ac:dyDescent="0.3">
      <c r="E91" s="55"/>
      <c r="F91" s="55"/>
      <c r="G91" s="55"/>
      <c r="H91" s="55"/>
    </row>
    <row r="92" spans="1:8" x14ac:dyDescent="0.3">
      <c r="A92" s="88" t="s">
        <v>421</v>
      </c>
      <c r="B92" s="88"/>
      <c r="C92" s="88"/>
      <c r="D92" s="88"/>
      <c r="E92" s="88"/>
      <c r="F92" s="88"/>
      <c r="G92" s="88"/>
      <c r="H92" s="88"/>
    </row>
    <row r="93" spans="1:8" ht="15" thickBot="1" x14ac:dyDescent="0.35">
      <c r="A93" s="16" t="s">
        <v>20</v>
      </c>
      <c r="B93" s="17" t="s">
        <v>338</v>
      </c>
      <c r="C93" s="17" t="s">
        <v>392</v>
      </c>
      <c r="D93" s="77" t="s">
        <v>340</v>
      </c>
      <c r="E93" s="17" t="s">
        <v>341</v>
      </c>
      <c r="F93" s="17" t="s">
        <v>342</v>
      </c>
      <c r="G93" s="17" t="s">
        <v>24</v>
      </c>
      <c r="H93" s="18" t="s">
        <v>422</v>
      </c>
    </row>
    <row r="94" spans="1:8" ht="29.4" thickBot="1" x14ac:dyDescent="0.35">
      <c r="A94" s="8" t="s">
        <v>394</v>
      </c>
      <c r="B94" s="59" t="s">
        <v>395</v>
      </c>
      <c r="C94" s="6">
        <v>25.4</v>
      </c>
      <c r="D94" s="6">
        <v>0.33</v>
      </c>
      <c r="E94" s="6">
        <v>0.16</v>
      </c>
      <c r="F94" s="6">
        <v>0.96</v>
      </c>
      <c r="G94" s="6">
        <f>C94*D94*F94</f>
        <v>8.0467199999999988</v>
      </c>
      <c r="H94" s="15">
        <f>E94*C94</f>
        <v>4.0640000000000001</v>
      </c>
    </row>
    <row r="95" spans="1:8" ht="29.4" thickBot="1" x14ac:dyDescent="0.35">
      <c r="A95" s="8" t="s">
        <v>396</v>
      </c>
      <c r="B95" s="59" t="s">
        <v>395</v>
      </c>
      <c r="C95" s="6">
        <v>25.4</v>
      </c>
      <c r="D95" s="6">
        <v>0.33</v>
      </c>
      <c r="E95" s="6">
        <v>0.16</v>
      </c>
      <c r="F95" s="6">
        <v>0.96</v>
      </c>
      <c r="G95" s="6">
        <f t="shared" ref="G95:G126" si="4">C95*D95*F95</f>
        <v>8.0467199999999988</v>
      </c>
      <c r="H95" s="15">
        <f t="shared" ref="H95:H126" si="5">E95*C95</f>
        <v>4.0640000000000001</v>
      </c>
    </row>
    <row r="96" spans="1:8" ht="29.4" thickBot="1" x14ac:dyDescent="0.35">
      <c r="A96" s="8" t="s">
        <v>397</v>
      </c>
      <c r="B96" s="59" t="s">
        <v>395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si="4"/>
        <v>8.0467199999999988</v>
      </c>
      <c r="H96" s="15">
        <f t="shared" si="5"/>
        <v>4.0640000000000001</v>
      </c>
    </row>
    <row r="97" spans="1:8" ht="29.4" thickBot="1" x14ac:dyDescent="0.35">
      <c r="A97" s="8" t="s">
        <v>398</v>
      </c>
      <c r="B97" s="59" t="s">
        <v>395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8" ht="58.2" thickBot="1" x14ac:dyDescent="0.35">
      <c r="A98" s="8" t="s">
        <v>67</v>
      </c>
      <c r="B98" s="60" t="s">
        <v>423</v>
      </c>
      <c r="C98" s="6">
        <v>175.9</v>
      </c>
      <c r="D98" s="6">
        <v>0.33</v>
      </c>
      <c r="E98" s="6">
        <v>0.16</v>
      </c>
      <c r="F98" s="6">
        <v>0.96</v>
      </c>
      <c r="G98" s="6">
        <f t="shared" si="4"/>
        <v>55.725120000000004</v>
      </c>
      <c r="H98" s="15">
        <f t="shared" si="5"/>
        <v>28.144000000000002</v>
      </c>
    </row>
    <row r="99" spans="1:8" ht="58.2" thickBot="1" x14ac:dyDescent="0.35">
      <c r="A99" s="8" t="s">
        <v>172</v>
      </c>
      <c r="B99" s="60" t="s">
        <v>400</v>
      </c>
      <c r="C99" s="6">
        <v>156.06</v>
      </c>
      <c r="D99" s="6">
        <v>0.33</v>
      </c>
      <c r="E99" s="6">
        <v>0.16</v>
      </c>
      <c r="F99" s="6">
        <v>0.96</v>
      </c>
      <c r="G99" s="6">
        <f t="shared" si="4"/>
        <v>49.439807999999999</v>
      </c>
      <c r="H99" s="15">
        <f t="shared" si="5"/>
        <v>24.9696</v>
      </c>
    </row>
    <row r="100" spans="1:8" ht="58.2" thickBot="1" x14ac:dyDescent="0.35">
      <c r="A100" s="8" t="s">
        <v>173</v>
      </c>
      <c r="B100" s="60" t="s">
        <v>400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8" ht="58.2" thickBot="1" x14ac:dyDescent="0.35">
      <c r="A101" s="8" t="s">
        <v>179</v>
      </c>
      <c r="B101" s="60" t="s">
        <v>400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8" ht="58.2" thickBot="1" x14ac:dyDescent="0.35">
      <c r="A102" s="8" t="s">
        <v>180</v>
      </c>
      <c r="B102" s="60" t="s">
        <v>400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8" ht="58.2" thickBot="1" x14ac:dyDescent="0.35">
      <c r="A103" s="8" t="s">
        <v>183</v>
      </c>
      <c r="B103" s="60" t="s">
        <v>400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8" ht="58.2" thickBot="1" x14ac:dyDescent="0.35">
      <c r="A104" s="8" t="s">
        <v>187</v>
      </c>
      <c r="B104" s="60" t="s">
        <v>400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8" ht="58.2" thickBot="1" x14ac:dyDescent="0.35">
      <c r="A105" s="8" t="s">
        <v>190</v>
      </c>
      <c r="B105" s="60" t="s">
        <v>400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8" ht="58.2" thickBot="1" x14ac:dyDescent="0.35">
      <c r="A106" s="8" t="s">
        <v>191</v>
      </c>
      <c r="B106" s="60" t="s">
        <v>400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8" ht="58.2" thickBot="1" x14ac:dyDescent="0.35">
      <c r="A107" s="8" t="s">
        <v>307</v>
      </c>
      <c r="B107" s="60" t="s">
        <v>400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8" ht="58.2" thickBot="1" x14ac:dyDescent="0.35">
      <c r="A108" s="8" t="s">
        <v>308</v>
      </c>
      <c r="B108" s="60" t="s">
        <v>400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8" ht="58.2" thickBot="1" x14ac:dyDescent="0.35">
      <c r="A109" s="8" t="s">
        <v>309</v>
      </c>
      <c r="B109" s="60" t="s">
        <v>400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8" ht="58.2" thickBot="1" x14ac:dyDescent="0.35">
      <c r="A110" s="8" t="s">
        <v>310</v>
      </c>
      <c r="B110" s="60" t="s">
        <v>400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8" ht="58.2" thickBot="1" x14ac:dyDescent="0.35">
      <c r="A111" s="8" t="s">
        <v>312</v>
      </c>
      <c r="B111" s="60" t="s">
        <v>400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8" ht="58.2" thickBot="1" x14ac:dyDescent="0.35">
      <c r="A112" s="8" t="s">
        <v>313</v>
      </c>
      <c r="B112" s="60" t="s">
        <v>400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8" ht="58.2" thickBot="1" x14ac:dyDescent="0.35">
      <c r="A113" s="8" t="s">
        <v>424</v>
      </c>
      <c r="B113" s="60" t="s">
        <v>400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8" ht="58.2" thickBot="1" x14ac:dyDescent="0.35">
      <c r="A114" s="8" t="s">
        <v>425</v>
      </c>
      <c r="B114" s="60" t="s">
        <v>400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8" ht="43.8" thickBot="1" x14ac:dyDescent="0.35">
      <c r="A115" s="8" t="s">
        <v>174</v>
      </c>
      <c r="B115" s="60" t="s">
        <v>402</v>
      </c>
      <c r="C115" s="6">
        <v>230.4</v>
      </c>
      <c r="D115" s="6">
        <v>0.33</v>
      </c>
      <c r="E115" s="6">
        <v>0.16</v>
      </c>
      <c r="F115" s="6">
        <v>0.96</v>
      </c>
      <c r="G115" s="6">
        <f t="shared" si="4"/>
        <v>72.99072000000001</v>
      </c>
      <c r="H115" s="15">
        <f t="shared" si="5"/>
        <v>36.864000000000004</v>
      </c>
    </row>
    <row r="116" spans="1:8" ht="29.4" thickBot="1" x14ac:dyDescent="0.35">
      <c r="A116" s="8" t="s">
        <v>175</v>
      </c>
      <c r="B116" s="60" t="s">
        <v>403</v>
      </c>
      <c r="C116" s="6">
        <v>70.400000000000006</v>
      </c>
      <c r="D116" s="6">
        <v>0.33</v>
      </c>
      <c r="E116" s="6">
        <v>0.16</v>
      </c>
      <c r="F116" s="6">
        <v>0.96</v>
      </c>
      <c r="G116" s="6">
        <f t="shared" si="4"/>
        <v>22.302720000000001</v>
      </c>
      <c r="H116" s="15">
        <f t="shared" si="5"/>
        <v>11.264000000000001</v>
      </c>
    </row>
    <row r="117" spans="1:8" ht="43.8" thickBot="1" x14ac:dyDescent="0.35">
      <c r="A117" s="8" t="s">
        <v>176</v>
      </c>
      <c r="B117" s="61" t="s">
        <v>385</v>
      </c>
      <c r="C117" s="6">
        <v>355</v>
      </c>
      <c r="D117" s="6">
        <v>0.33</v>
      </c>
      <c r="E117" s="6">
        <v>0.16</v>
      </c>
      <c r="F117" s="6">
        <v>0.96</v>
      </c>
      <c r="G117" s="6">
        <f t="shared" si="4"/>
        <v>112.464</v>
      </c>
      <c r="H117" s="15">
        <f t="shared" si="5"/>
        <v>56.800000000000004</v>
      </c>
    </row>
    <row r="118" spans="1:8" ht="29.4" thickBot="1" x14ac:dyDescent="0.35">
      <c r="A118" s="8" t="s">
        <v>184</v>
      </c>
      <c r="B118" s="59" t="s">
        <v>395</v>
      </c>
      <c r="C118" s="6">
        <v>25.4</v>
      </c>
      <c r="D118" s="6">
        <v>0.33</v>
      </c>
      <c r="E118" s="6">
        <v>0.16</v>
      </c>
      <c r="F118" s="6">
        <v>0.96</v>
      </c>
      <c r="G118" s="6">
        <f t="shared" si="4"/>
        <v>8.0467199999999988</v>
      </c>
      <c r="H118" s="15">
        <f t="shared" si="5"/>
        <v>4.0640000000000001</v>
      </c>
    </row>
    <row r="119" spans="1:8" ht="29.4" thickBot="1" x14ac:dyDescent="0.35">
      <c r="A119" s="8" t="s">
        <v>186</v>
      </c>
      <c r="B119" s="59" t="s">
        <v>395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8" ht="58.2" thickBot="1" x14ac:dyDescent="0.35">
      <c r="A120" s="8" t="s">
        <v>426</v>
      </c>
      <c r="B120" s="60" t="s">
        <v>350</v>
      </c>
      <c r="C120" s="6">
        <v>300.8</v>
      </c>
      <c r="D120" s="6">
        <v>0.33</v>
      </c>
      <c r="E120" s="6">
        <v>0.16</v>
      </c>
      <c r="F120" s="6">
        <v>0.96</v>
      </c>
      <c r="G120" s="6">
        <f t="shared" si="4"/>
        <v>95.293440000000004</v>
      </c>
      <c r="H120" s="15">
        <f t="shared" si="5"/>
        <v>48.128</v>
      </c>
    </row>
    <row r="121" spans="1:8" ht="87" thickBot="1" x14ac:dyDescent="0.35">
      <c r="A121" s="8" t="s">
        <v>76</v>
      </c>
      <c r="B121" s="60" t="s">
        <v>370</v>
      </c>
      <c r="C121" s="6">
        <v>525.79999999999995</v>
      </c>
      <c r="D121" s="6">
        <v>0.33</v>
      </c>
      <c r="E121" s="6">
        <v>0.16</v>
      </c>
      <c r="F121" s="6">
        <v>0.96</v>
      </c>
      <c r="G121" s="6">
        <f t="shared" si="4"/>
        <v>166.57343999999998</v>
      </c>
      <c r="H121" s="15">
        <f t="shared" si="5"/>
        <v>84.128</v>
      </c>
    </row>
    <row r="122" spans="1:8" ht="87" thickBot="1" x14ac:dyDescent="0.35">
      <c r="A122" s="8" t="s">
        <v>77</v>
      </c>
      <c r="B122" s="60" t="s">
        <v>370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8" ht="58.2" thickBot="1" x14ac:dyDescent="0.35">
      <c r="A123" s="8" t="s">
        <v>427</v>
      </c>
      <c r="B123" s="60" t="s">
        <v>428</v>
      </c>
      <c r="C123" s="6">
        <v>1950.4</v>
      </c>
      <c r="D123" s="6">
        <v>0.33</v>
      </c>
      <c r="E123" s="6">
        <v>0.16</v>
      </c>
      <c r="F123" s="6">
        <v>0.96</v>
      </c>
      <c r="G123" s="6">
        <f t="shared" si="4"/>
        <v>617.88672000000008</v>
      </c>
      <c r="H123" s="15">
        <f t="shared" si="5"/>
        <v>312.06400000000002</v>
      </c>
    </row>
    <row r="124" spans="1:8" ht="29.4" thickBot="1" x14ac:dyDescent="0.35">
      <c r="A124" s="8" t="s">
        <v>319</v>
      </c>
      <c r="B124" s="63" t="s">
        <v>429</v>
      </c>
      <c r="C124" s="6">
        <v>50.16</v>
      </c>
      <c r="D124" s="6">
        <v>0.33</v>
      </c>
      <c r="E124" s="6">
        <v>0.16</v>
      </c>
      <c r="F124" s="6">
        <v>0.96</v>
      </c>
      <c r="G124" s="6">
        <f t="shared" si="4"/>
        <v>15.890688000000001</v>
      </c>
      <c r="H124" s="15">
        <f t="shared" si="5"/>
        <v>8.025599999999999</v>
      </c>
    </row>
    <row r="125" spans="1:8" ht="29.4" thickBot="1" x14ac:dyDescent="0.35">
      <c r="A125" s="8" t="s">
        <v>72</v>
      </c>
      <c r="B125" s="59" t="s">
        <v>395</v>
      </c>
      <c r="C125" s="6">
        <v>25.4</v>
      </c>
      <c r="D125" s="6">
        <v>0.33</v>
      </c>
      <c r="E125" s="6">
        <v>0.16</v>
      </c>
      <c r="F125" s="6">
        <v>0.96</v>
      </c>
      <c r="G125" s="6">
        <f t="shared" si="4"/>
        <v>8.0467199999999988</v>
      </c>
      <c r="H125" s="15">
        <f t="shared" si="5"/>
        <v>4.0640000000000001</v>
      </c>
    </row>
    <row r="126" spans="1:8" ht="58.2" thickBot="1" x14ac:dyDescent="0.35">
      <c r="A126" s="23" t="s">
        <v>65</v>
      </c>
      <c r="B126" s="65" t="s">
        <v>430</v>
      </c>
      <c r="C126" s="21">
        <v>45.8</v>
      </c>
      <c r="D126" s="21">
        <v>0.33</v>
      </c>
      <c r="E126" s="21">
        <v>0.16</v>
      </c>
      <c r="F126" s="21">
        <v>0.96</v>
      </c>
      <c r="G126" s="21">
        <f t="shared" si="4"/>
        <v>14.509439999999998</v>
      </c>
      <c r="H126" s="22">
        <f t="shared" si="5"/>
        <v>7.3279999999999994</v>
      </c>
    </row>
    <row r="127" spans="1:8" ht="15" thickBot="1" x14ac:dyDescent="0.35">
      <c r="E127" s="94" t="s">
        <v>336</v>
      </c>
      <c r="F127" s="94"/>
      <c r="G127" s="78">
        <f>SUM(G94:G126)</f>
        <v>2187.573695999999</v>
      </c>
      <c r="H127" s="78">
        <f>SUM(H94:H126)</f>
        <v>1104.8352000000002</v>
      </c>
    </row>
    <row r="128" spans="1:8" ht="15" thickBot="1" x14ac:dyDescent="0.35">
      <c r="E128" s="94" t="s">
        <v>162</v>
      </c>
      <c r="F128" s="94"/>
      <c r="G128" s="94">
        <f>G127+H127</f>
        <v>3292.408895999999</v>
      </c>
      <c r="H128" s="94"/>
    </row>
  </sheetData>
  <mergeCells count="12">
    <mergeCell ref="E128:F128"/>
    <mergeCell ref="G128:H128"/>
    <mergeCell ref="E127:F127"/>
    <mergeCell ref="A1:H1"/>
    <mergeCell ref="A47:H47"/>
    <mergeCell ref="A92:H92"/>
    <mergeCell ref="E44:F44"/>
    <mergeCell ref="E45:F45"/>
    <mergeCell ref="G45:H45"/>
    <mergeCell ref="E89:F89"/>
    <mergeCell ref="E90:F90"/>
    <mergeCell ref="G90:H90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4"/>
  <sheetViews>
    <sheetView workbookViewId="0">
      <selection activeCell="I1" sqref="I1"/>
    </sheetView>
  </sheetViews>
  <sheetFormatPr defaultRowHeight="14.4" x14ac:dyDescent="0.3"/>
  <cols>
    <col min="1" max="1" width="27.5546875" customWidth="1"/>
    <col min="3" max="3" width="11.88671875" customWidth="1"/>
    <col min="4" max="4" width="11.109375" customWidth="1"/>
    <col min="7" max="7" width="10.109375" customWidth="1"/>
    <col min="11" max="11" width="10.88671875" customWidth="1"/>
  </cols>
  <sheetData>
    <row r="1" spans="1:17" x14ac:dyDescent="0.3">
      <c r="A1" s="88" t="s">
        <v>431</v>
      </c>
      <c r="B1" s="88"/>
      <c r="C1" s="88"/>
      <c r="D1" s="88"/>
      <c r="E1" s="88"/>
      <c r="F1" s="88"/>
      <c r="G1" s="88"/>
      <c r="H1" s="88"/>
    </row>
    <row r="2" spans="1:17" x14ac:dyDescent="0.3">
      <c r="A2" s="96" t="s">
        <v>432</v>
      </c>
      <c r="B2" s="96"/>
      <c r="C2" s="96"/>
      <c r="D2" s="96"/>
      <c r="E2" s="96"/>
      <c r="F2" s="96"/>
      <c r="G2" s="96"/>
      <c r="H2" s="96"/>
    </row>
    <row r="3" spans="1:17" ht="15" thickBot="1" x14ac:dyDescent="0.35">
      <c r="A3" s="16" t="s">
        <v>20</v>
      </c>
      <c r="B3" s="17" t="s">
        <v>2</v>
      </c>
      <c r="C3" s="17" t="s">
        <v>237</v>
      </c>
      <c r="D3" s="17" t="s">
        <v>433</v>
      </c>
      <c r="E3" s="17" t="s">
        <v>7</v>
      </c>
      <c r="F3" s="17" t="s">
        <v>8</v>
      </c>
      <c r="G3" s="17" t="s">
        <v>434</v>
      </c>
      <c r="H3" s="18" t="s">
        <v>10</v>
      </c>
      <c r="K3" s="1"/>
      <c r="L3" s="1"/>
    </row>
    <row r="4" spans="1:17" ht="15" thickBot="1" x14ac:dyDescent="0.35">
      <c r="A4" s="48" t="s">
        <v>124</v>
      </c>
      <c r="B4" s="81">
        <v>2.584380007</v>
      </c>
      <c r="C4" s="6">
        <v>34.276899999999998</v>
      </c>
      <c r="D4" s="6">
        <v>18</v>
      </c>
      <c r="E4" s="6">
        <v>22.5</v>
      </c>
      <c r="F4" s="6">
        <v>30.45</v>
      </c>
      <c r="G4" s="6">
        <f>((D4*0.75)+(25-E4)+(F4-29))*0.75</f>
        <v>13.087499999999999</v>
      </c>
      <c r="H4" s="15">
        <f>B4*C4*G4</f>
        <v>1159.3501026231174</v>
      </c>
      <c r="M4" s="47"/>
      <c r="N4" s="47"/>
      <c r="O4" s="47"/>
      <c r="P4" s="47"/>
      <c r="Q4" s="47"/>
    </row>
    <row r="5" spans="1:17" ht="15" thickBot="1" x14ac:dyDescent="0.35">
      <c r="A5" s="48" t="s">
        <v>170</v>
      </c>
      <c r="B5" s="81">
        <v>2.584380007</v>
      </c>
      <c r="C5" s="6">
        <v>34.26</v>
      </c>
      <c r="D5" s="6">
        <v>18</v>
      </c>
      <c r="E5" s="6">
        <v>22.5</v>
      </c>
      <c r="F5" s="6">
        <v>30.45</v>
      </c>
      <c r="G5" s="6">
        <f t="shared" ref="G5:G45" si="0">((D5*0.75)+(25-E5)+(F5-29))*0.75</f>
        <v>13.087499999999999</v>
      </c>
      <c r="H5" s="15">
        <f t="shared" ref="H5:H45" si="1">B5*C5*G5</f>
        <v>1158.7784926836441</v>
      </c>
      <c r="M5" s="47"/>
      <c r="N5" s="47"/>
      <c r="O5" s="47"/>
      <c r="P5" s="47"/>
      <c r="Q5" s="47"/>
    </row>
    <row r="6" spans="1:17" ht="15" thickBot="1" x14ac:dyDescent="0.35">
      <c r="A6" s="48" t="s">
        <v>305</v>
      </c>
      <c r="B6" s="81">
        <v>2.584380007</v>
      </c>
      <c r="C6" s="6">
        <v>37.408700000000003</v>
      </c>
      <c r="D6" s="6">
        <v>18</v>
      </c>
      <c r="E6" s="6">
        <v>22.5</v>
      </c>
      <c r="F6" s="6">
        <v>30.45</v>
      </c>
      <c r="G6" s="6">
        <f t="shared" si="0"/>
        <v>13.087499999999999</v>
      </c>
      <c r="H6" s="15">
        <f t="shared" si="1"/>
        <v>1265.2772037143795</v>
      </c>
      <c r="M6" s="47"/>
      <c r="N6" s="47"/>
      <c r="O6" s="47"/>
      <c r="P6" s="47"/>
      <c r="Q6" s="47"/>
    </row>
    <row r="7" spans="1:17" ht="15" thickBot="1" x14ac:dyDescent="0.35">
      <c r="A7" s="48" t="s">
        <v>306</v>
      </c>
      <c r="B7" s="81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M7" s="47"/>
      <c r="N7" s="47"/>
      <c r="O7" s="47"/>
      <c r="P7" s="47"/>
      <c r="Q7" s="47"/>
    </row>
    <row r="8" spans="1:17" ht="15" thickBot="1" x14ac:dyDescent="0.35">
      <c r="A8" s="48" t="s">
        <v>125</v>
      </c>
      <c r="B8" s="81">
        <v>2.584380007</v>
      </c>
      <c r="C8" s="6">
        <v>34.26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1158.7784926836441</v>
      </c>
      <c r="M8" s="47"/>
      <c r="N8" s="47"/>
      <c r="O8" s="47"/>
      <c r="P8" s="47"/>
      <c r="Q8" s="47"/>
    </row>
    <row r="9" spans="1:17" ht="15" thickBot="1" x14ac:dyDescent="0.35">
      <c r="A9" s="48" t="s">
        <v>126</v>
      </c>
      <c r="B9" s="81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M9" s="47"/>
      <c r="N9" s="47"/>
      <c r="O9" s="47"/>
      <c r="P9" s="47"/>
      <c r="Q9" s="47"/>
    </row>
    <row r="10" spans="1:17" ht="15" thickBot="1" x14ac:dyDescent="0.35">
      <c r="A10" s="48" t="s">
        <v>171</v>
      </c>
      <c r="B10" s="81">
        <v>2.584380007</v>
      </c>
      <c r="C10" s="6">
        <v>10.1393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342.9422875326116</v>
      </c>
      <c r="M10" s="47"/>
      <c r="N10" s="47"/>
      <c r="O10" s="47"/>
      <c r="P10" s="47"/>
      <c r="Q10" s="47"/>
    </row>
    <row r="11" spans="1:17" ht="15" thickBot="1" x14ac:dyDescent="0.35">
      <c r="A11" s="48" t="s">
        <v>172</v>
      </c>
      <c r="B11" s="81">
        <v>2.584380007</v>
      </c>
      <c r="C11" s="6">
        <v>13.9222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470.89159167659756</v>
      </c>
      <c r="M11" s="47"/>
      <c r="N11" s="47"/>
      <c r="O11" s="47"/>
      <c r="P11" s="47"/>
      <c r="Q11" s="47"/>
    </row>
    <row r="12" spans="1:17" ht="15" thickBot="1" x14ac:dyDescent="0.35">
      <c r="A12" s="48" t="s">
        <v>173</v>
      </c>
      <c r="B12" s="81">
        <v>2.584380007</v>
      </c>
      <c r="C12" s="6">
        <v>13.873799999999999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469.25455492686348</v>
      </c>
      <c r="M12" s="47"/>
      <c r="N12" s="47"/>
      <c r="O12" s="47"/>
      <c r="P12" s="47"/>
      <c r="Q12" s="47"/>
    </row>
    <row r="13" spans="1:17" ht="15" thickBot="1" x14ac:dyDescent="0.35">
      <c r="A13" s="48" t="s">
        <v>174</v>
      </c>
      <c r="B13" s="81">
        <v>2.584380007</v>
      </c>
      <c r="C13" s="6">
        <v>30.712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1038.7742284676031</v>
      </c>
      <c r="M13" s="47"/>
      <c r="N13" s="47"/>
      <c r="O13" s="47"/>
      <c r="P13" s="47"/>
      <c r="Q13" s="47"/>
    </row>
    <row r="14" spans="1:17" ht="15" thickBot="1" x14ac:dyDescent="0.35">
      <c r="A14" s="48" t="s">
        <v>175</v>
      </c>
      <c r="B14" s="81">
        <v>2.584380007</v>
      </c>
      <c r="C14" s="6">
        <v>17.941299999999998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606.82990574387225</v>
      </c>
      <c r="M14" s="47"/>
      <c r="N14" s="47"/>
      <c r="O14" s="47"/>
      <c r="P14" s="47"/>
      <c r="Q14" s="47"/>
    </row>
    <row r="15" spans="1:17" ht="15" thickBot="1" x14ac:dyDescent="0.35">
      <c r="A15" s="48" t="s">
        <v>176</v>
      </c>
      <c r="B15" s="81">
        <v>2.584380007</v>
      </c>
      <c r="C15" s="6">
        <v>22.829000000000001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772.14694131567171</v>
      </c>
      <c r="M15" s="47"/>
      <c r="N15" s="47"/>
      <c r="O15" s="47"/>
      <c r="P15" s="47"/>
      <c r="Q15" s="47"/>
    </row>
    <row r="16" spans="1:17" ht="15" thickBot="1" x14ac:dyDescent="0.35">
      <c r="A16" s="48" t="s">
        <v>177</v>
      </c>
      <c r="B16" s="81">
        <v>2.584380007</v>
      </c>
      <c r="C16" s="6">
        <v>4.7869000000000002</v>
      </c>
      <c r="D16" s="6">
        <v>18</v>
      </c>
      <c r="E16" s="6">
        <v>24</v>
      </c>
      <c r="F16" s="6">
        <v>30.45</v>
      </c>
      <c r="G16" s="6">
        <f t="shared" si="0"/>
        <v>11.962499999999999</v>
      </c>
      <c r="H16" s="15">
        <f t="shared" si="1"/>
        <v>147.99010504151804</v>
      </c>
      <c r="M16" s="47"/>
      <c r="N16" s="47"/>
      <c r="O16" s="47"/>
      <c r="P16" s="47"/>
      <c r="Q16" s="47"/>
    </row>
    <row r="17" spans="1:17" ht="15" thickBot="1" x14ac:dyDescent="0.35">
      <c r="A17" s="48" t="s">
        <v>178</v>
      </c>
      <c r="B17" s="81">
        <v>2.584380007</v>
      </c>
      <c r="C17" s="6">
        <v>2.4581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75.993749023910141</v>
      </c>
      <c r="M17" s="47"/>
      <c r="N17" s="47"/>
      <c r="O17" s="47"/>
      <c r="P17" s="47"/>
      <c r="Q17" s="47"/>
    </row>
    <row r="18" spans="1:17" ht="15" thickBot="1" x14ac:dyDescent="0.35">
      <c r="A18" s="48" t="s">
        <v>179</v>
      </c>
      <c r="B18" s="81">
        <v>2.584380007</v>
      </c>
      <c r="C18" s="6">
        <v>13.8735</v>
      </c>
      <c r="D18" s="6">
        <v>18</v>
      </c>
      <c r="E18" s="6">
        <v>22.5</v>
      </c>
      <c r="F18" s="6">
        <v>30.45</v>
      </c>
      <c r="G18" s="6">
        <f t="shared" si="0"/>
        <v>13.087499999999999</v>
      </c>
      <c r="H18" s="15">
        <f t="shared" si="1"/>
        <v>469.24440800486093</v>
      </c>
      <c r="M18" s="47"/>
      <c r="N18" s="47"/>
      <c r="O18" s="47"/>
      <c r="P18" s="47"/>
      <c r="Q18" s="47"/>
    </row>
    <row r="19" spans="1:17" ht="15" thickBot="1" x14ac:dyDescent="0.35">
      <c r="A19" s="48" t="s">
        <v>180</v>
      </c>
      <c r="B19" s="81">
        <v>2.584380007</v>
      </c>
      <c r="C19" s="6">
        <v>13.892799999999999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469.89719332035412</v>
      </c>
      <c r="M19" s="47"/>
      <c r="N19" s="47"/>
      <c r="O19" s="47"/>
      <c r="P19" s="47"/>
      <c r="Q19" s="47"/>
    </row>
    <row r="20" spans="1:17" ht="15" thickBot="1" x14ac:dyDescent="0.35">
      <c r="A20" s="48" t="s">
        <v>181</v>
      </c>
      <c r="B20" s="81">
        <v>2.584380007</v>
      </c>
      <c r="C20" s="6">
        <v>10.1716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344.03477280154567</v>
      </c>
      <c r="M20" s="47"/>
      <c r="N20" s="47"/>
      <c r="O20" s="47"/>
      <c r="P20" s="47"/>
      <c r="Q20" s="47"/>
    </row>
    <row r="21" spans="1:17" ht="15" thickBot="1" x14ac:dyDescent="0.35">
      <c r="A21" s="48" t="s">
        <v>183</v>
      </c>
      <c r="B21" s="81">
        <v>2.584380007</v>
      </c>
      <c r="C21" s="6">
        <v>15.8619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536.49820703732325</v>
      </c>
      <c r="M21" s="47"/>
      <c r="N21" s="47"/>
      <c r="O21" s="47"/>
      <c r="P21" s="47"/>
      <c r="Q21" s="47"/>
    </row>
    <row r="22" spans="1:17" ht="15" thickBot="1" x14ac:dyDescent="0.35">
      <c r="A22" s="48" t="s">
        <v>187</v>
      </c>
      <c r="B22" s="81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7"/>
      <c r="N22" s="47"/>
      <c r="O22" s="47"/>
      <c r="P22" s="47"/>
      <c r="Q22" s="47"/>
    </row>
    <row r="23" spans="1:17" ht="15" thickBot="1" x14ac:dyDescent="0.35">
      <c r="A23" s="48" t="s">
        <v>184</v>
      </c>
      <c r="B23" s="81">
        <v>2.584380007</v>
      </c>
      <c r="C23" s="6">
        <v>24.783000000000001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838.23722662518264</v>
      </c>
      <c r="M23" s="47"/>
      <c r="N23" s="47"/>
      <c r="O23" s="47"/>
      <c r="P23" s="47"/>
      <c r="Q23" s="47"/>
    </row>
    <row r="24" spans="1:17" ht="15" thickBot="1" x14ac:dyDescent="0.35">
      <c r="A24" s="48" t="s">
        <v>186</v>
      </c>
      <c r="B24" s="81">
        <v>2.584380007</v>
      </c>
      <c r="C24" s="6">
        <v>24.890899999999998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841.88673623874251</v>
      </c>
      <c r="M24" s="47"/>
      <c r="N24" s="47"/>
      <c r="O24" s="47"/>
      <c r="P24" s="47"/>
      <c r="Q24" s="47"/>
    </row>
    <row r="25" spans="1:17" ht="15" thickBot="1" x14ac:dyDescent="0.35">
      <c r="A25" s="48" t="s">
        <v>190</v>
      </c>
      <c r="B25" s="81">
        <v>2.584380007</v>
      </c>
      <c r="C25" s="6">
        <v>13.6813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462.74361330860307</v>
      </c>
      <c r="M25" s="47"/>
      <c r="N25" s="47"/>
      <c r="O25" s="47"/>
      <c r="P25" s="47"/>
      <c r="Q25" s="47"/>
    </row>
    <row r="26" spans="1:17" ht="15" thickBot="1" x14ac:dyDescent="0.35">
      <c r="A26" s="48" t="s">
        <v>191</v>
      </c>
      <c r="B26" s="81">
        <v>2.584380007</v>
      </c>
      <c r="C26" s="6">
        <v>13.751200000000001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465.10784613518177</v>
      </c>
      <c r="M26" s="47"/>
      <c r="N26" s="47"/>
      <c r="O26" s="47"/>
      <c r="P26" s="47"/>
      <c r="Q26" s="47"/>
    </row>
    <row r="27" spans="1:17" ht="15" thickBot="1" x14ac:dyDescent="0.35">
      <c r="A27" s="48" t="s">
        <v>307</v>
      </c>
      <c r="B27" s="81">
        <v>2.584380007</v>
      </c>
      <c r="C27" s="6">
        <v>16.011199999999999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541.54799188722598</v>
      </c>
      <c r="M27" s="47"/>
      <c r="N27" s="47"/>
      <c r="O27" s="47"/>
      <c r="P27" s="47"/>
      <c r="Q27" s="47"/>
    </row>
    <row r="28" spans="1:17" ht="15" thickBot="1" x14ac:dyDescent="0.35">
      <c r="A28" s="48" t="s">
        <v>308</v>
      </c>
      <c r="B28" s="81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7"/>
      <c r="N28" s="47"/>
      <c r="O28" s="47"/>
      <c r="P28" s="47"/>
      <c r="Q28" s="47"/>
    </row>
    <row r="29" spans="1:17" ht="15" thickBot="1" x14ac:dyDescent="0.35">
      <c r="A29" s="48" t="s">
        <v>185</v>
      </c>
      <c r="B29" s="81">
        <v>2.584380007</v>
      </c>
      <c r="C29" s="6">
        <v>8.9650999999999996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303.22723481489021</v>
      </c>
      <c r="M29" s="47"/>
      <c r="N29" s="47"/>
      <c r="O29" s="47"/>
      <c r="P29" s="47"/>
      <c r="Q29" s="47"/>
    </row>
    <row r="30" spans="1:17" ht="15" thickBot="1" x14ac:dyDescent="0.35">
      <c r="A30" s="48" t="s">
        <v>309</v>
      </c>
      <c r="B30" s="81">
        <v>2.584380007</v>
      </c>
      <c r="C30" s="6">
        <v>13.751200000000001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465.10784613518177</v>
      </c>
      <c r="M30" s="47"/>
      <c r="N30" s="47"/>
      <c r="O30" s="47"/>
      <c r="P30" s="47"/>
      <c r="Q30" s="47"/>
    </row>
    <row r="31" spans="1:17" ht="15" thickBot="1" x14ac:dyDescent="0.35">
      <c r="A31" s="48" t="s">
        <v>310</v>
      </c>
      <c r="B31" s="81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7"/>
      <c r="N31" s="47"/>
      <c r="O31" s="47"/>
      <c r="P31" s="47"/>
      <c r="Q31" s="47"/>
    </row>
    <row r="32" spans="1:17" ht="15" thickBot="1" x14ac:dyDescent="0.35">
      <c r="A32" s="48" t="s">
        <v>311</v>
      </c>
      <c r="B32" s="81">
        <v>2.584380007</v>
      </c>
      <c r="C32" s="6">
        <v>23.482900000000001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794.26384897375215</v>
      </c>
      <c r="M32" s="47"/>
      <c r="N32" s="47"/>
      <c r="O32" s="47"/>
      <c r="P32" s="47"/>
      <c r="Q32" s="47"/>
    </row>
    <row r="33" spans="1:17" ht="15" thickBot="1" x14ac:dyDescent="0.35">
      <c r="A33" s="48" t="s">
        <v>312</v>
      </c>
      <c r="B33" s="81">
        <v>2.584380007</v>
      </c>
      <c r="C33" s="6">
        <v>10.757199999999999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363.84156455039391</v>
      </c>
      <c r="M33" s="47"/>
      <c r="N33" s="47"/>
      <c r="O33" s="47"/>
      <c r="P33" s="47"/>
      <c r="Q33" s="47"/>
    </row>
    <row r="34" spans="1:17" ht="15" thickBot="1" x14ac:dyDescent="0.35">
      <c r="A34" s="48" t="s">
        <v>313</v>
      </c>
      <c r="B34" s="81">
        <v>2.584380007</v>
      </c>
      <c r="C34" s="6">
        <v>11.315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382.70807486034539</v>
      </c>
      <c r="M34" s="47"/>
      <c r="N34" s="47"/>
      <c r="O34" s="47"/>
      <c r="P34" s="47"/>
      <c r="Q34" s="47"/>
    </row>
    <row r="35" spans="1:17" ht="15" thickBot="1" x14ac:dyDescent="0.35">
      <c r="A35" s="48" t="s">
        <v>314</v>
      </c>
      <c r="B35" s="81">
        <v>2.584380007</v>
      </c>
      <c r="C35" s="6">
        <v>13.308299999999999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450.12760695218157</v>
      </c>
      <c r="M35" s="47"/>
      <c r="N35" s="47"/>
      <c r="O35" s="47"/>
      <c r="P35" s="47"/>
      <c r="Q35" s="47"/>
    </row>
    <row r="36" spans="1:17" ht="15" thickBot="1" x14ac:dyDescent="0.35">
      <c r="A36" s="48" t="s">
        <v>315</v>
      </c>
      <c r="B36" s="81">
        <v>2.584380007</v>
      </c>
      <c r="C36" s="6">
        <v>11.087199999999999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375.00317875312601</v>
      </c>
      <c r="M36" s="47"/>
      <c r="N36" s="47"/>
      <c r="O36" s="47"/>
      <c r="P36" s="47"/>
      <c r="Q36" s="47"/>
    </row>
    <row r="37" spans="1:17" ht="15" thickBot="1" x14ac:dyDescent="0.35">
      <c r="A37" s="48" t="s">
        <v>316</v>
      </c>
      <c r="B37" s="81">
        <v>2.584380007</v>
      </c>
      <c r="C37" s="6">
        <v>8.2750000000000004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279.88593190184343</v>
      </c>
      <c r="M37" s="47"/>
      <c r="N37" s="47"/>
      <c r="O37" s="47"/>
      <c r="P37" s="47"/>
      <c r="Q37" s="47"/>
    </row>
    <row r="38" spans="1:17" ht="15" thickBot="1" x14ac:dyDescent="0.35">
      <c r="A38" s="48" t="s">
        <v>317</v>
      </c>
      <c r="B38" s="81">
        <v>2.584380007</v>
      </c>
      <c r="C38" s="6">
        <v>13.467499999999999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455.51224022816632</v>
      </c>
      <c r="M38" s="47"/>
      <c r="N38" s="47"/>
      <c r="O38" s="47"/>
      <c r="P38" s="47"/>
      <c r="Q38" s="47"/>
    </row>
    <row r="39" spans="1:17" ht="15" thickBot="1" x14ac:dyDescent="0.35">
      <c r="A39" s="48" t="s">
        <v>318</v>
      </c>
      <c r="B39" s="81">
        <v>2.584380007</v>
      </c>
      <c r="C39" s="6">
        <v>183.94380000000001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6221.5446381349011</v>
      </c>
      <c r="M39" s="47"/>
      <c r="N39" s="47"/>
      <c r="O39" s="47"/>
      <c r="P39" s="47"/>
      <c r="Q39" s="47"/>
    </row>
    <row r="40" spans="1:17" ht="15" thickBot="1" x14ac:dyDescent="0.35">
      <c r="A40" s="48" t="s">
        <v>319</v>
      </c>
      <c r="B40" s="81">
        <v>2.584380007</v>
      </c>
      <c r="C40" s="6">
        <v>58.860100000000003</v>
      </c>
      <c r="D40" s="6">
        <v>18</v>
      </c>
      <c r="E40" s="6">
        <v>22.5</v>
      </c>
      <c r="F40" s="6">
        <v>30.45</v>
      </c>
      <c r="G40" s="6">
        <f t="shared" si="0"/>
        <v>13.087499999999999</v>
      </c>
      <c r="H40" s="15">
        <f t="shared" si="1"/>
        <v>1990.829479194646</v>
      </c>
      <c r="M40" s="47"/>
      <c r="N40" s="47"/>
      <c r="O40" s="47"/>
      <c r="P40" s="47"/>
      <c r="Q40" s="47"/>
    </row>
    <row r="41" spans="1:17" ht="15" thickBot="1" x14ac:dyDescent="0.35">
      <c r="A41" s="48" t="s">
        <v>311</v>
      </c>
      <c r="B41" s="81">
        <v>2.584380007</v>
      </c>
      <c r="C41" s="6">
        <v>43.5914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1474.395119263567</v>
      </c>
      <c r="M41" s="47"/>
      <c r="N41" s="47"/>
      <c r="O41" s="47"/>
      <c r="P41" s="47"/>
      <c r="Q41" s="47"/>
    </row>
    <row r="42" spans="1:17" ht="15" thickBot="1" x14ac:dyDescent="0.35">
      <c r="A42" s="48" t="s">
        <v>73</v>
      </c>
      <c r="B42" s="81">
        <v>2.584380007</v>
      </c>
      <c r="C42" s="6">
        <v>10.900600000000001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368.6917932675812</v>
      </c>
      <c r="M42" s="47"/>
      <c r="N42" s="47"/>
      <c r="O42" s="47"/>
      <c r="P42" s="47"/>
      <c r="Q42" s="47"/>
    </row>
    <row r="43" spans="1:17" ht="15" thickBot="1" x14ac:dyDescent="0.35">
      <c r="A43" s="48" t="s">
        <v>76</v>
      </c>
      <c r="B43" s="81">
        <v>2.584380007</v>
      </c>
      <c r="C43" s="6">
        <v>10.783099999999999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364.71758214994168</v>
      </c>
      <c r="M43" s="47"/>
      <c r="N43" s="47"/>
      <c r="O43" s="47"/>
      <c r="P43" s="47"/>
      <c r="Q43" s="47"/>
    </row>
    <row r="44" spans="1:17" ht="15" thickBot="1" x14ac:dyDescent="0.35">
      <c r="A44" s="48" t="s">
        <v>77</v>
      </c>
      <c r="B44" s="81">
        <v>2.584380007</v>
      </c>
      <c r="C44" s="6">
        <v>9.4162999999999997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318.48820550662572</v>
      </c>
      <c r="M44" s="47"/>
      <c r="N44" s="47"/>
      <c r="O44" s="47"/>
      <c r="P44" s="47"/>
      <c r="Q44" s="47"/>
    </row>
    <row r="45" spans="1:17" ht="15" thickBot="1" x14ac:dyDescent="0.35">
      <c r="A45" s="82" t="s">
        <v>320</v>
      </c>
      <c r="B45" s="83">
        <v>2.584380007</v>
      </c>
      <c r="C45" s="21">
        <v>26.995799999999999</v>
      </c>
      <c r="D45" s="21">
        <v>18</v>
      </c>
      <c r="E45" s="21">
        <v>22.5</v>
      </c>
      <c r="F45" s="21">
        <v>30.45</v>
      </c>
      <c r="G45" s="21">
        <f t="shared" si="0"/>
        <v>13.087499999999999</v>
      </c>
      <c r="H45" s="22">
        <f t="shared" si="1"/>
        <v>913.08092331550256</v>
      </c>
      <c r="M45" s="47"/>
      <c r="N45" s="47"/>
      <c r="O45" s="47"/>
      <c r="P45" s="47"/>
      <c r="Q45" s="47"/>
    </row>
    <row r="46" spans="1:17" ht="15" thickBot="1" x14ac:dyDescent="0.35">
      <c r="A46" s="47"/>
      <c r="B46" s="46"/>
      <c r="C46" s="46"/>
      <c r="G46" s="78" t="s">
        <v>162</v>
      </c>
      <c r="H46" s="78">
        <f>SUM(H4:H45)</f>
        <v>33124.840660252856</v>
      </c>
      <c r="M46" s="47"/>
      <c r="N46" s="47"/>
      <c r="O46" s="47"/>
      <c r="P46" s="47"/>
      <c r="Q46" s="47"/>
    </row>
    <row r="47" spans="1:17" x14ac:dyDescent="0.3">
      <c r="A47" s="46"/>
      <c r="B47" s="46"/>
      <c r="C47" s="46"/>
      <c r="G47" s="80"/>
      <c r="M47" s="47"/>
      <c r="N47" s="47"/>
    </row>
    <row r="48" spans="1:17" x14ac:dyDescent="0.3">
      <c r="M48" s="47"/>
      <c r="N48" s="47"/>
    </row>
    <row r="49" spans="13:14" x14ac:dyDescent="0.3">
      <c r="M49" s="47"/>
      <c r="N49" s="47"/>
    </row>
    <row r="50" spans="13:14" x14ac:dyDescent="0.3">
      <c r="M50" s="47"/>
      <c r="N50" s="47"/>
    </row>
    <row r="51" spans="13:14" x14ac:dyDescent="0.3">
      <c r="M51" s="47"/>
      <c r="N51" s="47"/>
    </row>
    <row r="52" spans="13:14" x14ac:dyDescent="0.3">
      <c r="M52" s="47"/>
      <c r="N52" s="47"/>
    </row>
    <row r="53" spans="13:14" x14ac:dyDescent="0.3">
      <c r="M53" s="47"/>
      <c r="N53" s="47"/>
    </row>
    <row r="54" spans="13:14" x14ac:dyDescent="0.3">
      <c r="M54" s="47"/>
      <c r="N54" s="47"/>
    </row>
    <row r="55" spans="13:14" x14ac:dyDescent="0.3">
      <c r="M55" s="47"/>
      <c r="N55" s="47"/>
    </row>
    <row r="56" spans="13:14" x14ac:dyDescent="0.3">
      <c r="M56" s="47"/>
      <c r="N56" s="47"/>
    </row>
    <row r="57" spans="13:14" x14ac:dyDescent="0.3">
      <c r="M57" s="47"/>
      <c r="N57" s="47"/>
    </row>
    <row r="58" spans="13:14" x14ac:dyDescent="0.3">
      <c r="M58" s="47"/>
      <c r="N58" s="47"/>
    </row>
    <row r="59" spans="13:14" x14ac:dyDescent="0.3">
      <c r="M59" s="47"/>
      <c r="N59" s="47"/>
    </row>
    <row r="60" spans="13:14" x14ac:dyDescent="0.3">
      <c r="M60" s="47"/>
      <c r="N60" s="47"/>
    </row>
    <row r="61" spans="13:14" x14ac:dyDescent="0.3">
      <c r="M61" s="47"/>
      <c r="N61" s="47"/>
    </row>
    <row r="62" spans="13:14" x14ac:dyDescent="0.3">
      <c r="M62" s="47"/>
      <c r="N62" s="47"/>
    </row>
    <row r="63" spans="13:14" x14ac:dyDescent="0.3">
      <c r="M63" s="47"/>
      <c r="N63" s="47"/>
    </row>
    <row r="64" spans="13:14" x14ac:dyDescent="0.3">
      <c r="M64" s="47"/>
      <c r="N64" s="47"/>
    </row>
    <row r="65" spans="13:14" x14ac:dyDescent="0.3">
      <c r="M65" s="47"/>
      <c r="N65" s="47"/>
    </row>
    <row r="66" spans="13:14" x14ac:dyDescent="0.3">
      <c r="M66" s="47"/>
      <c r="N66" s="47"/>
    </row>
    <row r="67" spans="13:14" x14ac:dyDescent="0.3">
      <c r="M67" s="47"/>
      <c r="N67" s="47"/>
    </row>
    <row r="68" spans="13:14" x14ac:dyDescent="0.3">
      <c r="M68" s="47"/>
      <c r="N68" s="47"/>
    </row>
    <row r="69" spans="13:14" x14ac:dyDescent="0.3">
      <c r="M69" s="47"/>
      <c r="N69" s="47"/>
    </row>
    <row r="70" spans="13:14" x14ac:dyDescent="0.3">
      <c r="M70" s="47"/>
      <c r="N70" s="47"/>
    </row>
    <row r="71" spans="13:14" x14ac:dyDescent="0.3">
      <c r="M71" s="47"/>
      <c r="N71" s="47"/>
    </row>
    <row r="72" spans="13:14" x14ac:dyDescent="0.3">
      <c r="M72" s="47"/>
      <c r="N72" s="47"/>
    </row>
    <row r="73" spans="13:14" x14ac:dyDescent="0.3">
      <c r="M73" s="47"/>
      <c r="N73" s="47"/>
    </row>
    <row r="74" spans="13:14" x14ac:dyDescent="0.3">
      <c r="M74" s="47"/>
      <c r="N74" s="47"/>
    </row>
  </sheetData>
  <mergeCells count="2">
    <mergeCell ref="A1:H1"/>
    <mergeCell ref="A2:H2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233"/>
  <sheetViews>
    <sheetView tabSelected="1" topLeftCell="A107" workbookViewId="0">
      <selection activeCell="L138" sqref="L138"/>
    </sheetView>
  </sheetViews>
  <sheetFormatPr defaultRowHeight="14.4" x14ac:dyDescent="0.3"/>
  <cols>
    <col min="1" max="1" width="33.5546875" style="84" customWidth="1"/>
    <col min="2" max="2" width="35.44140625" style="84" customWidth="1"/>
    <col min="3" max="9" width="8.88671875" hidden="1" customWidth="1"/>
    <col min="10" max="10" width="8.88671875" customWidth="1"/>
  </cols>
  <sheetData>
    <row r="2" spans="1:12" ht="15" thickBot="1" x14ac:dyDescent="0.35">
      <c r="A2" s="98" t="s">
        <v>0</v>
      </c>
      <c r="B2" s="99" t="s">
        <v>435</v>
      </c>
      <c r="C2" s="36" t="s">
        <v>2</v>
      </c>
      <c r="D2" s="36" t="s">
        <v>436</v>
      </c>
      <c r="E2" s="36" t="s">
        <v>7</v>
      </c>
      <c r="F2" s="36" t="s">
        <v>480</v>
      </c>
      <c r="G2" s="24" t="s">
        <v>437</v>
      </c>
      <c r="J2" t="s">
        <v>474</v>
      </c>
      <c r="K2" t="s">
        <v>475</v>
      </c>
      <c r="L2" t="s">
        <v>98</v>
      </c>
    </row>
    <row r="3" spans="1:12" ht="15" thickBot="1" x14ac:dyDescent="0.35">
      <c r="A3" s="100" t="s">
        <v>55</v>
      </c>
      <c r="B3" s="101" t="s">
        <v>65</v>
      </c>
      <c r="C3" s="6"/>
      <c r="D3" s="6">
        <f>L3-K3-J3</f>
        <v>22.2</v>
      </c>
      <c r="E3" s="6"/>
      <c r="F3" s="6"/>
      <c r="G3" s="15"/>
      <c r="K3">
        <f>0.9*2</f>
        <v>1.8</v>
      </c>
      <c r="L3">
        <f>6*4</f>
        <v>24</v>
      </c>
    </row>
    <row r="4" spans="1:12" ht="15" thickBot="1" x14ac:dyDescent="0.35">
      <c r="A4" s="100"/>
      <c r="B4" s="101" t="s">
        <v>438</v>
      </c>
      <c r="C4" s="6"/>
      <c r="D4" s="6">
        <f t="shared" ref="D4:D67" si="0">L4-K4-J4</f>
        <v>14.52</v>
      </c>
      <c r="E4" s="6"/>
      <c r="F4" s="6"/>
      <c r="G4" s="15"/>
      <c r="K4">
        <v>0</v>
      </c>
      <c r="L4">
        <f>3.63*4</f>
        <v>14.52</v>
      </c>
    </row>
    <row r="5" spans="1:12" ht="15" thickBot="1" x14ac:dyDescent="0.35">
      <c r="A5" s="100"/>
      <c r="B5" s="101" t="s">
        <v>439</v>
      </c>
      <c r="C5" s="6"/>
      <c r="D5" s="6">
        <f t="shared" si="0"/>
        <v>11.6</v>
      </c>
      <c r="E5" s="6"/>
      <c r="F5" s="6"/>
      <c r="G5" s="15"/>
      <c r="K5">
        <v>0</v>
      </c>
      <c r="L5">
        <f>2.9*4</f>
        <v>11.6</v>
      </c>
    </row>
    <row r="6" spans="1:12" ht="15" thickBot="1" x14ac:dyDescent="0.35">
      <c r="A6" s="100" t="s">
        <v>438</v>
      </c>
      <c r="B6" s="101" t="s">
        <v>439</v>
      </c>
      <c r="C6" s="6"/>
      <c r="D6" s="6">
        <f t="shared" si="0"/>
        <v>10.199999999999999</v>
      </c>
      <c r="E6" s="6"/>
      <c r="F6" s="6"/>
      <c r="G6" s="15"/>
      <c r="K6">
        <f>0.9*2</f>
        <v>1.8</v>
      </c>
      <c r="L6">
        <f>3*4</f>
        <v>12</v>
      </c>
    </row>
    <row r="7" spans="1:12" ht="15" thickBot="1" x14ac:dyDescent="0.35">
      <c r="A7" s="100"/>
      <c r="B7" s="101" t="s">
        <v>440</v>
      </c>
      <c r="C7" s="6"/>
      <c r="D7" s="6">
        <f t="shared" si="0"/>
        <v>12.719999999999999</v>
      </c>
      <c r="E7" s="6"/>
      <c r="F7" s="6"/>
      <c r="G7" s="15"/>
      <c r="K7">
        <f>0.9*2</f>
        <v>1.8</v>
      </c>
      <c r="L7">
        <f>3.63*4</f>
        <v>14.52</v>
      </c>
    </row>
    <row r="8" spans="1:12" ht="15" thickBot="1" x14ac:dyDescent="0.35">
      <c r="A8" s="100" t="s">
        <v>439</v>
      </c>
      <c r="B8" s="101" t="s">
        <v>65</v>
      </c>
      <c r="C8" s="6"/>
      <c r="D8" s="6">
        <f t="shared" si="0"/>
        <v>12</v>
      </c>
      <c r="E8" s="6"/>
      <c r="F8" s="6"/>
      <c r="G8" s="15"/>
      <c r="K8">
        <v>0</v>
      </c>
      <c r="L8">
        <f>3*4</f>
        <v>12</v>
      </c>
    </row>
    <row r="9" spans="1:12" ht="15" thickBot="1" x14ac:dyDescent="0.35">
      <c r="A9" s="100"/>
      <c r="B9" s="101" t="s">
        <v>440</v>
      </c>
      <c r="C9" s="6"/>
      <c r="D9" s="6">
        <f t="shared" si="0"/>
        <v>11.6</v>
      </c>
      <c r="E9" s="6"/>
      <c r="F9" s="6"/>
      <c r="G9" s="15"/>
      <c r="K9">
        <v>0</v>
      </c>
      <c r="L9">
        <f>2.9*4</f>
        <v>11.6</v>
      </c>
    </row>
    <row r="10" spans="1:12" ht="15" thickBot="1" x14ac:dyDescent="0.35">
      <c r="A10" s="100" t="s">
        <v>440</v>
      </c>
      <c r="B10" s="101" t="s">
        <v>65</v>
      </c>
      <c r="C10" s="6"/>
      <c r="D10" s="6">
        <f t="shared" si="0"/>
        <v>28</v>
      </c>
      <c r="E10" s="6"/>
      <c r="F10" s="6"/>
      <c r="G10" s="15"/>
      <c r="K10">
        <f>0.9*2</f>
        <v>1.8</v>
      </c>
      <c r="L10">
        <f>7.45*4</f>
        <v>29.8</v>
      </c>
    </row>
    <row r="11" spans="1:12" ht="15" thickBot="1" x14ac:dyDescent="0.35">
      <c r="A11" s="100"/>
      <c r="B11" s="101" t="s">
        <v>441</v>
      </c>
      <c r="C11" s="6"/>
      <c r="D11" s="6">
        <f t="shared" si="0"/>
        <v>11.68</v>
      </c>
      <c r="E11" s="6"/>
      <c r="F11" s="6"/>
      <c r="G11" s="15"/>
      <c r="K11">
        <f>0.9*2</f>
        <v>1.8</v>
      </c>
      <c r="L11">
        <f>3.37*4</f>
        <v>13.48</v>
      </c>
    </row>
    <row r="12" spans="1:12" ht="15" thickBot="1" x14ac:dyDescent="0.35">
      <c r="A12" s="100" t="s">
        <v>58</v>
      </c>
      <c r="B12" s="101" t="s">
        <v>65</v>
      </c>
      <c r="C12" s="6"/>
      <c r="D12" s="6">
        <f t="shared" si="0"/>
        <v>36.200000000000003</v>
      </c>
      <c r="E12" s="6"/>
      <c r="F12" s="6"/>
      <c r="G12" s="15"/>
      <c r="K12">
        <f>0.9*2</f>
        <v>1.8</v>
      </c>
      <c r="L12">
        <f>9.5*4</f>
        <v>38</v>
      </c>
    </row>
    <row r="13" spans="1:12" ht="15" thickBot="1" x14ac:dyDescent="0.35">
      <c r="A13" s="100" t="s">
        <v>59</v>
      </c>
      <c r="B13" s="101" t="s">
        <v>65</v>
      </c>
      <c r="C13" s="6"/>
      <c r="D13" s="6">
        <f t="shared" si="0"/>
        <v>36.200000000000003</v>
      </c>
      <c r="E13" s="6"/>
      <c r="F13" s="6"/>
      <c r="G13" s="15"/>
      <c r="K13">
        <f>0.9*2</f>
        <v>1.8</v>
      </c>
      <c r="L13">
        <f>9.5*4</f>
        <v>38</v>
      </c>
    </row>
    <row r="14" spans="1:12" ht="15" thickBot="1" x14ac:dyDescent="0.35">
      <c r="A14" s="100" t="s">
        <v>103</v>
      </c>
      <c r="B14" s="101" t="s">
        <v>65</v>
      </c>
      <c r="C14" s="6"/>
      <c r="D14" s="6">
        <f t="shared" si="0"/>
        <v>24.2</v>
      </c>
      <c r="E14" s="6"/>
      <c r="F14" s="6"/>
      <c r="G14" s="15"/>
      <c r="K14">
        <f>0.9*2</f>
        <v>1.8</v>
      </c>
      <c r="L14">
        <f>6.5*4</f>
        <v>26</v>
      </c>
    </row>
    <row r="15" spans="1:12" ht="15" thickBot="1" x14ac:dyDescent="0.35">
      <c r="A15" s="100"/>
      <c r="B15" s="101" t="s">
        <v>106</v>
      </c>
      <c r="C15" s="6"/>
      <c r="D15" s="6">
        <f t="shared" si="0"/>
        <v>18.799999999999997</v>
      </c>
      <c r="E15" s="6"/>
      <c r="F15" s="6"/>
      <c r="G15" s="15"/>
      <c r="K15">
        <f>0.9*2*2</f>
        <v>3.6</v>
      </c>
      <c r="L15">
        <f>5.6*4</f>
        <v>22.4</v>
      </c>
    </row>
    <row r="16" spans="1:12" ht="15" thickBot="1" x14ac:dyDescent="0.35">
      <c r="A16" s="100"/>
      <c r="B16" s="101" t="s">
        <v>443</v>
      </c>
      <c r="C16" s="6"/>
      <c r="D16" s="6">
        <f t="shared" si="0"/>
        <v>7.72</v>
      </c>
      <c r="E16" s="6"/>
      <c r="F16" s="6"/>
      <c r="G16" s="15"/>
      <c r="K16">
        <v>0</v>
      </c>
      <c r="L16">
        <f>1.93*4</f>
        <v>7.72</v>
      </c>
    </row>
    <row r="17" spans="1:12" ht="15" thickBot="1" x14ac:dyDescent="0.35">
      <c r="A17" s="100"/>
      <c r="B17" s="101" t="s">
        <v>442</v>
      </c>
      <c r="C17" s="6"/>
      <c r="D17" s="6">
        <f t="shared" si="0"/>
        <v>11.2</v>
      </c>
      <c r="E17" s="6"/>
      <c r="F17" s="6"/>
      <c r="G17" s="15"/>
      <c r="K17">
        <v>0</v>
      </c>
      <c r="L17">
        <f>2.8*4</f>
        <v>11.2</v>
      </c>
    </row>
    <row r="18" spans="1:12" ht="15" thickBot="1" x14ac:dyDescent="0.35">
      <c r="A18" s="100" t="s">
        <v>447</v>
      </c>
      <c r="B18" s="101" t="s">
        <v>106</v>
      </c>
      <c r="C18" s="6"/>
      <c r="D18" s="6">
        <f t="shared" si="0"/>
        <v>7.0000000000000009</v>
      </c>
      <c r="E18" s="6"/>
      <c r="F18" s="6"/>
      <c r="G18" s="15"/>
      <c r="K18">
        <f>0.9*2</f>
        <v>1.8</v>
      </c>
      <c r="L18">
        <f>2.2*4</f>
        <v>8.8000000000000007</v>
      </c>
    </row>
    <row r="19" spans="1:12" ht="15" thickBot="1" x14ac:dyDescent="0.35">
      <c r="A19" s="100"/>
      <c r="B19" s="101" t="s">
        <v>443</v>
      </c>
      <c r="C19" s="6"/>
      <c r="D19" s="6">
        <f t="shared" si="0"/>
        <v>8.8000000000000007</v>
      </c>
      <c r="E19" s="6"/>
      <c r="F19" s="6"/>
      <c r="G19" s="15"/>
      <c r="K19">
        <v>0</v>
      </c>
      <c r="L19">
        <f>2.2*4</f>
        <v>8.8000000000000007</v>
      </c>
    </row>
    <row r="20" spans="1:12" ht="15" thickBot="1" x14ac:dyDescent="0.35">
      <c r="A20" s="100" t="s">
        <v>444</v>
      </c>
      <c r="B20" s="101" t="s">
        <v>443</v>
      </c>
      <c r="C20" s="6"/>
      <c r="D20" s="6">
        <f t="shared" si="0"/>
        <v>5.92</v>
      </c>
      <c r="E20" s="6"/>
      <c r="F20" s="6"/>
      <c r="G20" s="15"/>
      <c r="K20">
        <f>0.9*2</f>
        <v>1.8</v>
      </c>
      <c r="L20">
        <f>1.93*4</f>
        <v>7.72</v>
      </c>
    </row>
    <row r="21" spans="1:12" ht="15" thickBot="1" x14ac:dyDescent="0.35">
      <c r="A21" s="100" t="s">
        <v>106</v>
      </c>
      <c r="B21" s="101" t="s">
        <v>65</v>
      </c>
      <c r="C21" s="6"/>
      <c r="D21" s="6">
        <f t="shared" si="0"/>
        <v>36.200000000000003</v>
      </c>
      <c r="E21" s="6"/>
      <c r="F21" s="6"/>
      <c r="G21" s="15"/>
      <c r="L21">
        <f>9.05*4</f>
        <v>36.200000000000003</v>
      </c>
    </row>
    <row r="22" spans="1:12" ht="15" thickBot="1" x14ac:dyDescent="0.35">
      <c r="A22" s="100"/>
      <c r="B22" s="101" t="s">
        <v>446</v>
      </c>
      <c r="C22" s="6"/>
      <c r="D22" s="6">
        <f t="shared" si="0"/>
        <v>3.4000000000000004</v>
      </c>
      <c r="E22" s="6"/>
      <c r="F22" s="6"/>
      <c r="G22" s="15"/>
      <c r="K22">
        <f>0.9*2</f>
        <v>1.8</v>
      </c>
      <c r="L22">
        <f>1.3*4</f>
        <v>5.2</v>
      </c>
    </row>
    <row r="23" spans="1:12" ht="15" thickBot="1" x14ac:dyDescent="0.35">
      <c r="A23" s="100"/>
      <c r="B23" s="101" t="s">
        <v>445</v>
      </c>
      <c r="C23" s="6"/>
      <c r="D23" s="6">
        <f t="shared" si="0"/>
        <v>23.759999999999998</v>
      </c>
      <c r="E23" s="6"/>
      <c r="F23" s="6"/>
      <c r="G23" s="15"/>
      <c r="K23">
        <f>0.9*2</f>
        <v>1.8</v>
      </c>
      <c r="L23">
        <f>6.39*4</f>
        <v>25.56</v>
      </c>
    </row>
    <row r="24" spans="1:12" ht="15" thickBot="1" x14ac:dyDescent="0.35">
      <c r="A24" s="100" t="s">
        <v>445</v>
      </c>
      <c r="B24" s="101" t="s">
        <v>446</v>
      </c>
      <c r="C24" s="6"/>
      <c r="D24" s="6">
        <f t="shared" si="0"/>
        <v>10.4</v>
      </c>
      <c r="E24" s="6"/>
      <c r="F24" s="6"/>
      <c r="G24" s="15"/>
      <c r="J24">
        <v>0</v>
      </c>
      <c r="K24">
        <v>0</v>
      </c>
      <c r="L24">
        <f>2.6*4</f>
        <v>10.4</v>
      </c>
    </row>
    <row r="25" spans="1:12" ht="15" thickBot="1" x14ac:dyDescent="0.35">
      <c r="A25" s="100"/>
      <c r="B25" s="101" t="s">
        <v>65</v>
      </c>
      <c r="C25" s="6"/>
      <c r="D25" s="6">
        <f t="shared" si="0"/>
        <v>10.6</v>
      </c>
      <c r="E25" s="6"/>
      <c r="F25" s="6"/>
      <c r="G25" s="15"/>
      <c r="J25">
        <v>1.4</v>
      </c>
      <c r="K25">
        <v>0</v>
      </c>
      <c r="L25">
        <f>3*4</f>
        <v>12</v>
      </c>
    </row>
    <row r="26" spans="1:12" ht="15" thickBot="1" x14ac:dyDescent="0.35">
      <c r="A26" s="100" t="s">
        <v>41</v>
      </c>
      <c r="B26" s="101" t="s">
        <v>65</v>
      </c>
      <c r="C26" s="6"/>
      <c r="D26" s="6">
        <f t="shared" si="0"/>
        <v>10.4</v>
      </c>
      <c r="E26" s="6"/>
      <c r="F26" s="6"/>
      <c r="G26" s="15"/>
      <c r="J26">
        <v>0</v>
      </c>
      <c r="K26">
        <f>0.9*2*2</f>
        <v>3.6</v>
      </c>
      <c r="L26">
        <f>3.5*4</f>
        <v>14</v>
      </c>
    </row>
    <row r="27" spans="1:12" ht="15" thickBot="1" x14ac:dyDescent="0.35">
      <c r="A27" s="100"/>
      <c r="B27" s="101" t="s">
        <v>349</v>
      </c>
      <c r="C27" s="6"/>
      <c r="D27" s="6">
        <f t="shared" si="0"/>
        <v>0</v>
      </c>
      <c r="E27" s="6"/>
      <c r="F27" s="6"/>
      <c r="G27" s="15"/>
      <c r="J27" s="97"/>
    </row>
    <row r="28" spans="1:12" ht="15" thickBot="1" x14ac:dyDescent="0.35">
      <c r="A28" s="100"/>
      <c r="B28" s="101" t="s">
        <v>121</v>
      </c>
      <c r="C28" s="6"/>
      <c r="D28" s="6">
        <f t="shared" si="0"/>
        <v>5.2</v>
      </c>
      <c r="E28" s="6"/>
      <c r="F28" s="6"/>
      <c r="G28" s="15"/>
      <c r="J28">
        <v>0</v>
      </c>
      <c r="K28">
        <v>0</v>
      </c>
      <c r="L28">
        <f>1.3*4</f>
        <v>5.2</v>
      </c>
    </row>
    <row r="29" spans="1:12" ht="15" thickBot="1" x14ac:dyDescent="0.35">
      <c r="A29" s="100" t="s">
        <v>349</v>
      </c>
      <c r="B29" s="101" t="s">
        <v>65</v>
      </c>
      <c r="C29" s="6"/>
      <c r="D29" s="6">
        <f t="shared" si="0"/>
        <v>0</v>
      </c>
      <c r="E29" s="6"/>
      <c r="F29" s="6"/>
      <c r="G29" s="15"/>
    </row>
    <row r="30" spans="1:12" ht="15" thickBot="1" x14ac:dyDescent="0.35">
      <c r="A30" s="100"/>
      <c r="B30" s="101" t="s">
        <v>448</v>
      </c>
      <c r="C30" s="6"/>
      <c r="D30" s="6">
        <f t="shared" si="0"/>
        <v>22</v>
      </c>
      <c r="E30" s="6"/>
      <c r="F30" s="6"/>
      <c r="G30" s="15"/>
      <c r="J30">
        <v>0</v>
      </c>
      <c r="K30">
        <v>0</v>
      </c>
      <c r="L30">
        <f>5.5*4</f>
        <v>22</v>
      </c>
    </row>
    <row r="31" spans="1:12" ht="15" thickBot="1" x14ac:dyDescent="0.35">
      <c r="A31" s="100" t="s">
        <v>351</v>
      </c>
      <c r="B31" s="101" t="s">
        <v>449</v>
      </c>
      <c r="C31" s="6"/>
      <c r="D31" s="6">
        <f>L31-K31-J31</f>
        <v>15.399999999999999</v>
      </c>
      <c r="E31" s="6"/>
      <c r="F31" s="6"/>
      <c r="G31" s="15"/>
      <c r="K31">
        <f>0.9*2</f>
        <v>1.8</v>
      </c>
      <c r="L31">
        <f>4.3*4</f>
        <v>17.2</v>
      </c>
    </row>
    <row r="32" spans="1:12" ht="15" thickBot="1" x14ac:dyDescent="0.35">
      <c r="A32" s="100"/>
      <c r="B32" s="101" t="s">
        <v>65</v>
      </c>
      <c r="C32" s="6"/>
      <c r="D32" s="6">
        <f t="shared" si="0"/>
        <v>54.2</v>
      </c>
      <c r="E32" s="6"/>
      <c r="F32" s="6"/>
      <c r="G32" s="15"/>
      <c r="J32">
        <f>1.4*2</f>
        <v>2.8</v>
      </c>
      <c r="K32">
        <f>0.9*2</f>
        <v>1.8</v>
      </c>
      <c r="L32">
        <f>14.7*4</f>
        <v>58.8</v>
      </c>
    </row>
    <row r="33" spans="1:12" ht="15" thickBot="1" x14ac:dyDescent="0.35">
      <c r="A33" s="100"/>
      <c r="B33" s="101" t="s">
        <v>450</v>
      </c>
      <c r="C33" s="6"/>
      <c r="D33" s="6">
        <f t="shared" si="0"/>
        <v>24</v>
      </c>
      <c r="E33" s="6"/>
      <c r="F33" s="6"/>
      <c r="G33" s="15"/>
      <c r="J33">
        <v>0</v>
      </c>
      <c r="K33">
        <v>0</v>
      </c>
      <c r="L33">
        <f>6*4</f>
        <v>24</v>
      </c>
    </row>
    <row r="34" spans="1:12" ht="15" thickBot="1" x14ac:dyDescent="0.35">
      <c r="A34" s="100" t="s">
        <v>449</v>
      </c>
      <c r="B34" s="101" t="s">
        <v>65</v>
      </c>
      <c r="C34" s="6"/>
      <c r="D34" s="6">
        <f t="shared" si="0"/>
        <v>16.8</v>
      </c>
      <c r="E34" s="6"/>
      <c r="F34" s="6"/>
      <c r="G34" s="15"/>
      <c r="J34">
        <v>0</v>
      </c>
      <c r="K34">
        <v>0</v>
      </c>
      <c r="L34">
        <f>4.2*4</f>
        <v>16.8</v>
      </c>
    </row>
    <row r="35" spans="1:12" ht="15" thickBot="1" x14ac:dyDescent="0.35">
      <c r="A35" s="100" t="s">
        <v>450</v>
      </c>
      <c r="B35" s="101" t="s">
        <v>65</v>
      </c>
      <c r="C35" s="6"/>
      <c r="D35" s="6">
        <f t="shared" si="0"/>
        <v>45.320000000000007</v>
      </c>
      <c r="E35" s="6"/>
      <c r="F35" s="6"/>
      <c r="G35" s="15"/>
      <c r="J35">
        <v>4.08</v>
      </c>
      <c r="K35">
        <f>0.9*2</f>
        <v>1.8</v>
      </c>
      <c r="L35">
        <f>12.8*4</f>
        <v>51.2</v>
      </c>
    </row>
    <row r="36" spans="1:12" ht="15" thickBot="1" x14ac:dyDescent="0.35">
      <c r="A36" s="100"/>
      <c r="B36" s="101" t="s">
        <v>353</v>
      </c>
      <c r="C36" s="6"/>
      <c r="D36" s="6">
        <f t="shared" si="0"/>
        <v>24</v>
      </c>
      <c r="E36" s="6"/>
      <c r="F36" s="6"/>
      <c r="G36" s="15"/>
      <c r="J36">
        <v>0</v>
      </c>
      <c r="K36">
        <v>0</v>
      </c>
      <c r="L36">
        <f>6*4</f>
        <v>24</v>
      </c>
    </row>
    <row r="37" spans="1:12" ht="15" thickBot="1" x14ac:dyDescent="0.35">
      <c r="A37" s="100" t="s">
        <v>353</v>
      </c>
      <c r="B37" s="101" t="s">
        <v>65</v>
      </c>
      <c r="C37" s="6"/>
      <c r="D37" s="6">
        <f t="shared" si="0"/>
        <v>43.800000000000004</v>
      </c>
      <c r="E37" s="6"/>
      <c r="F37" s="6"/>
      <c r="G37" s="15"/>
      <c r="J37">
        <v>2.4</v>
      </c>
      <c r="K37">
        <f>0.9*2</f>
        <v>1.8</v>
      </c>
      <c r="L37">
        <f>12*4</f>
        <v>48</v>
      </c>
    </row>
    <row r="38" spans="1:12" ht="15" thickBot="1" x14ac:dyDescent="0.35">
      <c r="A38" s="100" t="s">
        <v>121</v>
      </c>
      <c r="B38" s="101" t="s">
        <v>120</v>
      </c>
      <c r="C38" s="6"/>
      <c r="D38" s="6">
        <f t="shared" si="0"/>
        <v>9</v>
      </c>
      <c r="E38" s="6"/>
      <c r="F38" s="6"/>
      <c r="G38" s="15"/>
      <c r="J38">
        <v>0</v>
      </c>
      <c r="K38">
        <v>0</v>
      </c>
      <c r="L38">
        <f>2.25*4</f>
        <v>9</v>
      </c>
    </row>
    <row r="39" spans="1:12" ht="15" thickBot="1" x14ac:dyDescent="0.35">
      <c r="A39" s="100"/>
      <c r="B39" s="101" t="s">
        <v>311</v>
      </c>
      <c r="C39" s="6"/>
      <c r="D39" s="6">
        <f t="shared" si="0"/>
        <v>19.8</v>
      </c>
      <c r="E39" s="6"/>
      <c r="F39" s="6"/>
      <c r="G39" s="15"/>
      <c r="J39">
        <v>0</v>
      </c>
      <c r="K39">
        <f>0.9*2</f>
        <v>1.8</v>
      </c>
      <c r="L39">
        <f>5.4*4</f>
        <v>21.6</v>
      </c>
    </row>
    <row r="40" spans="1:12" ht="15" thickBot="1" x14ac:dyDescent="0.35">
      <c r="A40" s="100"/>
      <c r="B40" s="101" t="s">
        <v>65</v>
      </c>
      <c r="C40" s="6"/>
      <c r="D40" s="6">
        <f t="shared" si="0"/>
        <v>12.2</v>
      </c>
      <c r="E40" s="6"/>
      <c r="F40" s="6"/>
      <c r="G40" s="15"/>
      <c r="J40">
        <v>0</v>
      </c>
      <c r="K40">
        <v>0</v>
      </c>
      <c r="L40">
        <f>3.05*4</f>
        <v>12.2</v>
      </c>
    </row>
    <row r="41" spans="1:12" ht="15" thickBot="1" x14ac:dyDescent="0.35">
      <c r="A41" s="100" t="s">
        <v>38</v>
      </c>
      <c r="B41" s="101" t="s">
        <v>451</v>
      </c>
      <c r="C41" s="6"/>
      <c r="D41" s="6">
        <f t="shared" si="0"/>
        <v>8.8000000000000007</v>
      </c>
      <c r="E41" s="6"/>
      <c r="F41" s="6"/>
      <c r="G41" s="15"/>
      <c r="J41">
        <v>0</v>
      </c>
      <c r="K41">
        <v>0</v>
      </c>
      <c r="L41">
        <f>2.2*4</f>
        <v>8.8000000000000007</v>
      </c>
    </row>
    <row r="42" spans="1:12" ht="15" thickBot="1" x14ac:dyDescent="0.35">
      <c r="A42" s="100"/>
      <c r="B42" s="101" t="s">
        <v>311</v>
      </c>
      <c r="C42" s="6"/>
      <c r="D42" s="6">
        <f t="shared" si="0"/>
        <v>5.8</v>
      </c>
      <c r="E42" s="6"/>
      <c r="F42" s="6"/>
      <c r="G42" s="15"/>
      <c r="J42">
        <v>0</v>
      </c>
      <c r="K42">
        <v>0</v>
      </c>
      <c r="L42">
        <f>1.45*4</f>
        <v>5.8</v>
      </c>
    </row>
    <row r="43" spans="1:12" ht="15" thickBot="1" x14ac:dyDescent="0.35">
      <c r="A43" s="100"/>
      <c r="B43" s="101" t="s">
        <v>452</v>
      </c>
      <c r="C43" s="6"/>
      <c r="D43" s="6">
        <f t="shared" si="0"/>
        <v>14.6</v>
      </c>
      <c r="E43" s="6"/>
      <c r="F43" s="6"/>
      <c r="G43" s="15"/>
      <c r="J43">
        <v>0</v>
      </c>
      <c r="K43">
        <v>0</v>
      </c>
      <c r="L43">
        <f>3.65*4</f>
        <v>14.6</v>
      </c>
    </row>
    <row r="44" spans="1:12" ht="15" thickBot="1" x14ac:dyDescent="0.35">
      <c r="A44" s="100"/>
      <c r="B44" s="101" t="s">
        <v>453</v>
      </c>
      <c r="C44" s="6"/>
      <c r="D44" s="6">
        <f t="shared" si="0"/>
        <v>4.84</v>
      </c>
      <c r="E44" s="6"/>
      <c r="F44" s="6"/>
      <c r="G44" s="15"/>
      <c r="J44">
        <v>0</v>
      </c>
      <c r="K44">
        <f>0.9*2</f>
        <v>1.8</v>
      </c>
      <c r="L44">
        <f>1.66*4</f>
        <v>6.64</v>
      </c>
    </row>
    <row r="45" spans="1:12" ht="15" thickBot="1" x14ac:dyDescent="0.35">
      <c r="A45" s="100" t="s">
        <v>311</v>
      </c>
      <c r="B45" s="101" t="s">
        <v>120</v>
      </c>
      <c r="C45" s="6"/>
      <c r="D45" s="6">
        <f t="shared" si="0"/>
        <v>4.6000000000000005</v>
      </c>
      <c r="E45" s="6"/>
      <c r="F45" s="6"/>
      <c r="G45" s="15"/>
      <c r="J45">
        <v>0</v>
      </c>
      <c r="K45">
        <f>0.9*2</f>
        <v>1.8</v>
      </c>
      <c r="L45">
        <f>1.6*4</f>
        <v>6.4</v>
      </c>
    </row>
    <row r="46" spans="1:12" ht="15" thickBot="1" x14ac:dyDescent="0.35">
      <c r="A46" s="100"/>
      <c r="B46" s="101" t="s">
        <v>65</v>
      </c>
      <c r="C46" s="6"/>
      <c r="D46" s="6">
        <f t="shared" si="0"/>
        <v>15.999999999999998</v>
      </c>
      <c r="E46" s="6"/>
      <c r="F46" s="6"/>
      <c r="G46" s="15"/>
      <c r="J46">
        <v>0</v>
      </c>
      <c r="K46">
        <f>2.4</f>
        <v>2.4</v>
      </c>
      <c r="L46">
        <f>4.6*4</f>
        <v>18.399999999999999</v>
      </c>
    </row>
    <row r="47" spans="1:12" ht="15" thickBot="1" x14ac:dyDescent="0.35">
      <c r="A47" s="100" t="s">
        <v>452</v>
      </c>
      <c r="B47" s="101" t="s">
        <v>453</v>
      </c>
      <c r="C47" s="6"/>
      <c r="D47" s="6">
        <f t="shared" si="0"/>
        <v>6</v>
      </c>
      <c r="E47" s="6"/>
      <c r="F47" s="6"/>
      <c r="G47" s="15"/>
      <c r="J47">
        <v>0</v>
      </c>
      <c r="K47">
        <v>0</v>
      </c>
      <c r="L47">
        <f>1.5*4</f>
        <v>6</v>
      </c>
    </row>
    <row r="48" spans="1:12" ht="15" thickBot="1" x14ac:dyDescent="0.35">
      <c r="A48" s="100"/>
      <c r="B48" s="101" t="s">
        <v>457</v>
      </c>
      <c r="C48" s="6"/>
      <c r="D48" s="6">
        <f t="shared" si="0"/>
        <v>6</v>
      </c>
      <c r="E48" s="6"/>
      <c r="F48" s="6"/>
      <c r="G48" s="15"/>
      <c r="J48">
        <v>0</v>
      </c>
      <c r="K48">
        <v>0</v>
      </c>
      <c r="L48">
        <f>1.5*4</f>
        <v>6</v>
      </c>
    </row>
    <row r="49" spans="1:12" ht="15" thickBot="1" x14ac:dyDescent="0.35">
      <c r="A49" s="100"/>
      <c r="B49" s="101" t="s">
        <v>454</v>
      </c>
      <c r="C49" s="6"/>
      <c r="D49" s="6">
        <f t="shared" si="0"/>
        <v>6.8</v>
      </c>
      <c r="E49" s="6"/>
      <c r="F49" s="6"/>
      <c r="G49" s="15"/>
      <c r="J49">
        <v>0</v>
      </c>
      <c r="K49">
        <v>0</v>
      </c>
      <c r="L49">
        <f>1.7*4</f>
        <v>6.8</v>
      </c>
    </row>
    <row r="50" spans="1:12" ht="15" thickBot="1" x14ac:dyDescent="0.35">
      <c r="A50" s="100"/>
      <c r="B50" s="101" t="s">
        <v>456</v>
      </c>
      <c r="C50" s="6"/>
      <c r="D50" s="6">
        <f>L50-K50-J50</f>
        <v>13</v>
      </c>
      <c r="E50" s="6"/>
      <c r="F50" s="6"/>
      <c r="G50" s="15"/>
      <c r="J50">
        <v>0</v>
      </c>
      <c r="K50">
        <f>0.8*2</f>
        <v>1.6</v>
      </c>
      <c r="L50">
        <f>3.65*4</f>
        <v>14.6</v>
      </c>
    </row>
    <row r="51" spans="1:12" ht="15" thickBot="1" x14ac:dyDescent="0.35">
      <c r="A51" s="100" t="s">
        <v>455</v>
      </c>
      <c r="B51" s="101" t="s">
        <v>65</v>
      </c>
      <c r="C51" s="6"/>
      <c r="D51" s="6">
        <f t="shared" si="0"/>
        <v>9.3999999999999986</v>
      </c>
      <c r="E51" s="6"/>
      <c r="F51" s="6"/>
      <c r="G51" s="15"/>
      <c r="J51">
        <v>1.4</v>
      </c>
      <c r="K51">
        <f>0.9*2</f>
        <v>1.8</v>
      </c>
      <c r="L51">
        <f>3.15*4</f>
        <v>12.6</v>
      </c>
    </row>
    <row r="52" spans="1:12" ht="15" thickBot="1" x14ac:dyDescent="0.35">
      <c r="A52" s="100"/>
      <c r="B52" s="101" t="s">
        <v>456</v>
      </c>
      <c r="C52" s="6"/>
      <c r="D52" s="6">
        <f t="shared" si="0"/>
        <v>10.6</v>
      </c>
      <c r="E52" s="6"/>
      <c r="F52" s="6"/>
      <c r="G52" s="15"/>
      <c r="J52">
        <v>0</v>
      </c>
      <c r="K52">
        <f>0.9*2</f>
        <v>1.8</v>
      </c>
      <c r="L52">
        <f>3.1*4</f>
        <v>12.4</v>
      </c>
    </row>
    <row r="53" spans="1:12" ht="15" thickBot="1" x14ac:dyDescent="0.35">
      <c r="A53" s="100" t="s">
        <v>456</v>
      </c>
      <c r="B53" s="101" t="s">
        <v>457</v>
      </c>
      <c r="C53" s="6"/>
      <c r="D53" s="6">
        <f t="shared" si="0"/>
        <v>14.32</v>
      </c>
      <c r="E53" s="6"/>
      <c r="F53" s="6"/>
      <c r="G53" s="15"/>
      <c r="J53">
        <v>0</v>
      </c>
      <c r="K53">
        <v>0</v>
      </c>
      <c r="L53">
        <f>3.58*4</f>
        <v>14.32</v>
      </c>
    </row>
    <row r="54" spans="1:12" ht="15" thickBot="1" x14ac:dyDescent="0.35">
      <c r="A54" s="100"/>
      <c r="B54" s="101" t="s">
        <v>458</v>
      </c>
      <c r="C54" s="6"/>
      <c r="D54" s="6">
        <f t="shared" si="0"/>
        <v>19.399999999999999</v>
      </c>
      <c r="E54" s="6"/>
      <c r="F54" s="6"/>
      <c r="G54" s="15"/>
      <c r="J54">
        <v>0</v>
      </c>
      <c r="K54">
        <v>0</v>
      </c>
      <c r="L54">
        <f>4.85*4</f>
        <v>19.399999999999999</v>
      </c>
    </row>
    <row r="55" spans="1:12" ht="15" thickBot="1" x14ac:dyDescent="0.35">
      <c r="A55" s="100"/>
      <c r="B55" s="101" t="s">
        <v>37</v>
      </c>
      <c r="C55" s="6"/>
      <c r="D55" s="6">
        <f t="shared" si="0"/>
        <v>3.4</v>
      </c>
      <c r="E55" s="6"/>
      <c r="F55" s="6"/>
      <c r="G55" s="15"/>
      <c r="J55">
        <v>0</v>
      </c>
      <c r="K55">
        <v>0</v>
      </c>
      <c r="L55">
        <f>0.85*4</f>
        <v>3.4</v>
      </c>
    </row>
    <row r="56" spans="1:12" ht="15" thickBot="1" x14ac:dyDescent="0.35">
      <c r="A56" s="100"/>
      <c r="B56" s="101" t="s">
        <v>65</v>
      </c>
      <c r="C56" s="6"/>
      <c r="D56" s="6">
        <f t="shared" si="0"/>
        <v>21.720000000000002</v>
      </c>
      <c r="E56" s="6"/>
      <c r="F56" s="6"/>
      <c r="G56" s="15"/>
      <c r="J56">
        <v>0</v>
      </c>
      <c r="K56">
        <v>2.4</v>
      </c>
      <c r="L56">
        <f>6.03*4</f>
        <v>24.12</v>
      </c>
    </row>
    <row r="57" spans="1:12" ht="15" thickBot="1" x14ac:dyDescent="0.35">
      <c r="A57" s="100" t="s">
        <v>37</v>
      </c>
      <c r="B57" s="101" t="s">
        <v>51</v>
      </c>
      <c r="C57" s="6"/>
      <c r="D57" s="6">
        <f t="shared" si="0"/>
        <v>10.199999999999999</v>
      </c>
      <c r="E57" s="6"/>
      <c r="F57" s="6"/>
      <c r="G57" s="15"/>
      <c r="J57">
        <v>0</v>
      </c>
      <c r="K57">
        <f>0.9*2</f>
        <v>1.8</v>
      </c>
      <c r="L57">
        <f>3*4</f>
        <v>12</v>
      </c>
    </row>
    <row r="58" spans="1:12" ht="15" thickBot="1" x14ac:dyDescent="0.35">
      <c r="A58" s="100"/>
      <c r="B58" s="101" t="s">
        <v>458</v>
      </c>
      <c r="C58" s="6"/>
      <c r="D58" s="6">
        <f t="shared" si="0"/>
        <v>10.199999999999999</v>
      </c>
      <c r="E58" s="6"/>
      <c r="F58" s="6"/>
      <c r="G58" s="15"/>
      <c r="J58">
        <v>0</v>
      </c>
      <c r="K58">
        <v>1.8</v>
      </c>
      <c r="L58">
        <f>3*4</f>
        <v>12</v>
      </c>
    </row>
    <row r="59" spans="1:12" ht="15" thickBot="1" x14ac:dyDescent="0.35">
      <c r="A59" s="100"/>
      <c r="B59" s="101" t="s">
        <v>457</v>
      </c>
      <c r="C59" s="6"/>
      <c r="D59" s="6">
        <f t="shared" si="0"/>
        <v>8.8800000000000008</v>
      </c>
      <c r="E59" s="6"/>
      <c r="F59" s="6"/>
      <c r="G59" s="15"/>
      <c r="J59">
        <v>0</v>
      </c>
      <c r="K59">
        <v>0</v>
      </c>
      <c r="L59">
        <f>2.22*4</f>
        <v>8.8800000000000008</v>
      </c>
    </row>
    <row r="60" spans="1:12" ht="15" thickBot="1" x14ac:dyDescent="0.35">
      <c r="A60" s="100" t="s">
        <v>458</v>
      </c>
      <c r="B60" s="101" t="s">
        <v>51</v>
      </c>
      <c r="C60" s="6"/>
      <c r="D60" s="6">
        <f t="shared" si="0"/>
        <v>22</v>
      </c>
      <c r="E60" s="6"/>
      <c r="F60" s="6"/>
      <c r="G60" s="15"/>
      <c r="J60">
        <v>0</v>
      </c>
      <c r="K60">
        <v>1.8</v>
      </c>
      <c r="L60">
        <f>5.95*4</f>
        <v>23.8</v>
      </c>
    </row>
    <row r="61" spans="1:12" ht="15" thickBot="1" x14ac:dyDescent="0.35">
      <c r="A61" s="100"/>
      <c r="B61" s="101" t="s">
        <v>65</v>
      </c>
      <c r="C61" s="6"/>
      <c r="D61" s="6">
        <f t="shared" si="0"/>
        <v>10.719999999999999</v>
      </c>
      <c r="E61" s="6"/>
      <c r="F61" s="6"/>
      <c r="G61" s="15"/>
      <c r="J61">
        <v>1.4</v>
      </c>
      <c r="K61">
        <v>0</v>
      </c>
      <c r="L61">
        <f>3.03*4</f>
        <v>12.12</v>
      </c>
    </row>
    <row r="62" spans="1:12" ht="15" thickBot="1" x14ac:dyDescent="0.35">
      <c r="A62" s="100" t="s">
        <v>51</v>
      </c>
      <c r="B62" s="101" t="s">
        <v>459</v>
      </c>
      <c r="C62" s="6"/>
      <c r="D62" s="6">
        <f>L62-K62-J62</f>
        <v>17.2</v>
      </c>
      <c r="E62" s="6"/>
      <c r="F62" s="6"/>
      <c r="G62" s="15"/>
      <c r="J62">
        <v>0</v>
      </c>
      <c r="K62">
        <v>1.6</v>
      </c>
      <c r="L62">
        <f>4.7*4</f>
        <v>18.8</v>
      </c>
    </row>
    <row r="63" spans="1:12" ht="15" thickBot="1" x14ac:dyDescent="0.35">
      <c r="A63" s="100"/>
      <c r="B63" s="101" t="s">
        <v>65</v>
      </c>
      <c r="C63" s="6"/>
      <c r="D63" s="6">
        <f t="shared" si="0"/>
        <v>38</v>
      </c>
      <c r="E63" s="6"/>
      <c r="F63" s="6"/>
      <c r="G63" s="15"/>
      <c r="J63">
        <v>0</v>
      </c>
      <c r="K63">
        <v>2</v>
      </c>
      <c r="L63">
        <f>10*4</f>
        <v>40</v>
      </c>
    </row>
    <row r="64" spans="1:12" ht="15" thickBot="1" x14ac:dyDescent="0.35">
      <c r="A64" s="100" t="s">
        <v>460</v>
      </c>
      <c r="B64" s="101" t="s">
        <v>65</v>
      </c>
      <c r="C64" s="6"/>
      <c r="D64" s="6">
        <f t="shared" si="0"/>
        <v>28.400000000000002</v>
      </c>
      <c r="E64" s="6"/>
      <c r="F64" s="6"/>
      <c r="G64" s="15"/>
      <c r="J64">
        <v>1.2</v>
      </c>
      <c r="K64">
        <v>2.4</v>
      </c>
      <c r="L64">
        <f>8*4</f>
        <v>32</v>
      </c>
    </row>
    <row r="65" spans="1:12" ht="15" thickBot="1" x14ac:dyDescent="0.35">
      <c r="A65" s="100"/>
      <c r="B65" s="101" t="s">
        <v>460</v>
      </c>
      <c r="C65" s="6"/>
      <c r="D65" s="6">
        <f t="shared" si="0"/>
        <v>19.440000000000001</v>
      </c>
      <c r="E65" s="6"/>
      <c r="F65" s="6"/>
      <c r="G65" s="15"/>
      <c r="J65">
        <v>0</v>
      </c>
      <c r="K65">
        <v>0</v>
      </c>
      <c r="L65">
        <f>4.86*4</f>
        <v>19.440000000000001</v>
      </c>
    </row>
    <row r="66" spans="1:12" ht="15" thickBot="1" x14ac:dyDescent="0.35">
      <c r="A66" s="100"/>
      <c r="B66" s="101" t="s">
        <v>461</v>
      </c>
      <c r="C66" s="6"/>
      <c r="D66" s="6">
        <f t="shared" si="0"/>
        <v>12.56</v>
      </c>
      <c r="E66" s="6"/>
      <c r="F66" s="6"/>
      <c r="G66" s="15"/>
      <c r="J66">
        <v>0</v>
      </c>
      <c r="K66">
        <v>0</v>
      </c>
      <c r="L66">
        <f>3.14*4</f>
        <v>12.56</v>
      </c>
    </row>
    <row r="67" spans="1:12" ht="15" thickBot="1" x14ac:dyDescent="0.35">
      <c r="A67" s="100" t="s">
        <v>460</v>
      </c>
      <c r="B67" s="101" t="s">
        <v>65</v>
      </c>
      <c r="C67" s="6"/>
      <c r="D67" s="6">
        <f t="shared" si="0"/>
        <v>18.400000000000002</v>
      </c>
      <c r="E67" s="6"/>
      <c r="F67" s="6"/>
      <c r="G67" s="15"/>
      <c r="J67">
        <v>1.2</v>
      </c>
      <c r="K67">
        <v>2.4</v>
      </c>
      <c r="L67">
        <f>5.5*4</f>
        <v>22</v>
      </c>
    </row>
    <row r="68" spans="1:12" ht="15" thickBot="1" x14ac:dyDescent="0.35">
      <c r="A68" s="100"/>
      <c r="B68" s="101" t="s">
        <v>461</v>
      </c>
      <c r="C68" s="6"/>
      <c r="D68" s="6">
        <f t="shared" ref="D68:D75" si="1">L68-K68-J68</f>
        <v>12.56</v>
      </c>
      <c r="E68" s="6"/>
      <c r="F68" s="6"/>
      <c r="G68" s="15"/>
      <c r="J68">
        <v>0</v>
      </c>
      <c r="K68">
        <v>0</v>
      </c>
      <c r="L68">
        <f>3.14*4</f>
        <v>12.56</v>
      </c>
    </row>
    <row r="69" spans="1:12" ht="15" thickBot="1" x14ac:dyDescent="0.35">
      <c r="A69" s="100"/>
      <c r="B69" s="101" t="s">
        <v>185</v>
      </c>
      <c r="C69" s="6"/>
      <c r="D69" s="6">
        <f t="shared" si="1"/>
        <v>10</v>
      </c>
      <c r="E69" s="6"/>
      <c r="F69" s="6"/>
      <c r="G69" s="15"/>
      <c r="J69">
        <v>0</v>
      </c>
      <c r="K69">
        <v>0</v>
      </c>
      <c r="L69">
        <f>2.5*4</f>
        <v>10</v>
      </c>
    </row>
    <row r="70" spans="1:12" ht="15" thickBot="1" x14ac:dyDescent="0.35">
      <c r="A70" s="100" t="s">
        <v>461</v>
      </c>
      <c r="B70" s="101" t="s">
        <v>65</v>
      </c>
      <c r="C70" s="6"/>
      <c r="D70" s="6">
        <f t="shared" si="1"/>
        <v>28.400000000000002</v>
      </c>
      <c r="E70" s="6"/>
      <c r="F70" s="6"/>
      <c r="G70" s="15"/>
      <c r="J70">
        <v>1.2</v>
      </c>
      <c r="K70">
        <v>2.4</v>
      </c>
      <c r="L70">
        <f>8*4</f>
        <v>32</v>
      </c>
    </row>
    <row r="71" spans="1:12" ht="15" thickBot="1" x14ac:dyDescent="0.35">
      <c r="A71" s="100"/>
      <c r="B71" s="101" t="s">
        <v>461</v>
      </c>
      <c r="C71" s="6"/>
      <c r="D71" s="6">
        <f t="shared" si="1"/>
        <v>19.440000000000001</v>
      </c>
      <c r="E71" s="6"/>
      <c r="F71" s="6"/>
      <c r="G71" s="15"/>
      <c r="J71">
        <v>0</v>
      </c>
      <c r="K71">
        <v>0</v>
      </c>
      <c r="L71">
        <f>4.86*4</f>
        <v>19.440000000000001</v>
      </c>
    </row>
    <row r="72" spans="1:12" ht="15" thickBot="1" x14ac:dyDescent="0.35">
      <c r="A72" s="100" t="s">
        <v>461</v>
      </c>
      <c r="B72" s="101" t="s">
        <v>65</v>
      </c>
      <c r="C72" s="6"/>
      <c r="D72" s="6">
        <f t="shared" si="1"/>
        <v>8.9600000000000009</v>
      </c>
      <c r="E72" s="6"/>
      <c r="F72" s="6"/>
      <c r="G72" s="15"/>
      <c r="J72">
        <v>1.2</v>
      </c>
      <c r="K72">
        <v>2.4</v>
      </c>
      <c r="L72">
        <f>3.14*4</f>
        <v>12.56</v>
      </c>
    </row>
    <row r="73" spans="1:12" ht="15" thickBot="1" x14ac:dyDescent="0.35">
      <c r="A73" s="100"/>
      <c r="B73" s="101" t="s">
        <v>462</v>
      </c>
      <c r="C73" s="6"/>
      <c r="D73" s="6">
        <f t="shared" si="1"/>
        <v>9.92</v>
      </c>
      <c r="E73" s="6"/>
      <c r="F73" s="6"/>
      <c r="G73" s="15"/>
      <c r="J73">
        <v>0</v>
      </c>
      <c r="K73">
        <v>0</v>
      </c>
      <c r="L73">
        <f>2.48*4</f>
        <v>9.92</v>
      </c>
    </row>
    <row r="74" spans="1:12" ht="15" thickBot="1" x14ac:dyDescent="0.35">
      <c r="A74" s="100"/>
      <c r="B74" s="101" t="s">
        <v>463</v>
      </c>
      <c r="C74" s="6"/>
      <c r="D74" s="6">
        <f t="shared" si="1"/>
        <v>9.52</v>
      </c>
      <c r="E74" s="6"/>
      <c r="F74" s="6"/>
      <c r="G74" s="15"/>
      <c r="J74">
        <v>0</v>
      </c>
      <c r="K74">
        <v>0</v>
      </c>
      <c r="L74">
        <f>2.38*4</f>
        <v>9.52</v>
      </c>
    </row>
    <row r="75" spans="1:12" ht="15" thickBot="1" x14ac:dyDescent="0.35">
      <c r="A75" s="100" t="s">
        <v>462</v>
      </c>
      <c r="B75" s="101" t="s">
        <v>185</v>
      </c>
      <c r="C75" s="6"/>
      <c r="D75" s="6">
        <f t="shared" si="1"/>
        <v>19.2</v>
      </c>
      <c r="E75" s="6"/>
      <c r="F75" s="6"/>
      <c r="G75" s="15"/>
      <c r="J75">
        <v>0</v>
      </c>
      <c r="K75">
        <v>0</v>
      </c>
      <c r="L75">
        <f>4.8*4</f>
        <v>19.2</v>
      </c>
    </row>
    <row r="76" spans="1:12" ht="15" thickBot="1" x14ac:dyDescent="0.35">
      <c r="A76" s="100"/>
      <c r="B76" s="101" t="s">
        <v>463</v>
      </c>
      <c r="C76" s="6"/>
      <c r="D76" s="6">
        <f>L76-K76-J76</f>
        <v>17.599999999999998</v>
      </c>
      <c r="E76" s="6"/>
      <c r="F76" s="6"/>
      <c r="G76" s="15"/>
      <c r="J76">
        <v>0</v>
      </c>
      <c r="K76">
        <v>1.6</v>
      </c>
      <c r="L76">
        <f>4.8*4</f>
        <v>19.2</v>
      </c>
    </row>
    <row r="77" spans="1:12" ht="15" thickBot="1" x14ac:dyDescent="0.35">
      <c r="A77" s="100" t="s">
        <v>185</v>
      </c>
      <c r="B77" s="101" t="s">
        <v>65</v>
      </c>
      <c r="C77" s="6"/>
      <c r="D77" s="6">
        <f t="shared" ref="D77:D84" si="2">L77-K77-J77</f>
        <v>19.2</v>
      </c>
      <c r="E77" s="6"/>
      <c r="F77" s="6"/>
      <c r="G77" s="15"/>
      <c r="J77">
        <v>0</v>
      </c>
      <c r="K77">
        <v>0</v>
      </c>
      <c r="L77">
        <f>4.8*4</f>
        <v>19.2</v>
      </c>
    </row>
    <row r="78" spans="1:12" ht="15" thickBot="1" x14ac:dyDescent="0.35">
      <c r="A78" s="100"/>
      <c r="B78" s="101" t="s">
        <v>464</v>
      </c>
      <c r="C78" s="6"/>
      <c r="D78" s="6">
        <f t="shared" si="2"/>
        <v>10</v>
      </c>
      <c r="E78" s="6"/>
      <c r="F78" s="6"/>
      <c r="G78" s="15"/>
      <c r="J78">
        <v>0</v>
      </c>
      <c r="K78">
        <v>0</v>
      </c>
      <c r="L78">
        <f>2.5*4</f>
        <v>10</v>
      </c>
    </row>
    <row r="79" spans="1:12" ht="15" thickBot="1" x14ac:dyDescent="0.35">
      <c r="A79" s="100" t="s">
        <v>463</v>
      </c>
      <c r="B79" s="101" t="s">
        <v>65</v>
      </c>
      <c r="C79" s="6"/>
      <c r="D79" s="6">
        <f t="shared" si="2"/>
        <v>16.399999999999999</v>
      </c>
      <c r="E79" s="6"/>
      <c r="F79" s="6"/>
      <c r="G79" s="15"/>
      <c r="J79">
        <v>1.2</v>
      </c>
      <c r="K79">
        <v>1.6</v>
      </c>
      <c r="L79">
        <f>4.8*4</f>
        <v>19.2</v>
      </c>
    </row>
    <row r="80" spans="1:12" ht="15" thickBot="1" x14ac:dyDescent="0.35">
      <c r="A80" s="100"/>
      <c r="B80" s="101" t="s">
        <v>465</v>
      </c>
      <c r="C80" s="6"/>
      <c r="D80" s="6">
        <f t="shared" si="2"/>
        <v>9.52</v>
      </c>
      <c r="E80" s="6"/>
      <c r="F80" s="6"/>
      <c r="G80" s="15"/>
      <c r="J80">
        <v>0</v>
      </c>
      <c r="K80">
        <v>0</v>
      </c>
      <c r="L80">
        <f>2.38*4</f>
        <v>9.52</v>
      </c>
    </row>
    <row r="81" spans="1:12" ht="15" thickBot="1" x14ac:dyDescent="0.35">
      <c r="A81" s="100" t="s">
        <v>464</v>
      </c>
      <c r="B81" s="101" t="s">
        <v>65</v>
      </c>
      <c r="C81" s="6"/>
      <c r="D81" s="6">
        <f t="shared" si="2"/>
        <v>18.64</v>
      </c>
      <c r="E81" s="6"/>
      <c r="F81" s="6"/>
      <c r="G81" s="15"/>
      <c r="J81">
        <v>1.2</v>
      </c>
      <c r="K81">
        <v>1.6</v>
      </c>
      <c r="L81">
        <f>5.36*4</f>
        <v>21.44</v>
      </c>
    </row>
    <row r="82" spans="1:12" ht="15" thickBot="1" x14ac:dyDescent="0.35">
      <c r="A82" s="100"/>
      <c r="B82" s="101" t="s">
        <v>464</v>
      </c>
      <c r="C82" s="6"/>
      <c r="D82" s="6">
        <f t="shared" si="2"/>
        <v>19.2</v>
      </c>
      <c r="E82" s="6"/>
      <c r="F82" s="6"/>
      <c r="G82" s="15"/>
      <c r="J82">
        <v>0</v>
      </c>
      <c r="K82">
        <v>0</v>
      </c>
      <c r="L82">
        <f>4.8*4</f>
        <v>19.2</v>
      </c>
    </row>
    <row r="83" spans="1:12" ht="15" thickBot="1" x14ac:dyDescent="0.35">
      <c r="A83" s="100"/>
      <c r="B83" s="101" t="s">
        <v>465</v>
      </c>
      <c r="C83" s="6"/>
      <c r="D83" s="6">
        <f t="shared" si="2"/>
        <v>12</v>
      </c>
      <c r="E83" s="6"/>
      <c r="F83" s="6"/>
      <c r="G83" s="15"/>
      <c r="J83">
        <v>0</v>
      </c>
      <c r="K83">
        <v>0</v>
      </c>
      <c r="L83">
        <f>3*4</f>
        <v>12</v>
      </c>
    </row>
    <row r="84" spans="1:12" ht="15" thickBot="1" x14ac:dyDescent="0.35">
      <c r="A84" s="100" t="s">
        <v>465</v>
      </c>
      <c r="B84" s="101" t="s">
        <v>465</v>
      </c>
      <c r="C84" s="6"/>
      <c r="D84" s="6">
        <f t="shared" si="2"/>
        <v>19.2</v>
      </c>
      <c r="E84" s="6"/>
      <c r="F84" s="6"/>
      <c r="G84" s="15"/>
      <c r="J84">
        <v>0</v>
      </c>
      <c r="K84">
        <v>0</v>
      </c>
      <c r="L84">
        <f>4.8*4</f>
        <v>19.2</v>
      </c>
    </row>
    <row r="85" spans="1:12" ht="15" thickBot="1" x14ac:dyDescent="0.35">
      <c r="A85" s="100"/>
      <c r="B85" s="101" t="s">
        <v>65</v>
      </c>
      <c r="C85" s="6"/>
      <c r="D85" s="6">
        <f>L85-K85-J85</f>
        <v>9.2000000000000011</v>
      </c>
      <c r="E85" s="6"/>
      <c r="F85" s="6"/>
      <c r="G85" s="15"/>
      <c r="J85">
        <v>1.2</v>
      </c>
      <c r="K85">
        <v>1.6</v>
      </c>
      <c r="L85">
        <f>3*4</f>
        <v>12</v>
      </c>
    </row>
    <row r="86" spans="1:12" ht="15" thickBot="1" x14ac:dyDescent="0.35">
      <c r="A86" s="100" t="s">
        <v>464</v>
      </c>
      <c r="B86" s="101" t="s">
        <v>65</v>
      </c>
      <c r="C86" s="6"/>
      <c r="D86" s="6">
        <f t="shared" ref="D86:D101" si="3">L86-K86-J86</f>
        <v>28.64</v>
      </c>
      <c r="E86" s="6"/>
      <c r="F86" s="6"/>
      <c r="G86" s="15"/>
      <c r="J86">
        <v>1.2</v>
      </c>
      <c r="K86">
        <v>1.6</v>
      </c>
      <c r="L86">
        <f>7.86*4</f>
        <v>31.44</v>
      </c>
    </row>
    <row r="87" spans="1:12" ht="15" thickBot="1" x14ac:dyDescent="0.35">
      <c r="A87" s="100"/>
      <c r="B87" s="101" t="s">
        <v>465</v>
      </c>
      <c r="C87" s="6"/>
      <c r="D87" s="6">
        <f t="shared" si="3"/>
        <v>12</v>
      </c>
      <c r="E87" s="6"/>
      <c r="F87" s="6"/>
      <c r="G87" s="15"/>
      <c r="J87">
        <v>0</v>
      </c>
      <c r="K87">
        <v>0</v>
      </c>
      <c r="L87">
        <f>3*4</f>
        <v>12</v>
      </c>
    </row>
    <row r="88" spans="1:12" ht="15" thickBot="1" x14ac:dyDescent="0.35">
      <c r="A88" s="100" t="s">
        <v>465</v>
      </c>
      <c r="B88" s="101" t="s">
        <v>65</v>
      </c>
      <c r="C88" s="6"/>
      <c r="D88" s="6">
        <f t="shared" si="3"/>
        <v>28.64</v>
      </c>
      <c r="E88" s="6"/>
      <c r="F88" s="6"/>
      <c r="G88" s="15"/>
      <c r="J88">
        <v>1.2</v>
      </c>
      <c r="K88">
        <v>1.6</v>
      </c>
      <c r="L88">
        <f>7.86*4</f>
        <v>31.44</v>
      </c>
    </row>
    <row r="89" spans="1:12" ht="15" thickBot="1" x14ac:dyDescent="0.35">
      <c r="A89" s="100" t="s">
        <v>77</v>
      </c>
      <c r="B89" s="101" t="s">
        <v>76</v>
      </c>
      <c r="C89" s="6"/>
      <c r="D89" s="6">
        <f t="shared" si="3"/>
        <v>12</v>
      </c>
      <c r="E89" s="6"/>
      <c r="F89" s="6"/>
      <c r="G89" s="15"/>
      <c r="J89">
        <v>0</v>
      </c>
      <c r="K89">
        <v>0</v>
      </c>
      <c r="L89">
        <f>3*4</f>
        <v>12</v>
      </c>
    </row>
    <row r="90" spans="1:12" ht="15" thickBot="1" x14ac:dyDescent="0.35">
      <c r="A90" s="100"/>
      <c r="B90" s="101" t="s">
        <v>65</v>
      </c>
      <c r="C90" s="6"/>
      <c r="D90" s="6">
        <f t="shared" si="3"/>
        <v>25.8</v>
      </c>
      <c r="E90" s="6"/>
      <c r="F90" s="6"/>
      <c r="G90" s="15"/>
      <c r="K90">
        <v>1.8</v>
      </c>
      <c r="L90">
        <f>6.9*4</f>
        <v>27.6</v>
      </c>
    </row>
    <row r="91" spans="1:12" ht="15" thickBot="1" x14ac:dyDescent="0.35">
      <c r="A91" s="100" t="s">
        <v>76</v>
      </c>
      <c r="B91" s="101" t="s">
        <v>65</v>
      </c>
      <c r="C91" s="6"/>
      <c r="D91" s="6">
        <f t="shared" si="3"/>
        <v>13.799999999999999</v>
      </c>
      <c r="E91" s="6"/>
      <c r="F91" s="6"/>
      <c r="G91" s="15"/>
      <c r="K91">
        <v>1.8</v>
      </c>
      <c r="L91">
        <f>1.95*2*4</f>
        <v>15.6</v>
      </c>
    </row>
    <row r="92" spans="1:12" ht="15" thickBot="1" x14ac:dyDescent="0.35">
      <c r="A92" s="100"/>
      <c r="B92" s="101" t="s">
        <v>73</v>
      </c>
      <c r="C92" s="6"/>
      <c r="D92" s="6">
        <f t="shared" si="3"/>
        <v>12</v>
      </c>
      <c r="E92" s="6"/>
      <c r="F92" s="6"/>
      <c r="G92" s="15"/>
      <c r="K92">
        <v>0</v>
      </c>
      <c r="L92">
        <f>3*4</f>
        <v>12</v>
      </c>
    </row>
    <row r="93" spans="1:12" ht="15" thickBot="1" x14ac:dyDescent="0.35">
      <c r="A93" s="100" t="s">
        <v>73</v>
      </c>
      <c r="B93" s="101" t="s">
        <v>65</v>
      </c>
      <c r="C93" s="6"/>
      <c r="D93" s="6">
        <f t="shared" si="3"/>
        <v>13.799999999999999</v>
      </c>
      <c r="E93" s="6"/>
      <c r="F93" s="6"/>
      <c r="G93" s="15"/>
      <c r="K93">
        <v>1.8</v>
      </c>
      <c r="L93">
        <f>1.95*2*4</f>
        <v>15.6</v>
      </c>
    </row>
    <row r="94" spans="1:12" ht="15" thickBot="1" x14ac:dyDescent="0.35">
      <c r="A94" s="100" t="s">
        <v>371</v>
      </c>
      <c r="B94" s="101" t="s">
        <v>373</v>
      </c>
      <c r="C94" s="6"/>
      <c r="D94" s="6">
        <f t="shared" si="3"/>
        <v>10.399999999999999</v>
      </c>
      <c r="E94" s="6"/>
      <c r="F94" s="6"/>
      <c r="G94" s="15"/>
      <c r="J94">
        <v>0</v>
      </c>
      <c r="K94">
        <v>1.8</v>
      </c>
      <c r="L94">
        <f>3.05*4</f>
        <v>12.2</v>
      </c>
    </row>
    <row r="95" spans="1:12" ht="15" thickBot="1" x14ac:dyDescent="0.35">
      <c r="A95" s="100"/>
      <c r="B95" s="101" t="s">
        <v>374</v>
      </c>
      <c r="C95" s="6"/>
      <c r="D95" s="6">
        <f t="shared" si="3"/>
        <v>12.2</v>
      </c>
      <c r="E95" s="6"/>
      <c r="F95" s="6"/>
      <c r="G95" s="15"/>
      <c r="J95">
        <v>0</v>
      </c>
      <c r="K95">
        <v>0</v>
      </c>
      <c r="L95">
        <f>3.05*4</f>
        <v>12.2</v>
      </c>
    </row>
    <row r="96" spans="1:12" ht="15" thickBot="1" x14ac:dyDescent="0.35">
      <c r="A96" s="100"/>
      <c r="B96" s="101" t="s">
        <v>65</v>
      </c>
      <c r="C96" s="6"/>
      <c r="D96" s="6">
        <f t="shared" si="3"/>
        <v>63</v>
      </c>
      <c r="E96" s="6"/>
      <c r="F96" s="6"/>
      <c r="G96" s="15"/>
      <c r="J96">
        <v>7.2</v>
      </c>
      <c r="K96">
        <v>1.8</v>
      </c>
      <c r="L96">
        <f>18*4</f>
        <v>72</v>
      </c>
    </row>
    <row r="97" spans="1:12" ht="15" thickBot="1" x14ac:dyDescent="0.35">
      <c r="A97" s="100" t="s">
        <v>373</v>
      </c>
      <c r="B97" s="101" t="s">
        <v>374</v>
      </c>
      <c r="C97" s="6"/>
      <c r="D97" s="6">
        <f t="shared" si="3"/>
        <v>19.2</v>
      </c>
      <c r="E97" s="6"/>
      <c r="F97" s="6"/>
      <c r="G97" s="15"/>
      <c r="J97">
        <v>0</v>
      </c>
      <c r="K97">
        <v>0</v>
      </c>
      <c r="L97">
        <f>4.8*4</f>
        <v>19.2</v>
      </c>
    </row>
    <row r="98" spans="1:12" ht="15" thickBot="1" x14ac:dyDescent="0.35">
      <c r="A98" s="100"/>
      <c r="B98" s="101" t="s">
        <v>65</v>
      </c>
      <c r="C98" s="6"/>
      <c r="D98" s="6">
        <f t="shared" si="3"/>
        <v>16.8</v>
      </c>
      <c r="E98" s="6"/>
      <c r="F98" s="6"/>
      <c r="G98" s="15"/>
      <c r="J98">
        <v>2.4</v>
      </c>
      <c r="K98">
        <v>0</v>
      </c>
      <c r="L98">
        <f>4.8*4</f>
        <v>19.2</v>
      </c>
    </row>
    <row r="99" spans="1:12" ht="15" thickBot="1" x14ac:dyDescent="0.35">
      <c r="A99" s="100"/>
      <c r="B99" s="101" t="s">
        <v>59</v>
      </c>
      <c r="C99" s="6"/>
      <c r="D99" s="6">
        <f t="shared" si="3"/>
        <v>12</v>
      </c>
      <c r="E99" s="6"/>
      <c r="F99" s="6"/>
      <c r="G99" s="15"/>
      <c r="J99">
        <v>0</v>
      </c>
      <c r="K99">
        <v>0</v>
      </c>
      <c r="L99">
        <f>3*4</f>
        <v>12</v>
      </c>
    </row>
    <row r="100" spans="1:12" ht="15" thickBot="1" x14ac:dyDescent="0.35">
      <c r="A100" s="100" t="s">
        <v>374</v>
      </c>
      <c r="B100" s="101" t="s">
        <v>65</v>
      </c>
      <c r="C100" s="6"/>
      <c r="D100" s="6">
        <f t="shared" si="3"/>
        <v>14.999999999999998</v>
      </c>
      <c r="E100" s="6"/>
      <c r="F100" s="6"/>
      <c r="G100" s="15"/>
      <c r="J100">
        <v>2.4</v>
      </c>
      <c r="K100">
        <v>1.8</v>
      </c>
      <c r="L100">
        <f>4.8*4</f>
        <v>19.2</v>
      </c>
    </row>
    <row r="101" spans="1:12" ht="15" thickBot="1" x14ac:dyDescent="0.35">
      <c r="A101" s="100"/>
      <c r="B101" s="101" t="s">
        <v>58</v>
      </c>
      <c r="C101" s="6"/>
      <c r="D101" s="6">
        <f t="shared" si="3"/>
        <v>12</v>
      </c>
      <c r="E101" s="6"/>
      <c r="F101" s="6"/>
      <c r="G101" s="15"/>
      <c r="J101">
        <v>0</v>
      </c>
      <c r="K101">
        <v>0</v>
      </c>
      <c r="L101">
        <f>3*4</f>
        <v>12</v>
      </c>
    </row>
    <row r="102" spans="1:12" ht="15" thickBot="1" x14ac:dyDescent="0.35">
      <c r="A102" s="100" t="s">
        <v>59</v>
      </c>
      <c r="B102" s="101" t="s">
        <v>65</v>
      </c>
      <c r="C102" s="6"/>
      <c r="D102" s="6">
        <f>L102-K102-J102</f>
        <v>33</v>
      </c>
      <c r="E102" s="6"/>
      <c r="F102" s="6"/>
      <c r="G102" s="15"/>
      <c r="J102">
        <v>1.2</v>
      </c>
      <c r="K102">
        <v>1.8</v>
      </c>
      <c r="L102">
        <f>9*4</f>
        <v>36</v>
      </c>
    </row>
    <row r="103" spans="1:12" ht="15" thickBot="1" x14ac:dyDescent="0.35">
      <c r="A103" s="100"/>
      <c r="B103" s="101" t="s">
        <v>58</v>
      </c>
      <c r="C103" s="6"/>
      <c r="D103" s="6">
        <f t="shared" ref="D103:D127" si="4">L103-K103-J103</f>
        <v>24</v>
      </c>
      <c r="E103" s="6"/>
      <c r="F103" s="6"/>
      <c r="G103" s="15"/>
      <c r="J103">
        <v>0</v>
      </c>
      <c r="K103">
        <v>0</v>
      </c>
      <c r="L103">
        <f>6*4</f>
        <v>24</v>
      </c>
    </row>
    <row r="104" spans="1:12" ht="15" thickBot="1" x14ac:dyDescent="0.35">
      <c r="A104" s="100" t="s">
        <v>58</v>
      </c>
      <c r="B104" s="101" t="s">
        <v>65</v>
      </c>
      <c r="C104" s="6"/>
      <c r="D104" s="6">
        <f t="shared" si="4"/>
        <v>33</v>
      </c>
      <c r="E104" s="6"/>
      <c r="F104" s="6"/>
      <c r="G104" s="15"/>
      <c r="J104">
        <v>1.2</v>
      </c>
      <c r="K104">
        <v>1.8</v>
      </c>
      <c r="L104">
        <f>9*4</f>
        <v>36</v>
      </c>
    </row>
    <row r="105" spans="1:12" ht="15" thickBot="1" x14ac:dyDescent="0.35">
      <c r="A105" s="100" t="s">
        <v>463</v>
      </c>
      <c r="B105" s="101" t="s">
        <v>65</v>
      </c>
      <c r="C105" s="6"/>
      <c r="D105" s="6">
        <f t="shared" si="4"/>
        <v>23.84</v>
      </c>
      <c r="E105" s="6"/>
      <c r="F105" s="6"/>
      <c r="G105" s="15"/>
      <c r="J105">
        <v>1.4</v>
      </c>
      <c r="K105">
        <v>1.8</v>
      </c>
      <c r="L105">
        <f>6.76*4</f>
        <v>27.04</v>
      </c>
    </row>
    <row r="106" spans="1:12" ht="15" thickBot="1" x14ac:dyDescent="0.35">
      <c r="A106" s="100"/>
      <c r="B106" s="101" t="s">
        <v>462</v>
      </c>
      <c r="C106" s="6"/>
      <c r="D106" s="6">
        <f t="shared" si="4"/>
        <v>13.84</v>
      </c>
      <c r="E106" s="6"/>
      <c r="F106" s="6"/>
      <c r="G106" s="15"/>
      <c r="J106">
        <v>0</v>
      </c>
      <c r="K106">
        <v>1.8</v>
      </c>
      <c r="L106">
        <f>3.91*4</f>
        <v>15.64</v>
      </c>
    </row>
    <row r="107" spans="1:12" ht="15" thickBot="1" x14ac:dyDescent="0.35">
      <c r="A107" s="100" t="s">
        <v>462</v>
      </c>
      <c r="B107" s="101" t="s">
        <v>65</v>
      </c>
      <c r="C107" s="6"/>
      <c r="D107" s="6">
        <f t="shared" si="4"/>
        <v>25.2</v>
      </c>
      <c r="E107" s="6"/>
      <c r="F107" s="6"/>
      <c r="G107" s="15"/>
      <c r="J107">
        <v>0</v>
      </c>
      <c r="K107">
        <v>0</v>
      </c>
      <c r="L107">
        <f>6.3*4</f>
        <v>25.2</v>
      </c>
    </row>
    <row r="108" spans="1:12" ht="15" thickBot="1" x14ac:dyDescent="0.35">
      <c r="A108" s="100"/>
      <c r="B108" s="101" t="s">
        <v>36</v>
      </c>
      <c r="C108" s="6"/>
      <c r="D108" s="6">
        <f t="shared" si="4"/>
        <v>15.64</v>
      </c>
      <c r="E108" s="6"/>
      <c r="F108" s="6"/>
      <c r="G108" s="15"/>
      <c r="J108">
        <v>0</v>
      </c>
      <c r="K108">
        <v>0</v>
      </c>
      <c r="L108">
        <f>3.91*4</f>
        <v>15.64</v>
      </c>
    </row>
    <row r="109" spans="1:12" ht="15" thickBot="1" x14ac:dyDescent="0.35">
      <c r="A109" s="100" t="s">
        <v>36</v>
      </c>
      <c r="B109" s="101" t="s">
        <v>107</v>
      </c>
      <c r="C109" s="6"/>
      <c r="D109" s="6">
        <f t="shared" si="4"/>
        <v>11.799999999999999</v>
      </c>
      <c r="E109" s="6"/>
      <c r="F109" s="6"/>
      <c r="G109" s="15"/>
      <c r="J109">
        <v>0</v>
      </c>
      <c r="K109">
        <v>1.8</v>
      </c>
      <c r="L109">
        <f>3.4*4</f>
        <v>13.6</v>
      </c>
    </row>
    <row r="110" spans="1:12" ht="15" thickBot="1" x14ac:dyDescent="0.35">
      <c r="A110" s="100"/>
      <c r="B110" s="101" t="s">
        <v>65</v>
      </c>
      <c r="C110" s="6"/>
      <c r="D110" s="6">
        <f t="shared" si="4"/>
        <v>25.599999999999998</v>
      </c>
      <c r="E110" s="6"/>
      <c r="F110" s="6"/>
      <c r="G110" s="15"/>
      <c r="J110">
        <v>0</v>
      </c>
      <c r="K110">
        <v>1.8</v>
      </c>
      <c r="L110">
        <f>6.85*4</f>
        <v>27.4</v>
      </c>
    </row>
    <row r="111" spans="1:12" ht="15" thickBot="1" x14ac:dyDescent="0.35">
      <c r="A111" s="100" t="s">
        <v>466</v>
      </c>
      <c r="B111" s="101" t="s">
        <v>65</v>
      </c>
      <c r="C111" s="6"/>
      <c r="D111" s="6">
        <f t="shared" si="4"/>
        <v>44</v>
      </c>
      <c r="E111" s="6"/>
      <c r="F111" s="6"/>
      <c r="G111" s="15"/>
      <c r="J111">
        <v>0</v>
      </c>
      <c r="K111">
        <f>1.2*2</f>
        <v>2.4</v>
      </c>
      <c r="L111">
        <f>11.6*4</f>
        <v>46.4</v>
      </c>
    </row>
    <row r="112" spans="1:12" ht="15" thickBot="1" x14ac:dyDescent="0.35">
      <c r="A112" s="100"/>
      <c r="B112" s="101" t="s">
        <v>467</v>
      </c>
      <c r="C112" s="6"/>
      <c r="D112" s="6">
        <f t="shared" si="4"/>
        <v>11.799999999999999</v>
      </c>
      <c r="E112" s="6"/>
      <c r="F112" s="6"/>
      <c r="G112" s="15"/>
      <c r="J112">
        <v>0</v>
      </c>
      <c r="K112">
        <v>1.8</v>
      </c>
      <c r="L112">
        <f>3.4*4</f>
        <v>13.6</v>
      </c>
    </row>
    <row r="113" spans="1:12" ht="15" thickBot="1" x14ac:dyDescent="0.35">
      <c r="A113" s="100" t="s">
        <v>31</v>
      </c>
      <c r="B113" s="101" t="s">
        <v>65</v>
      </c>
      <c r="C113" s="6"/>
      <c r="D113" s="6">
        <f t="shared" si="4"/>
        <v>24.12</v>
      </c>
      <c r="E113" s="6"/>
      <c r="F113" s="6"/>
      <c r="G113" s="15"/>
      <c r="J113">
        <v>0</v>
      </c>
      <c r="K113">
        <v>4</v>
      </c>
      <c r="L113">
        <f>7.03*4</f>
        <v>28.12</v>
      </c>
    </row>
    <row r="114" spans="1:12" ht="15" thickBot="1" x14ac:dyDescent="0.35">
      <c r="A114" s="100"/>
      <c r="B114" s="101" t="s">
        <v>116</v>
      </c>
      <c r="C114" s="6"/>
      <c r="D114" s="6">
        <f t="shared" si="4"/>
        <v>28.599999999999998</v>
      </c>
      <c r="E114" s="6"/>
      <c r="F114" s="6"/>
      <c r="G114" s="15"/>
      <c r="J114">
        <v>2.8</v>
      </c>
      <c r="K114">
        <f>1.2*2</f>
        <v>2.4</v>
      </c>
      <c r="L114">
        <f>8.45*4</f>
        <v>33.799999999999997</v>
      </c>
    </row>
    <row r="115" spans="1:12" ht="15" thickBot="1" x14ac:dyDescent="0.35">
      <c r="A115" s="100" t="s">
        <v>116</v>
      </c>
      <c r="B115" s="101" t="s">
        <v>65</v>
      </c>
      <c r="C115" s="6"/>
      <c r="D115" s="6">
        <f t="shared" si="4"/>
        <v>98.440000000000012</v>
      </c>
      <c r="E115" s="6"/>
      <c r="F115" s="6"/>
      <c r="G115" s="15"/>
      <c r="J115">
        <v>0</v>
      </c>
      <c r="K115">
        <v>6.6</v>
      </c>
      <c r="L115">
        <f>26.26*4</f>
        <v>105.04</v>
      </c>
    </row>
    <row r="116" spans="1:12" ht="15" thickBot="1" x14ac:dyDescent="0.35">
      <c r="A116" s="100"/>
      <c r="B116" s="101" t="s">
        <v>468</v>
      </c>
      <c r="C116" s="6"/>
      <c r="D116" s="6">
        <f t="shared" si="4"/>
        <v>21.72</v>
      </c>
      <c r="E116" s="6"/>
      <c r="F116" s="6"/>
      <c r="G116" s="15"/>
      <c r="J116">
        <v>0</v>
      </c>
      <c r="K116">
        <v>1.8</v>
      </c>
      <c r="L116">
        <f>5.88*4</f>
        <v>23.52</v>
      </c>
    </row>
    <row r="117" spans="1:12" ht="15" thickBot="1" x14ac:dyDescent="0.35">
      <c r="A117" s="100"/>
      <c r="B117" s="101" t="s">
        <v>117</v>
      </c>
      <c r="C117" s="6"/>
      <c r="D117" s="6">
        <f t="shared" si="4"/>
        <v>20.799999999999997</v>
      </c>
      <c r="E117" s="6"/>
      <c r="F117" s="6"/>
      <c r="G117" s="15"/>
      <c r="J117">
        <v>2.8</v>
      </c>
      <c r="K117">
        <v>1.8</v>
      </c>
      <c r="L117">
        <f>6.35*4</f>
        <v>25.4</v>
      </c>
    </row>
    <row r="118" spans="1:12" ht="15" thickBot="1" x14ac:dyDescent="0.35">
      <c r="A118" s="100"/>
      <c r="B118" s="101" t="s">
        <v>473</v>
      </c>
      <c r="C118" s="6"/>
      <c r="D118" s="6">
        <f t="shared" si="4"/>
        <v>12.12</v>
      </c>
      <c r="E118" s="6"/>
      <c r="F118" s="6"/>
      <c r="G118" s="15"/>
      <c r="J118">
        <v>0</v>
      </c>
      <c r="K118">
        <v>0</v>
      </c>
      <c r="L118">
        <f>3.03*4</f>
        <v>12.12</v>
      </c>
    </row>
    <row r="119" spans="1:12" ht="15" thickBot="1" x14ac:dyDescent="0.35">
      <c r="A119" s="100"/>
      <c r="B119" s="101" t="s">
        <v>469</v>
      </c>
      <c r="C119" s="6"/>
      <c r="D119" s="6">
        <f t="shared" si="4"/>
        <v>6.12</v>
      </c>
      <c r="E119" s="6"/>
      <c r="F119" s="6"/>
      <c r="G119" s="15"/>
      <c r="J119">
        <v>0</v>
      </c>
      <c r="K119">
        <f>0.6*2</f>
        <v>1.2</v>
      </c>
      <c r="L119">
        <f>1.83*4</f>
        <v>7.32</v>
      </c>
    </row>
    <row r="120" spans="1:12" ht="15" thickBot="1" x14ac:dyDescent="0.35">
      <c r="A120" s="100"/>
      <c r="B120" s="101" t="s">
        <v>470</v>
      </c>
      <c r="C120" s="6"/>
      <c r="D120" s="6">
        <f t="shared" si="4"/>
        <v>16.760000000000002</v>
      </c>
      <c r="E120" s="6"/>
      <c r="F120" s="6"/>
      <c r="G120" s="15"/>
      <c r="J120">
        <v>0</v>
      </c>
      <c r="K120">
        <v>1.2</v>
      </c>
      <c r="L120">
        <f>4.49*4</f>
        <v>17.96</v>
      </c>
    </row>
    <row r="121" spans="1:12" ht="15" thickBot="1" x14ac:dyDescent="0.35">
      <c r="A121" s="100"/>
      <c r="B121" s="101" t="s">
        <v>471</v>
      </c>
      <c r="C121" s="6"/>
      <c r="D121" s="6">
        <f t="shared" si="4"/>
        <v>8</v>
      </c>
      <c r="E121" s="6"/>
      <c r="F121" s="6"/>
      <c r="G121" s="15"/>
      <c r="J121">
        <v>0</v>
      </c>
      <c r="K121">
        <v>0</v>
      </c>
      <c r="L121">
        <f>2*4</f>
        <v>8</v>
      </c>
    </row>
    <row r="122" spans="1:12" ht="15" thickBot="1" x14ac:dyDescent="0.35">
      <c r="A122" s="100" t="s">
        <v>468</v>
      </c>
      <c r="B122" s="101" t="s">
        <v>65</v>
      </c>
      <c r="C122" s="6"/>
      <c r="D122" s="6">
        <f t="shared" si="4"/>
        <v>12.92</v>
      </c>
      <c r="E122" s="6"/>
      <c r="F122" s="6"/>
      <c r="G122" s="15"/>
      <c r="J122">
        <v>0</v>
      </c>
      <c r="K122">
        <v>0</v>
      </c>
      <c r="L122">
        <f>3.23*4</f>
        <v>12.92</v>
      </c>
    </row>
    <row r="123" spans="1:12" ht="15" thickBot="1" x14ac:dyDescent="0.35">
      <c r="A123" s="100"/>
      <c r="B123" s="101" t="s">
        <v>469</v>
      </c>
      <c r="C123" s="6"/>
      <c r="D123" s="6">
        <f t="shared" si="4"/>
        <v>5.04</v>
      </c>
      <c r="E123" s="6"/>
      <c r="F123" s="6"/>
      <c r="G123" s="15"/>
      <c r="J123">
        <v>0</v>
      </c>
      <c r="K123">
        <v>0</v>
      </c>
      <c r="L123">
        <f>1.26*4</f>
        <v>5.04</v>
      </c>
    </row>
    <row r="124" spans="1:12" ht="15" thickBot="1" x14ac:dyDescent="0.35">
      <c r="A124" s="100" t="s">
        <v>469</v>
      </c>
      <c r="B124" s="101" t="s">
        <v>470</v>
      </c>
      <c r="C124" s="6"/>
      <c r="D124" s="6">
        <f t="shared" si="4"/>
        <v>5.08</v>
      </c>
      <c r="E124" s="6"/>
      <c r="F124" s="6"/>
      <c r="G124" s="15"/>
      <c r="J124">
        <v>0</v>
      </c>
      <c r="K124">
        <v>0</v>
      </c>
      <c r="L124">
        <f>1.27*4</f>
        <v>5.08</v>
      </c>
    </row>
    <row r="125" spans="1:12" ht="15" thickBot="1" x14ac:dyDescent="0.35">
      <c r="A125" s="100"/>
      <c r="B125" s="101" t="s">
        <v>65</v>
      </c>
      <c r="C125" s="6"/>
      <c r="D125" s="6">
        <f t="shared" si="4"/>
        <v>6.8</v>
      </c>
      <c r="E125" s="6"/>
      <c r="F125" s="6"/>
      <c r="G125" s="15"/>
      <c r="J125">
        <v>0</v>
      </c>
      <c r="K125">
        <v>0</v>
      </c>
      <c r="L125">
        <f>1.7*4</f>
        <v>6.8</v>
      </c>
    </row>
    <row r="126" spans="1:12" ht="15" thickBot="1" x14ac:dyDescent="0.35">
      <c r="A126" s="100" t="s">
        <v>470</v>
      </c>
      <c r="B126" s="101" t="s">
        <v>65</v>
      </c>
      <c r="C126" s="6"/>
      <c r="D126" s="6">
        <f t="shared" si="4"/>
        <v>5.4</v>
      </c>
      <c r="E126" s="6"/>
      <c r="F126" s="6"/>
      <c r="G126" s="15"/>
      <c r="J126">
        <v>0</v>
      </c>
      <c r="K126">
        <v>0</v>
      </c>
      <c r="L126">
        <f>1.35*4</f>
        <v>5.4</v>
      </c>
    </row>
    <row r="127" spans="1:12" x14ac:dyDescent="0.3">
      <c r="A127" s="102" t="s">
        <v>472</v>
      </c>
      <c r="B127" s="103" t="s">
        <v>473</v>
      </c>
      <c r="C127" s="21"/>
      <c r="D127" s="21">
        <f t="shared" si="4"/>
        <v>4.92</v>
      </c>
      <c r="E127" s="21"/>
      <c r="F127" s="21"/>
      <c r="G127" s="22"/>
      <c r="J127">
        <v>0</v>
      </c>
      <c r="K127">
        <v>1.6</v>
      </c>
      <c r="L127">
        <f>1.63*4</f>
        <v>6.52</v>
      </c>
    </row>
    <row r="131" spans="1:12" x14ac:dyDescent="0.3">
      <c r="A131" s="84" t="s">
        <v>476</v>
      </c>
    </row>
    <row r="132" spans="1:12" x14ac:dyDescent="0.3">
      <c r="A132" s="84" t="s">
        <v>0</v>
      </c>
      <c r="B132" s="84" t="s">
        <v>435</v>
      </c>
      <c r="C132" t="s">
        <v>2</v>
      </c>
      <c r="D132" t="s">
        <v>436</v>
      </c>
      <c r="E132" t="s">
        <v>7</v>
      </c>
      <c r="F132" t="s">
        <v>7</v>
      </c>
      <c r="G132" t="s">
        <v>437</v>
      </c>
      <c r="J132" t="s">
        <v>474</v>
      </c>
      <c r="K132" t="s">
        <v>475</v>
      </c>
      <c r="L132" t="s">
        <v>98</v>
      </c>
    </row>
    <row r="133" spans="1:12" x14ac:dyDescent="0.3">
      <c r="A133" s="84" t="s">
        <v>477</v>
      </c>
      <c r="B133" s="84" t="s">
        <v>65</v>
      </c>
      <c r="J133">
        <v>0</v>
      </c>
      <c r="K133">
        <f>1.2*2</f>
        <v>2.4</v>
      </c>
      <c r="L133">
        <f>4.7*4</f>
        <v>18.8</v>
      </c>
    </row>
    <row r="134" spans="1:12" x14ac:dyDescent="0.3">
      <c r="B134" s="84" t="s">
        <v>478</v>
      </c>
      <c r="J134">
        <v>0</v>
      </c>
      <c r="K134">
        <f>0.7*2</f>
        <v>1.4</v>
      </c>
      <c r="L134">
        <f>3.7*4</f>
        <v>14.8</v>
      </c>
    </row>
    <row r="135" spans="1:12" x14ac:dyDescent="0.3">
      <c r="A135" s="84" t="s">
        <v>478</v>
      </c>
      <c r="B135" s="84" t="s">
        <v>65</v>
      </c>
      <c r="J135">
        <v>0</v>
      </c>
      <c r="K135">
        <v>0</v>
      </c>
      <c r="L135">
        <f>1.35*4</f>
        <v>5.4</v>
      </c>
    </row>
    <row r="136" spans="1:12" x14ac:dyDescent="0.3">
      <c r="A136" s="84" t="s">
        <v>477</v>
      </c>
      <c r="B136" s="84" t="s">
        <v>65</v>
      </c>
      <c r="J136">
        <v>0</v>
      </c>
      <c r="K136">
        <v>2.4</v>
      </c>
      <c r="L136">
        <f>11.2*4</f>
        <v>44.8</v>
      </c>
    </row>
    <row r="137" spans="1:12" x14ac:dyDescent="0.3">
      <c r="B137" s="84" t="s">
        <v>478</v>
      </c>
      <c r="J137">
        <v>0</v>
      </c>
      <c r="K137">
        <f>0.7*2</f>
        <v>1.4</v>
      </c>
      <c r="L137">
        <f>3.7*4</f>
        <v>14.8</v>
      </c>
    </row>
    <row r="138" spans="1:12" x14ac:dyDescent="0.3">
      <c r="A138" s="84" t="s">
        <v>477</v>
      </c>
      <c r="B138" s="84" t="s">
        <v>65</v>
      </c>
      <c r="L138">
        <f>11.15*4</f>
        <v>44.6</v>
      </c>
    </row>
    <row r="139" spans="1:12" x14ac:dyDescent="0.3">
      <c r="B139" s="84" t="s">
        <v>478</v>
      </c>
    </row>
    <row r="140" spans="1:12" x14ac:dyDescent="0.3">
      <c r="A140" s="84" t="s">
        <v>477</v>
      </c>
      <c r="B140" s="84" t="s">
        <v>65</v>
      </c>
    </row>
    <row r="141" spans="1:12" x14ac:dyDescent="0.3">
      <c r="B141" s="84" t="s">
        <v>478</v>
      </c>
    </row>
    <row r="142" spans="1:12" x14ac:dyDescent="0.3">
      <c r="A142" s="84" t="s">
        <v>67</v>
      </c>
      <c r="B142" s="84" t="s">
        <v>65</v>
      </c>
    </row>
    <row r="143" spans="1:12" x14ac:dyDescent="0.3">
      <c r="B143" s="84" t="s">
        <v>89</v>
      </c>
    </row>
    <row r="144" spans="1:12" x14ac:dyDescent="0.3">
      <c r="A144" s="84" t="s">
        <v>89</v>
      </c>
      <c r="B144" s="84" t="s">
        <v>65</v>
      </c>
    </row>
    <row r="145" spans="1:2" x14ac:dyDescent="0.3">
      <c r="A145" s="84" t="s">
        <v>71</v>
      </c>
      <c r="B145" s="84" t="s">
        <v>65</v>
      </c>
    </row>
    <row r="146" spans="1:2" x14ac:dyDescent="0.3">
      <c r="B146" s="84" t="s">
        <v>479</v>
      </c>
    </row>
    <row r="147" spans="1:2" x14ac:dyDescent="0.3">
      <c r="A147" s="84" t="s">
        <v>479</v>
      </c>
      <c r="B147" s="84" t="s">
        <v>65</v>
      </c>
    </row>
    <row r="148" spans="1:2" x14ac:dyDescent="0.3">
      <c r="B148" s="84" t="s">
        <v>218</v>
      </c>
    </row>
    <row r="149" spans="1:2" x14ac:dyDescent="0.3">
      <c r="A149" s="84" t="s">
        <v>71</v>
      </c>
      <c r="B149" s="84" t="s">
        <v>65</v>
      </c>
    </row>
    <row r="150" spans="1:2" x14ac:dyDescent="0.3">
      <c r="B150" s="84" t="s">
        <v>479</v>
      </c>
    </row>
    <row r="151" spans="1:2" x14ac:dyDescent="0.3">
      <c r="A151" s="84" t="s">
        <v>479</v>
      </c>
      <c r="B151" s="84" t="s">
        <v>65</v>
      </c>
    </row>
    <row r="152" spans="1:2" x14ac:dyDescent="0.3">
      <c r="A152" s="84" t="s">
        <v>174</v>
      </c>
      <c r="B152" s="84" t="s">
        <v>65</v>
      </c>
    </row>
    <row r="153" spans="1:2" x14ac:dyDescent="0.3">
      <c r="B153" s="84" t="s">
        <v>213</v>
      </c>
    </row>
    <row r="154" spans="1:2" x14ac:dyDescent="0.3">
      <c r="A154" s="84" t="s">
        <v>175</v>
      </c>
      <c r="B154" s="84" t="s">
        <v>65</v>
      </c>
    </row>
    <row r="155" spans="1:2" x14ac:dyDescent="0.3">
      <c r="A155" s="84" t="s">
        <v>176</v>
      </c>
      <c r="B155" s="84" t="s">
        <v>177</v>
      </c>
    </row>
    <row r="156" spans="1:2" x14ac:dyDescent="0.3">
      <c r="B156" s="84" t="s">
        <v>65</v>
      </c>
    </row>
    <row r="157" spans="1:2" x14ac:dyDescent="0.3">
      <c r="B157" s="84" t="s">
        <v>178</v>
      </c>
    </row>
    <row r="158" spans="1:2" x14ac:dyDescent="0.3">
      <c r="B158" s="84" t="s">
        <v>205</v>
      </c>
    </row>
    <row r="159" spans="1:2" x14ac:dyDescent="0.3">
      <c r="A159" s="84" t="s">
        <v>177</v>
      </c>
      <c r="B159" s="84" t="s">
        <v>65</v>
      </c>
    </row>
    <row r="160" spans="1:2" x14ac:dyDescent="0.3">
      <c r="A160" s="84" t="s">
        <v>178</v>
      </c>
      <c r="B160" s="84" t="s">
        <v>65</v>
      </c>
    </row>
    <row r="161" spans="1:2" x14ac:dyDescent="0.3">
      <c r="A161" s="84" t="s">
        <v>71</v>
      </c>
      <c r="B161" s="84" t="s">
        <v>65</v>
      </c>
    </row>
    <row r="162" spans="1:2" x14ac:dyDescent="0.3">
      <c r="B162" s="84" t="s">
        <v>479</v>
      </c>
    </row>
    <row r="163" spans="1:2" x14ac:dyDescent="0.3">
      <c r="A163" s="84" t="s">
        <v>479</v>
      </c>
      <c r="B163" s="84" t="s">
        <v>65</v>
      </c>
    </row>
    <row r="164" spans="1:2" x14ac:dyDescent="0.3">
      <c r="A164" s="84" t="s">
        <v>71</v>
      </c>
      <c r="B164" s="84" t="s">
        <v>65</v>
      </c>
    </row>
    <row r="165" spans="1:2" x14ac:dyDescent="0.3">
      <c r="B165" s="84" t="s">
        <v>479</v>
      </c>
    </row>
    <row r="166" spans="1:2" x14ac:dyDescent="0.3">
      <c r="A166" s="84" t="s">
        <v>479</v>
      </c>
      <c r="B166" s="84" t="s">
        <v>65</v>
      </c>
    </row>
    <row r="167" spans="1:2" x14ac:dyDescent="0.3">
      <c r="A167" s="84" t="s">
        <v>67</v>
      </c>
      <c r="B167" s="84" t="s">
        <v>65</v>
      </c>
    </row>
    <row r="168" spans="1:2" x14ac:dyDescent="0.3">
      <c r="B168" s="84" t="s">
        <v>89</v>
      </c>
    </row>
    <row r="169" spans="1:2" x14ac:dyDescent="0.3">
      <c r="A169" s="84" t="s">
        <v>89</v>
      </c>
      <c r="B169" s="84" t="s">
        <v>65</v>
      </c>
    </row>
    <row r="170" spans="1:2" x14ac:dyDescent="0.3">
      <c r="A170" s="84" t="s">
        <v>182</v>
      </c>
      <c r="B170" s="84" t="s">
        <v>218</v>
      </c>
    </row>
    <row r="171" spans="1:2" x14ac:dyDescent="0.3">
      <c r="B171" s="84" t="s">
        <v>65</v>
      </c>
    </row>
    <row r="172" spans="1:2" x14ac:dyDescent="0.3">
      <c r="A172" s="84" t="s">
        <v>143</v>
      </c>
      <c r="B172" s="84" t="s">
        <v>65</v>
      </c>
    </row>
    <row r="173" spans="1:2" x14ac:dyDescent="0.3">
      <c r="B173" s="84" t="s">
        <v>218</v>
      </c>
    </row>
    <row r="174" spans="1:2" x14ac:dyDescent="0.3">
      <c r="A174" s="84" t="s">
        <v>142</v>
      </c>
      <c r="B174" s="84" t="s">
        <v>65</v>
      </c>
    </row>
    <row r="175" spans="1:2" x14ac:dyDescent="0.3">
      <c r="A175" s="84" t="s">
        <v>141</v>
      </c>
      <c r="B175" s="84" t="s">
        <v>65</v>
      </c>
    </row>
    <row r="176" spans="1:2" x14ac:dyDescent="0.3">
      <c r="B176" s="84" t="s">
        <v>227</v>
      </c>
    </row>
    <row r="177" spans="1:2" x14ac:dyDescent="0.3">
      <c r="B177" s="84" t="s">
        <v>140</v>
      </c>
    </row>
    <row r="178" spans="1:2" x14ac:dyDescent="0.3">
      <c r="A178" s="84" t="s">
        <v>481</v>
      </c>
      <c r="B178" s="84" t="s">
        <v>482</v>
      </c>
    </row>
    <row r="179" spans="1:2" x14ac:dyDescent="0.3">
      <c r="B179" s="84" t="s">
        <v>65</v>
      </c>
    </row>
    <row r="180" spans="1:2" x14ac:dyDescent="0.3">
      <c r="A180" s="84" t="s">
        <v>482</v>
      </c>
      <c r="B180" s="84" t="s">
        <v>65</v>
      </c>
    </row>
    <row r="181" spans="1:2" x14ac:dyDescent="0.3">
      <c r="A181" s="84" t="s">
        <v>481</v>
      </c>
      <c r="B181" s="84" t="s">
        <v>482</v>
      </c>
    </row>
    <row r="182" spans="1:2" x14ac:dyDescent="0.3">
      <c r="B182" s="84" t="s">
        <v>65</v>
      </c>
    </row>
    <row r="183" spans="1:2" x14ac:dyDescent="0.3">
      <c r="A183" s="84" t="s">
        <v>482</v>
      </c>
      <c r="B183" s="84" t="s">
        <v>65</v>
      </c>
    </row>
    <row r="184" spans="1:2" x14ac:dyDescent="0.3">
      <c r="A184" s="84" t="s">
        <v>185</v>
      </c>
      <c r="B184" s="84" t="s">
        <v>65</v>
      </c>
    </row>
    <row r="185" spans="1:2" x14ac:dyDescent="0.3">
      <c r="A185" s="84" t="s">
        <v>481</v>
      </c>
      <c r="B185" s="84" t="s">
        <v>482</v>
      </c>
    </row>
    <row r="186" spans="1:2" x14ac:dyDescent="0.3">
      <c r="B186" s="84" t="s">
        <v>65</v>
      </c>
    </row>
    <row r="187" spans="1:2" x14ac:dyDescent="0.3">
      <c r="A187" s="84" t="s">
        <v>482</v>
      </c>
      <c r="B187" s="84" t="s">
        <v>65</v>
      </c>
    </row>
    <row r="188" spans="1:2" x14ac:dyDescent="0.3">
      <c r="A188" s="84" t="s">
        <v>481</v>
      </c>
      <c r="B188" s="84" t="s">
        <v>482</v>
      </c>
    </row>
    <row r="189" spans="1:2" x14ac:dyDescent="0.3">
      <c r="B189" s="84" t="s">
        <v>65</v>
      </c>
    </row>
    <row r="190" spans="1:2" x14ac:dyDescent="0.3">
      <c r="A190" s="84" t="s">
        <v>482</v>
      </c>
      <c r="B190" s="84" t="s">
        <v>65</v>
      </c>
    </row>
    <row r="191" spans="1:2" x14ac:dyDescent="0.3">
      <c r="A191" s="84" t="s">
        <v>71</v>
      </c>
      <c r="B191" s="84" t="s">
        <v>65</v>
      </c>
    </row>
    <row r="192" spans="1:2" x14ac:dyDescent="0.3">
      <c r="B192" s="84" t="s">
        <v>479</v>
      </c>
    </row>
    <row r="193" spans="1:2" x14ac:dyDescent="0.3">
      <c r="A193" s="84" t="s">
        <v>479</v>
      </c>
      <c r="B193" s="84" t="s">
        <v>65</v>
      </c>
    </row>
    <row r="194" spans="1:2" x14ac:dyDescent="0.3">
      <c r="A194" s="84" t="s">
        <v>71</v>
      </c>
      <c r="B194" s="84" t="s">
        <v>65</v>
      </c>
    </row>
    <row r="195" spans="1:2" x14ac:dyDescent="0.3">
      <c r="B195" s="84" t="s">
        <v>479</v>
      </c>
    </row>
    <row r="196" spans="1:2" x14ac:dyDescent="0.3">
      <c r="A196" s="84" t="s">
        <v>479</v>
      </c>
      <c r="B196" s="84" t="s">
        <v>65</v>
      </c>
    </row>
    <row r="197" spans="1:2" x14ac:dyDescent="0.3">
      <c r="A197" s="84" t="s">
        <v>71</v>
      </c>
      <c r="B197" s="84" t="s">
        <v>65</v>
      </c>
    </row>
    <row r="198" spans="1:2" x14ac:dyDescent="0.3">
      <c r="B198" s="84" t="s">
        <v>479</v>
      </c>
    </row>
    <row r="199" spans="1:2" x14ac:dyDescent="0.3">
      <c r="A199" s="84" t="s">
        <v>479</v>
      </c>
      <c r="B199" s="84" t="s">
        <v>65</v>
      </c>
    </row>
    <row r="200" spans="1:2" x14ac:dyDescent="0.3">
      <c r="A200" s="84" t="s">
        <v>71</v>
      </c>
      <c r="B200" s="84" t="s">
        <v>65</v>
      </c>
    </row>
    <row r="201" spans="1:2" x14ac:dyDescent="0.3">
      <c r="B201" s="84" t="s">
        <v>479</v>
      </c>
    </row>
    <row r="202" spans="1:2" x14ac:dyDescent="0.3">
      <c r="A202" s="84" t="s">
        <v>479</v>
      </c>
      <c r="B202" s="84" t="s">
        <v>65</v>
      </c>
    </row>
    <row r="203" spans="1:2" x14ac:dyDescent="0.3">
      <c r="A203" s="84" t="s">
        <v>140</v>
      </c>
      <c r="B203" s="84" t="s">
        <v>227</v>
      </c>
    </row>
    <row r="204" spans="1:2" x14ac:dyDescent="0.3">
      <c r="B204" s="84" t="s">
        <v>483</v>
      </c>
    </row>
    <row r="205" spans="1:2" x14ac:dyDescent="0.3">
      <c r="B205" s="84" t="s">
        <v>65</v>
      </c>
    </row>
    <row r="206" spans="1:2" x14ac:dyDescent="0.3">
      <c r="A206" s="84" t="s">
        <v>483</v>
      </c>
      <c r="B206" s="84" t="s">
        <v>227</v>
      </c>
    </row>
    <row r="207" spans="1:2" x14ac:dyDescent="0.3">
      <c r="B207" s="84" t="s">
        <v>65</v>
      </c>
    </row>
    <row r="208" spans="1:2" x14ac:dyDescent="0.3">
      <c r="A208" s="84" t="s">
        <v>193</v>
      </c>
      <c r="B208" s="84" t="s">
        <v>65</v>
      </c>
    </row>
    <row r="209" spans="1:2" x14ac:dyDescent="0.3">
      <c r="A209" s="84" t="s">
        <v>194</v>
      </c>
      <c r="B209" s="84" t="s">
        <v>65</v>
      </c>
    </row>
    <row r="210" spans="1:2" x14ac:dyDescent="0.3">
      <c r="A210" s="84" t="s">
        <v>484</v>
      </c>
      <c r="B210" s="84" t="s">
        <v>65</v>
      </c>
    </row>
    <row r="211" spans="1:2" x14ac:dyDescent="0.3">
      <c r="A211" s="84" t="s">
        <v>485</v>
      </c>
      <c r="B211" s="84" t="s">
        <v>65</v>
      </c>
    </row>
    <row r="212" spans="1:2" x14ac:dyDescent="0.3">
      <c r="B212" s="84" t="s">
        <v>486</v>
      </c>
    </row>
    <row r="213" spans="1:2" x14ac:dyDescent="0.3">
      <c r="A213" s="84" t="s">
        <v>438</v>
      </c>
      <c r="B213" s="84" t="s">
        <v>65</v>
      </c>
    </row>
    <row r="214" spans="1:2" x14ac:dyDescent="0.3">
      <c r="B214" s="84" t="s">
        <v>486</v>
      </c>
    </row>
    <row r="215" spans="1:2" x14ac:dyDescent="0.3">
      <c r="A215" s="84" t="s">
        <v>487</v>
      </c>
      <c r="B215" s="84" t="s">
        <v>65</v>
      </c>
    </row>
    <row r="216" spans="1:2" x14ac:dyDescent="0.3">
      <c r="A216" s="84" t="s">
        <v>128</v>
      </c>
      <c r="B216" s="84" t="s">
        <v>65</v>
      </c>
    </row>
    <row r="217" spans="1:2" x14ac:dyDescent="0.3">
      <c r="B217" s="84" t="s">
        <v>488</v>
      </c>
    </row>
    <row r="218" spans="1:2" x14ac:dyDescent="0.3">
      <c r="B218" s="84" t="s">
        <v>129</v>
      </c>
    </row>
    <row r="219" spans="1:2" x14ac:dyDescent="0.3">
      <c r="A219" s="84" t="s">
        <v>129</v>
      </c>
      <c r="B219" s="84" t="s">
        <v>130</v>
      </c>
    </row>
    <row r="220" spans="1:2" x14ac:dyDescent="0.3">
      <c r="A220" s="84" t="s">
        <v>130</v>
      </c>
      <c r="B220" s="84" t="s">
        <v>65</v>
      </c>
    </row>
    <row r="221" spans="1:2" x14ac:dyDescent="0.3">
      <c r="B221" s="84" t="s">
        <v>156</v>
      </c>
    </row>
    <row r="222" spans="1:2" x14ac:dyDescent="0.3">
      <c r="A222" s="84" t="s">
        <v>417</v>
      </c>
      <c r="B222" s="84" t="s">
        <v>65</v>
      </c>
    </row>
    <row r="223" spans="1:2" x14ac:dyDescent="0.3">
      <c r="B223" s="84" t="s">
        <v>483</v>
      </c>
    </row>
    <row r="224" spans="1:2" x14ac:dyDescent="0.3">
      <c r="A224" s="84" t="s">
        <v>483</v>
      </c>
      <c r="B224" s="84" t="s">
        <v>489</v>
      </c>
    </row>
    <row r="225" spans="1:2" x14ac:dyDescent="0.3">
      <c r="B225" s="84" t="s">
        <v>65</v>
      </c>
    </row>
    <row r="226" spans="1:2" x14ac:dyDescent="0.3">
      <c r="A226" s="84" t="s">
        <v>489</v>
      </c>
      <c r="B226" s="84" t="s">
        <v>65</v>
      </c>
    </row>
    <row r="227" spans="1:2" x14ac:dyDescent="0.3">
      <c r="A227" s="84" t="s">
        <v>490</v>
      </c>
      <c r="B227" s="84" t="s">
        <v>65</v>
      </c>
    </row>
    <row r="228" spans="1:2" x14ac:dyDescent="0.3">
      <c r="A228" s="84" t="s">
        <v>491</v>
      </c>
      <c r="B228" s="84" t="s">
        <v>65</v>
      </c>
    </row>
    <row r="229" spans="1:2" x14ac:dyDescent="0.3">
      <c r="A229" s="84" t="s">
        <v>230</v>
      </c>
      <c r="B229" s="84" t="s">
        <v>65</v>
      </c>
    </row>
    <row r="230" spans="1:2" x14ac:dyDescent="0.3">
      <c r="A230" s="84" t="s">
        <v>163</v>
      </c>
      <c r="B230" s="84" t="s">
        <v>132</v>
      </c>
    </row>
    <row r="231" spans="1:2" x14ac:dyDescent="0.3">
      <c r="A231" s="84" t="s">
        <v>164</v>
      </c>
      <c r="B231" s="84" t="s">
        <v>132</v>
      </c>
    </row>
    <row r="232" spans="1:2" x14ac:dyDescent="0.3">
      <c r="A232" s="84" t="s">
        <v>165</v>
      </c>
      <c r="B232" s="84" t="s">
        <v>132</v>
      </c>
    </row>
    <row r="233" spans="1:2" x14ac:dyDescent="0.3">
      <c r="A233" s="84" t="s">
        <v>132</v>
      </c>
      <c r="B233" s="84" t="s">
        <v>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AE83"/>
  <sheetViews>
    <sheetView topLeftCell="A34" zoomScale="70" zoomScaleNormal="70" workbookViewId="0">
      <selection activeCell="AB83" sqref="AB83"/>
    </sheetView>
  </sheetViews>
  <sheetFormatPr defaultRowHeight="14.4" x14ac:dyDescent="0.3"/>
  <cols>
    <col min="1" max="1" width="11.44140625" customWidth="1"/>
    <col min="2" max="2" width="10.6640625" customWidth="1"/>
  </cols>
  <sheetData>
    <row r="1" spans="1:31" x14ac:dyDescent="0.3">
      <c r="A1" t="s">
        <v>95</v>
      </c>
      <c r="J1" t="s">
        <v>100</v>
      </c>
      <c r="L1">
        <v>2.8721999999999999</v>
      </c>
    </row>
    <row r="2" spans="1:31" x14ac:dyDescent="0.3">
      <c r="A2" t="s">
        <v>96</v>
      </c>
      <c r="J2" t="s">
        <v>101</v>
      </c>
      <c r="L2">
        <v>2.8210999999999999</v>
      </c>
      <c r="S2" s="5" t="s">
        <v>44</v>
      </c>
      <c r="T2" s="3"/>
      <c r="Y2" s="92" t="s">
        <v>300</v>
      </c>
      <c r="Z2" s="92"/>
      <c r="AB2" t="s">
        <v>301</v>
      </c>
      <c r="AD2" s="92" t="s">
        <v>321</v>
      </c>
      <c r="AE2" s="92"/>
    </row>
    <row r="3" spans="1:31" x14ac:dyDescent="0.3">
      <c r="A3" s="92" t="s">
        <v>97</v>
      </c>
      <c r="B3" s="92"/>
      <c r="S3" s="3" t="s">
        <v>45</v>
      </c>
      <c r="T3" s="3">
        <v>8.1</v>
      </c>
      <c r="Y3" s="49" t="s">
        <v>236</v>
      </c>
      <c r="Z3" s="1" t="s">
        <v>237</v>
      </c>
      <c r="AB3" s="1" t="s">
        <v>54</v>
      </c>
      <c r="AD3" s="5" t="s">
        <v>304</v>
      </c>
      <c r="AE3" s="5" t="s">
        <v>237</v>
      </c>
    </row>
    <row r="4" spans="1:31" x14ac:dyDescent="0.3">
      <c r="A4" s="5" t="s">
        <v>53</v>
      </c>
      <c r="B4" s="5" t="s">
        <v>54</v>
      </c>
      <c r="E4" t="s">
        <v>122</v>
      </c>
      <c r="F4" t="s">
        <v>53</v>
      </c>
      <c r="S4" s="3" t="s">
        <v>46</v>
      </c>
      <c r="T4" s="3">
        <v>34.5</v>
      </c>
      <c r="Y4" s="50">
        <f>0.15+0.01*3+0.007*('INFILTRATION LOAD'!D4-'INFILTRATION LOAD'!E4)</f>
        <v>0.26400000000000001</v>
      </c>
      <c r="Z4">
        <v>37.438600000000001</v>
      </c>
      <c r="AB4" s="46">
        <v>34.276899999999998</v>
      </c>
      <c r="AD4">
        <f>0.15+3*0.01+0.007*('INFILTRATION LOAD'!D164-'INFILTRATION LOAD'!E164)</f>
        <v>0.26400000000000001</v>
      </c>
      <c r="AE4">
        <v>34.276899999999998</v>
      </c>
    </row>
    <row r="5" spans="1:31" x14ac:dyDescent="0.3">
      <c r="A5">
        <v>4</v>
      </c>
      <c r="B5">
        <f>A5*1</f>
        <v>4</v>
      </c>
      <c r="E5">
        <v>2</v>
      </c>
      <c r="F5">
        <v>1</v>
      </c>
      <c r="Y5" s="50">
        <f>0.15+0.01*3+0.007*('INFILTRATION LOAD'!D5-'INFILTRATION LOAD'!E5)</f>
        <v>0.26400000000000001</v>
      </c>
      <c r="Z5">
        <v>9.6511999999999993</v>
      </c>
      <c r="AB5" s="46">
        <v>2.6175000000000002</v>
      </c>
      <c r="AD5">
        <f>0.15+3*0.01+0.007*('INFILTRATION LOAD'!D165-'INFILTRATION LOAD'!E165)</f>
        <v>0.2535</v>
      </c>
      <c r="AE5">
        <v>2.6175000000000002</v>
      </c>
    </row>
    <row r="6" spans="1:31" x14ac:dyDescent="0.3">
      <c r="B6">
        <f>A6*1</f>
        <v>0</v>
      </c>
      <c r="E6">
        <v>1.2</v>
      </c>
      <c r="F6">
        <v>1</v>
      </c>
      <c r="Y6" s="50">
        <f>0.15+0.01*3+0.007*('INFILTRATION LOAD'!D6-'INFILTRATION LOAD'!E6)</f>
        <v>0.2535</v>
      </c>
      <c r="Z6">
        <v>7.8174999999999999</v>
      </c>
      <c r="AB6" s="46">
        <v>34.26</v>
      </c>
      <c r="AD6">
        <f>0.15+3*0.01+0.007*('INFILTRATION LOAD'!D166-'INFILTRATION LOAD'!E166)</f>
        <v>0.26400000000000001</v>
      </c>
      <c r="AE6">
        <v>34.26</v>
      </c>
    </row>
    <row r="7" spans="1:31" x14ac:dyDescent="0.3">
      <c r="A7">
        <v>1.2</v>
      </c>
      <c r="B7">
        <f>A7*1</f>
        <v>1.2</v>
      </c>
      <c r="E7">
        <v>0.6</v>
      </c>
      <c r="F7">
        <v>0.6</v>
      </c>
      <c r="Y7" s="50">
        <f>0.15+0.01*3+0.007*('INFILTRATION LOAD'!D7-'INFILTRATION LOAD'!E7)</f>
        <v>0.26400000000000001</v>
      </c>
      <c r="Z7">
        <v>16.3095</v>
      </c>
      <c r="AB7" s="46">
        <v>2.6175000000000002</v>
      </c>
      <c r="AD7">
        <f>0.15+3*0.01+0.007*('INFILTRATION LOAD'!D167-'INFILTRATION LOAD'!E167)</f>
        <v>0.26400000000000001</v>
      </c>
      <c r="AE7">
        <v>2.6175000000000002</v>
      </c>
    </row>
    <row r="8" spans="1:31" x14ac:dyDescent="0.3">
      <c r="A8">
        <v>0.6</v>
      </c>
      <c r="B8">
        <f>A8*0.6</f>
        <v>0.36</v>
      </c>
      <c r="E8">
        <v>1.2</v>
      </c>
      <c r="F8">
        <v>0.6</v>
      </c>
      <c r="Y8" s="50">
        <f>0.15+0.01*3+0.007*('INFILTRATION LOAD'!D8-'INFILTRATION LOAD'!E8)</f>
        <v>0.2535</v>
      </c>
      <c r="Z8" s="51">
        <v>2.8374999999999999</v>
      </c>
      <c r="AB8" s="47">
        <v>220.33240000000001</v>
      </c>
      <c r="AD8">
        <f>0.15+3*0.01+0.007*('INFILTRATION LOAD'!D168-'INFILTRATION LOAD'!E168)</f>
        <v>0.26400000000000001</v>
      </c>
      <c r="AE8">
        <v>37.408700000000003</v>
      </c>
    </row>
    <row r="9" spans="1:31" x14ac:dyDescent="0.3">
      <c r="A9">
        <v>1.2</v>
      </c>
      <c r="B9">
        <f>A9*0.6</f>
        <v>0.72</v>
      </c>
      <c r="E9">
        <v>1.2</v>
      </c>
      <c r="F9">
        <v>0.6</v>
      </c>
      <c r="Y9" s="50">
        <f>0.15+0.01*3+0.007*('INFILTRATION LOAD'!D9-'INFILTRATION LOAD'!E9)</f>
        <v>0.2535</v>
      </c>
      <c r="Z9">
        <v>18.299099999999999</v>
      </c>
      <c r="AB9" s="47">
        <v>143.29113000000001</v>
      </c>
      <c r="AD9">
        <f>0.15+3*0.01+0.007*('INFILTRATION LOAD'!D169-'INFILTRATION LOAD'!E169)</f>
        <v>0.26400000000000001</v>
      </c>
      <c r="AE9">
        <v>37.408700000000003</v>
      </c>
    </row>
    <row r="10" spans="1:31" x14ac:dyDescent="0.3">
      <c r="A10">
        <v>1.2</v>
      </c>
      <c r="B10">
        <f>A10*0.6</f>
        <v>0.72</v>
      </c>
      <c r="E10">
        <v>1.6</v>
      </c>
      <c r="F10">
        <v>1</v>
      </c>
      <c r="Y10" s="50">
        <f>0.15+0.01*3+0.007*('INFILTRATION LOAD'!D10-'INFILTRATION LOAD'!E10)</f>
        <v>0.2535</v>
      </c>
      <c r="Z10">
        <v>18.346399999999999</v>
      </c>
      <c r="AB10" s="47">
        <v>78.757400000000004</v>
      </c>
      <c r="AD10">
        <f>0.15+3*0.01+0.007*('INFILTRATION LOAD'!D170-'INFILTRATION LOAD'!E170)</f>
        <v>0.26400000000000001</v>
      </c>
      <c r="AE10">
        <v>34.26</v>
      </c>
    </row>
    <row r="11" spans="1:31" x14ac:dyDescent="0.3">
      <c r="A11">
        <v>1.6</v>
      </c>
      <c r="B11">
        <f>A11*1</f>
        <v>1.6</v>
      </c>
      <c r="E11">
        <v>2.2000000000000002</v>
      </c>
      <c r="F11">
        <v>1</v>
      </c>
      <c r="Y11" s="50">
        <f>0.15+0.01*3+0.007*('INFILTRATION LOAD'!D11-'INFILTRATION LOAD'!E11)</f>
        <v>0.26750000000000002</v>
      </c>
      <c r="Z11">
        <v>23.3886</v>
      </c>
      <c r="AB11" s="47">
        <v>99.654700000000005</v>
      </c>
      <c r="AD11">
        <f>0.15+3*0.01+0.007*('INFILTRATION LOAD'!D171-'INFILTRATION LOAD'!E171)</f>
        <v>0.2535</v>
      </c>
      <c r="AE11">
        <v>2.6175000000000002</v>
      </c>
    </row>
    <row r="12" spans="1:31" x14ac:dyDescent="0.3">
      <c r="A12">
        <v>4.4000000000000004</v>
      </c>
      <c r="B12">
        <f>A12*1</f>
        <v>4.4000000000000004</v>
      </c>
      <c r="E12">
        <v>1.2</v>
      </c>
      <c r="F12">
        <v>0.6</v>
      </c>
      <c r="Y12" s="50">
        <f>0.15+0.01*3+0.007*('INFILTRATION LOAD'!D12-'INFILTRATION LOAD'!E12)</f>
        <v>0.2535</v>
      </c>
      <c r="Z12">
        <v>5.61</v>
      </c>
      <c r="AB12" s="47">
        <v>142.8801</v>
      </c>
      <c r="AD12">
        <f>0.15+3*0.01+0.007*('INFILTRATION LOAD'!D172-'INFILTRATION LOAD'!E172)</f>
        <v>0.26400000000000001</v>
      </c>
      <c r="AE12">
        <v>34.26</v>
      </c>
    </row>
    <row r="13" spans="1:31" x14ac:dyDescent="0.3">
      <c r="B13">
        <f>A13*1</f>
        <v>0</v>
      </c>
      <c r="E13">
        <v>2</v>
      </c>
      <c r="F13">
        <v>1</v>
      </c>
      <c r="Y13" s="50">
        <f>0.15+0.01*3+0.007*('INFILTRATION LOAD'!D13-'INFILTRATION LOAD'!E13)</f>
        <v>0.26400000000000001</v>
      </c>
      <c r="Z13">
        <v>42.192500000000003</v>
      </c>
      <c r="AB13" s="46">
        <v>34.29</v>
      </c>
      <c r="AD13">
        <f>0.15+3*0.01+0.007*('INFILTRATION LOAD'!D173-'INFILTRATION LOAD'!E173)</f>
        <v>0.2535</v>
      </c>
      <c r="AE13">
        <v>2.6175000000000002</v>
      </c>
    </row>
    <row r="14" spans="1:31" x14ac:dyDescent="0.3">
      <c r="A14">
        <v>1.2</v>
      </c>
      <c r="B14">
        <f>A14*0.6</f>
        <v>0.72</v>
      </c>
      <c r="E14">
        <v>2.75</v>
      </c>
      <c r="F14">
        <v>1</v>
      </c>
      <c r="Y14" s="50">
        <f>0.15+0.01*3+0.007*('INFILTRATION LOAD'!D14-'INFILTRATION LOAD'!E14)</f>
        <v>0.2535</v>
      </c>
      <c r="Z14" s="51">
        <v>3.7086999999999999</v>
      </c>
      <c r="AB14" s="46">
        <v>2.6175000000000002</v>
      </c>
      <c r="AD14">
        <f>0.15+3*0.01+0.007*('INFILTRATION LOAD'!D174-'INFILTRATION LOAD'!E174)</f>
        <v>0.26400000000000001</v>
      </c>
      <c r="AE14">
        <v>10.1393</v>
      </c>
    </row>
    <row r="15" spans="1:31" x14ac:dyDescent="0.3">
      <c r="A15">
        <v>1.6</v>
      </c>
      <c r="B15">
        <f>A15*1</f>
        <v>1.6</v>
      </c>
      <c r="E15">
        <v>3.6</v>
      </c>
      <c r="F15">
        <v>2.5</v>
      </c>
      <c r="Y15" s="50">
        <f>0.15+0.01*3+0.007*('INFILTRATION LOAD'!D15-'INFILTRATION LOAD'!E15)</f>
        <v>0.26400000000000001</v>
      </c>
      <c r="Z15">
        <v>19.637799999999999</v>
      </c>
      <c r="AB15" s="46">
        <v>34.1175</v>
      </c>
      <c r="AD15">
        <f>0.15+3*0.01+0.007*('INFILTRATION LOAD'!D175-'INFILTRATION LOAD'!E175)</f>
        <v>0.2535</v>
      </c>
      <c r="AE15">
        <v>2.6221999999999999</v>
      </c>
    </row>
    <row r="16" spans="1:31" x14ac:dyDescent="0.3">
      <c r="A16">
        <v>4.4000000000000004</v>
      </c>
      <c r="B16">
        <f>A16*1</f>
        <v>4.4000000000000004</v>
      </c>
      <c r="E16">
        <v>0.6</v>
      </c>
      <c r="F16">
        <v>1</v>
      </c>
      <c r="Y16" s="50">
        <f>0.15+0.01*3+0.007*('INFILTRATION LOAD'!D16-'INFILTRATION LOAD'!E16)</f>
        <v>0.26400000000000001</v>
      </c>
      <c r="Z16">
        <v>31.289300000000001</v>
      </c>
      <c r="AB16" s="46">
        <v>2.6175000000000002</v>
      </c>
      <c r="AD16">
        <f>0.15+3*0.01+0.007*('INFILTRATION LOAD'!D176-'INFILTRATION LOAD'!E176)</f>
        <v>0.26400000000000001</v>
      </c>
      <c r="AE16">
        <v>13.9222</v>
      </c>
    </row>
    <row r="17" spans="1:31" x14ac:dyDescent="0.3">
      <c r="A17">
        <v>8.15</v>
      </c>
      <c r="B17">
        <f>A17*1</f>
        <v>8.15</v>
      </c>
      <c r="E17">
        <v>4.2</v>
      </c>
      <c r="F17">
        <v>1</v>
      </c>
      <c r="Y17" s="50">
        <f>0.15+0.01*3+0.007*('INFILTRATION LOAD'!D17-'INFILTRATION LOAD'!E17)</f>
        <v>0.2535</v>
      </c>
      <c r="Z17">
        <v>3.9771999999999998</v>
      </c>
      <c r="AB17" s="46">
        <v>13.6738</v>
      </c>
      <c r="AD17">
        <f>0.15+3*0.01+0.007*('INFILTRATION LOAD'!D177-'INFILTRATION LOAD'!E177)</f>
        <v>0.2535</v>
      </c>
      <c r="AE17">
        <v>2.6154999999999999</v>
      </c>
    </row>
    <row r="18" spans="1:31" x14ac:dyDescent="0.3">
      <c r="A18">
        <v>2.4</v>
      </c>
      <c r="B18">
        <f>A18*1</f>
        <v>2.4</v>
      </c>
      <c r="E18">
        <v>0.6</v>
      </c>
      <c r="F18">
        <v>0.6</v>
      </c>
      <c r="Y18" s="50">
        <f>0.15+0.01*3+0.007*('INFILTRATION LOAD'!D18-'INFILTRATION LOAD'!E18)</f>
        <v>0.26400000000000001</v>
      </c>
      <c r="Z18">
        <v>20.748699999999999</v>
      </c>
      <c r="AB18" s="47">
        <v>2.6231</v>
      </c>
      <c r="AD18">
        <f>0.15+3*0.01+0.007*('INFILTRATION LOAD'!D178-'INFILTRATION LOAD'!E178)</f>
        <v>0.26400000000000001</v>
      </c>
      <c r="AE18">
        <v>13.873799999999999</v>
      </c>
    </row>
    <row r="19" spans="1:31" x14ac:dyDescent="0.3">
      <c r="A19">
        <v>0.6</v>
      </c>
      <c r="B19">
        <f>A19*0.6</f>
        <v>0.36</v>
      </c>
      <c r="E19">
        <v>0.6</v>
      </c>
      <c r="F19">
        <v>1</v>
      </c>
      <c r="Y19" s="50">
        <f>0.15+0.01*3+0.007*('INFILTRATION LOAD'!D19-'INFILTRATION LOAD'!E19)</f>
        <v>0.26400000000000001</v>
      </c>
      <c r="Z19">
        <v>17.9512</v>
      </c>
      <c r="AB19" s="46">
        <v>13.9206</v>
      </c>
      <c r="AD19">
        <f>0.15+3*0.01+0.007*('INFILTRATION LOAD'!D179-'INFILTRATION LOAD'!E179)</f>
        <v>0.2535</v>
      </c>
      <c r="AE19">
        <v>2.6185999999999998</v>
      </c>
    </row>
    <row r="20" spans="1:31" x14ac:dyDescent="0.3">
      <c r="A20">
        <v>0.6</v>
      </c>
      <c r="B20">
        <f>A20*0.6</f>
        <v>0.36</v>
      </c>
      <c r="E20">
        <v>1.6</v>
      </c>
      <c r="F20">
        <v>1</v>
      </c>
      <c r="Y20" s="50">
        <f>0.15+0.01*3+0.007*('INFILTRATION LOAD'!D20-'INFILTRATION LOAD'!E20)</f>
        <v>0.26400000000000001</v>
      </c>
      <c r="Z20">
        <v>18.630800000000001</v>
      </c>
      <c r="AB20" s="47">
        <v>2.6154999999999999</v>
      </c>
      <c r="AD20">
        <f>0.15+3*0.01+0.007*('INFILTRATION LOAD'!D180-'INFILTRATION LOAD'!E180)</f>
        <v>0.26400000000000001</v>
      </c>
      <c r="AE20">
        <v>30.712</v>
      </c>
    </row>
    <row r="21" spans="1:31" x14ac:dyDescent="0.3">
      <c r="A21">
        <v>2</v>
      </c>
      <c r="B21">
        <f>A21*1</f>
        <v>2</v>
      </c>
      <c r="E21">
        <v>0.6</v>
      </c>
      <c r="F21">
        <v>0.6</v>
      </c>
      <c r="Y21" s="50">
        <f>0.15+0.01*3+0.007*('INFILTRATION LOAD'!D21-'INFILTRATION LOAD'!E21)</f>
        <v>0.26400000000000001</v>
      </c>
      <c r="Z21">
        <v>17.137799999999999</v>
      </c>
      <c r="AB21" s="46">
        <v>13.875400000000001</v>
      </c>
      <c r="AD21">
        <f>0.15+3*0.01+0.007*('INFILTRATION LOAD'!D181-'INFILTRATION LOAD'!E181)</f>
        <v>0.2535</v>
      </c>
      <c r="AE21">
        <v>2.6374</v>
      </c>
    </row>
    <row r="22" spans="1:31" x14ac:dyDescent="0.3">
      <c r="A22">
        <v>4.8</v>
      </c>
      <c r="B22">
        <f>A22*1</f>
        <v>4.8</v>
      </c>
      <c r="E22">
        <v>4.2</v>
      </c>
      <c r="F22">
        <v>1</v>
      </c>
      <c r="Y22" s="50">
        <f>0.15+0.01*3+0.007*('INFILTRATION LOAD'!D22-'INFILTRATION LOAD'!E22)</f>
        <v>0.26400000000000001</v>
      </c>
      <c r="Z22">
        <v>11.606199999999999</v>
      </c>
      <c r="AB22" s="47">
        <v>2.6196999999999999</v>
      </c>
      <c r="AD22">
        <f>0.15+3*0.01+0.007*('INFILTRATION LOAD'!D182-'INFILTRATION LOAD'!E182)</f>
        <v>0.26400000000000001</v>
      </c>
      <c r="AE22">
        <v>17.941299999999998</v>
      </c>
    </row>
    <row r="23" spans="1:31" x14ac:dyDescent="0.3">
      <c r="A23">
        <v>0.6</v>
      </c>
      <c r="B23">
        <f>A23*0.6</f>
        <v>0.36</v>
      </c>
      <c r="E23">
        <v>8.4</v>
      </c>
      <c r="F23">
        <v>1</v>
      </c>
      <c r="Y23" s="50">
        <f>0.15+0.01*3+0.007*('INFILTRATION LOAD'!D23-'INFILTRATION LOAD'!E23)</f>
        <v>0.26400000000000001</v>
      </c>
      <c r="Z23">
        <v>130.9682</v>
      </c>
      <c r="AB23" s="46">
        <v>30.712</v>
      </c>
      <c r="AD23">
        <f>0.15+3*0.01+0.007*('INFILTRATION LOAD'!D183-'INFILTRATION LOAD'!E183)</f>
        <v>0.26400000000000001</v>
      </c>
      <c r="AE23">
        <v>22.829000000000001</v>
      </c>
    </row>
    <row r="24" spans="1:31" x14ac:dyDescent="0.3">
      <c r="B24">
        <f>A24*1</f>
        <v>0</v>
      </c>
      <c r="E24">
        <v>1.4</v>
      </c>
      <c r="F24">
        <v>1</v>
      </c>
      <c r="Y24" s="50">
        <f>0.15+0.01*3+0.007*('INFILTRATION LOAD'!D24-'INFILTRATION LOAD'!E24)</f>
        <v>0.2535</v>
      </c>
      <c r="Z24" s="51">
        <v>2.9773000000000001</v>
      </c>
      <c r="AB24" s="47">
        <v>2.6374</v>
      </c>
      <c r="AD24">
        <f>0.15+3*0.01+0.007*('INFILTRATION LOAD'!D184-'INFILTRATION LOAD'!E184)</f>
        <v>0.2535</v>
      </c>
      <c r="AE24">
        <v>2.415</v>
      </c>
    </row>
    <row r="25" spans="1:31" x14ac:dyDescent="0.3">
      <c r="A25">
        <v>4.2</v>
      </c>
      <c r="B25">
        <f>A25*1</f>
        <v>4.2</v>
      </c>
      <c r="E25">
        <v>2.4</v>
      </c>
      <c r="F25">
        <v>1</v>
      </c>
      <c r="Y25" s="50">
        <f>0.15+0.01*3+0.007*('INFILTRATION LOAD'!D25-'INFILTRATION LOAD'!E25)</f>
        <v>0.26400000000000001</v>
      </c>
      <c r="Z25" s="51">
        <v>656.17899999999997</v>
      </c>
      <c r="AB25" s="46">
        <v>17.941299999999998</v>
      </c>
      <c r="AD25">
        <f>0.15+3*0.01+0.007*('INFILTRATION LOAD'!D185-'INFILTRATION LOAD'!E185)</f>
        <v>0.2535</v>
      </c>
      <c r="AE25">
        <v>4.7869000000000002</v>
      </c>
    </row>
    <row r="26" spans="1:31" x14ac:dyDescent="0.3">
      <c r="A26">
        <v>2.8</v>
      </c>
      <c r="B26">
        <f>A26*1</f>
        <v>2.8</v>
      </c>
      <c r="E26">
        <v>2.8</v>
      </c>
      <c r="F26">
        <v>1</v>
      </c>
      <c r="Y26" s="50">
        <f>0.15+0.01*3+0.007*('INFILTRATION LOAD'!D26-'INFILTRATION LOAD'!E26)</f>
        <v>0.26750000000000002</v>
      </c>
      <c r="Z26">
        <v>32.86</v>
      </c>
      <c r="AB26" s="46">
        <v>22.829000000000001</v>
      </c>
      <c r="AD26">
        <f>0.15+3*0.01+0.007*('INFILTRATION LOAD'!D186-'INFILTRATION LOAD'!E186)</f>
        <v>0.2535</v>
      </c>
      <c r="AE26">
        <v>2.4581</v>
      </c>
    </row>
    <row r="27" spans="1:31" x14ac:dyDescent="0.3">
      <c r="A27">
        <v>2.8</v>
      </c>
      <c r="B27">
        <f>A27*0.6</f>
        <v>1.68</v>
      </c>
      <c r="E27">
        <v>1.8</v>
      </c>
      <c r="F27">
        <v>1</v>
      </c>
      <c r="Y27" s="50">
        <f>0.15+0.01*3+0.007*('INFILTRATION LOAD'!D27-'INFILTRATION LOAD'!E27)</f>
        <v>0.26400000000000001</v>
      </c>
      <c r="Z27">
        <v>12.6775</v>
      </c>
      <c r="AB27" s="47">
        <v>2.4121000000000001</v>
      </c>
      <c r="AD27">
        <f>0.15+3*0.01+0.007*('INFILTRATION LOAD'!D187-'INFILTRATION LOAD'!E187)</f>
        <v>0.26400000000000001</v>
      </c>
      <c r="AE27">
        <v>13.8735</v>
      </c>
    </row>
    <row r="28" spans="1:31" x14ac:dyDescent="0.3">
      <c r="A28">
        <v>2.4</v>
      </c>
      <c r="B28">
        <f>A28*1</f>
        <v>2.4</v>
      </c>
      <c r="E28">
        <v>2.4</v>
      </c>
      <c r="F28">
        <v>1</v>
      </c>
      <c r="Y28" s="50">
        <f>0.15+0.01*3+0.007*('INFILTRATION LOAD'!D28-'INFILTRATION LOAD'!E28)</f>
        <v>0.2535</v>
      </c>
      <c r="Z28" s="51">
        <v>3.2363</v>
      </c>
      <c r="AB28" s="46">
        <v>4.7869000000000002</v>
      </c>
      <c r="AD28">
        <f>0.15+3*0.01+0.007*('INFILTRATION LOAD'!D188-'INFILTRATION LOAD'!E188)</f>
        <v>0.2535</v>
      </c>
      <c r="AE28">
        <v>2.6175000000000002</v>
      </c>
    </row>
    <row r="29" spans="1:31" x14ac:dyDescent="0.3">
      <c r="B29">
        <f>A29*1</f>
        <v>0</v>
      </c>
      <c r="E29">
        <v>1.73</v>
      </c>
      <c r="F29">
        <v>1</v>
      </c>
      <c r="Y29" s="50">
        <f>0.15+0.01*3+0.007*('INFILTRATION LOAD'!D29-'INFILTRATION LOAD'!E29)</f>
        <v>0.26400000000000001</v>
      </c>
      <c r="Z29">
        <v>14.3811</v>
      </c>
      <c r="AB29" s="46">
        <v>2.4581</v>
      </c>
      <c r="AD29">
        <f>0.15+3*0.01+0.007*('INFILTRATION LOAD'!D189-'INFILTRATION LOAD'!E189)</f>
        <v>0.26400000000000001</v>
      </c>
      <c r="AE29">
        <v>13.892799999999999</v>
      </c>
    </row>
    <row r="30" spans="1:31" x14ac:dyDescent="0.3">
      <c r="A30">
        <v>2.2000000000000002</v>
      </c>
      <c r="B30">
        <f>A30*1</f>
        <v>2.2000000000000002</v>
      </c>
      <c r="E30">
        <v>2</v>
      </c>
      <c r="F30">
        <v>1</v>
      </c>
      <c r="Y30" s="50">
        <f>0.15+0.01*3+0.007*('INFILTRATION LOAD'!D30-'INFILTRATION LOAD'!E30)</f>
        <v>0.26400000000000001</v>
      </c>
      <c r="Z30">
        <v>14.3811</v>
      </c>
      <c r="AB30" s="46">
        <v>13.8735</v>
      </c>
      <c r="AD30">
        <f>0.15+3*0.01+0.007*('INFILTRATION LOAD'!D190-'INFILTRATION LOAD'!E190)</f>
        <v>0.2535</v>
      </c>
      <c r="AE30">
        <v>2.6175000000000002</v>
      </c>
    </row>
    <row r="31" spans="1:31" x14ac:dyDescent="0.3">
      <c r="B31">
        <f>A31*0.6</f>
        <v>0</v>
      </c>
      <c r="E31">
        <v>0.6</v>
      </c>
      <c r="F31">
        <v>0.6</v>
      </c>
      <c r="Y31" s="50">
        <f>0.15+0.01*3+0.007*('INFILTRATION LOAD'!D31-'INFILTRATION LOAD'!E31)</f>
        <v>0.26400000000000001</v>
      </c>
      <c r="Z31">
        <v>8.9650999999999996</v>
      </c>
      <c r="AB31" s="47">
        <v>2.6175000000000002</v>
      </c>
      <c r="AD31">
        <f>0.15+3*0.01+0.007*('INFILTRATION LOAD'!D191-'INFILTRATION LOAD'!E191)</f>
        <v>0.26400000000000001</v>
      </c>
      <c r="AE31">
        <v>10.1716</v>
      </c>
    </row>
    <row r="32" spans="1:31" x14ac:dyDescent="0.3">
      <c r="A32">
        <v>0.6</v>
      </c>
      <c r="B32">
        <f>A32*0.6</f>
        <v>0.36</v>
      </c>
      <c r="E32">
        <v>0.6</v>
      </c>
      <c r="F32">
        <v>0.6</v>
      </c>
      <c r="Y32" s="50">
        <f>0.15+0.01*3+0.007*('INFILTRATION LOAD'!D32-'INFILTRATION LOAD'!E32)</f>
        <v>0.26400000000000001</v>
      </c>
      <c r="Z32">
        <v>14.435600000000001</v>
      </c>
      <c r="AB32" s="46">
        <v>13.892799999999999</v>
      </c>
      <c r="AD32">
        <f>0.15+3*0.01+0.007*('INFILTRATION LOAD'!D192-'INFILTRATION LOAD'!E192)</f>
        <v>0.2535</v>
      </c>
      <c r="AE32">
        <v>2.6213000000000002</v>
      </c>
    </row>
    <row r="33" spans="1:31" x14ac:dyDescent="0.3">
      <c r="B33">
        <f>A33*1</f>
        <v>0</v>
      </c>
      <c r="E33">
        <v>2.4</v>
      </c>
      <c r="F33">
        <v>1</v>
      </c>
      <c r="Y33" s="50">
        <f>0.15+0.01*3+0.007*('INFILTRATION LOAD'!D33-'INFILTRATION LOAD'!E33)</f>
        <v>0.26400000000000001</v>
      </c>
      <c r="Z33">
        <v>14.435600000000001</v>
      </c>
      <c r="AB33" s="47">
        <v>2.6175000000000002</v>
      </c>
      <c r="AD33">
        <f>0.15+3*0.01+0.007*('INFILTRATION LOAD'!D193-'INFILTRATION LOAD'!E193)</f>
        <v>0.26400000000000001</v>
      </c>
      <c r="AE33">
        <v>15.8619</v>
      </c>
    </row>
    <row r="34" spans="1:31" x14ac:dyDescent="0.3">
      <c r="B34">
        <f>A34*1</f>
        <v>0</v>
      </c>
      <c r="E34">
        <v>1.6</v>
      </c>
      <c r="F34">
        <v>1</v>
      </c>
      <c r="Y34" s="50">
        <f>0.15+0.01*3+0.007*('INFILTRATION LOAD'!D34-'INFILTRATION LOAD'!E34)</f>
        <v>0.26400000000000001</v>
      </c>
      <c r="Z34">
        <v>5.4874999999999998</v>
      </c>
      <c r="AB34" s="46">
        <v>13.7066</v>
      </c>
      <c r="AD34">
        <f>0.15+3*0.01+0.007*('INFILTRATION LOAD'!D194-'INFILTRATION LOAD'!E194)</f>
        <v>0.2535</v>
      </c>
      <c r="AE34">
        <v>2.64</v>
      </c>
    </row>
    <row r="35" spans="1:31" x14ac:dyDescent="0.3">
      <c r="A35">
        <v>14</v>
      </c>
      <c r="B35">
        <f>A35*1</f>
        <v>14</v>
      </c>
      <c r="Y35" s="50">
        <f>0.15+0.01*3+0.007*('INFILTRATION LOAD'!D35-'INFILTRATION LOAD'!E35)</f>
        <v>0.26400000000000001</v>
      </c>
      <c r="Z35">
        <v>5.51</v>
      </c>
      <c r="AB35" s="47">
        <v>2.6213000000000002</v>
      </c>
      <c r="AD35">
        <f>0.15+3*0.01+0.007*('INFILTRATION LOAD'!D195-'INFILTRATION LOAD'!E195)</f>
        <v>0.26400000000000001</v>
      </c>
      <c r="AE35">
        <v>15.8619</v>
      </c>
    </row>
    <row r="36" spans="1:31" x14ac:dyDescent="0.3">
      <c r="B36">
        <f>A36*1</f>
        <v>0</v>
      </c>
      <c r="Y36" s="50">
        <f>0.15+0.01*3+0.007*('INFILTRATION LOAD'!D36-'INFILTRATION LOAD'!E36)</f>
        <v>0.26400000000000001</v>
      </c>
      <c r="Z36">
        <v>5.6363000000000003</v>
      </c>
      <c r="AB36" s="46">
        <v>11.052199999999999</v>
      </c>
      <c r="AD36">
        <f>0.15+3*0.01+0.007*('INFILTRATION LOAD'!D196-'INFILTRATION LOAD'!E196)</f>
        <v>0.2535</v>
      </c>
      <c r="AE36">
        <v>2.64</v>
      </c>
    </row>
    <row r="37" spans="1:31" x14ac:dyDescent="0.3">
      <c r="Y37" s="50">
        <f>0.15+0.01*3+0.007*('INFILTRATION LOAD'!D37-'INFILTRATION LOAD'!E37)</f>
        <v>0.2535</v>
      </c>
      <c r="Z37">
        <v>5.5202999999999998</v>
      </c>
      <c r="AB37" s="46">
        <v>13.6813</v>
      </c>
      <c r="AD37">
        <f>0.15+3*0.01+0.007*('INFILTRATION LOAD'!D197-'INFILTRATION LOAD'!E197)</f>
        <v>0.26400000000000001</v>
      </c>
      <c r="AE37">
        <v>24.783000000000001</v>
      </c>
    </row>
    <row r="38" spans="1:31" x14ac:dyDescent="0.3">
      <c r="A38" s="92" t="s">
        <v>99</v>
      </c>
      <c r="B38" s="92"/>
      <c r="C38" s="92"/>
      <c r="Y38" s="50">
        <f>0.15+0.01*3+0.007*('INFILTRATION LOAD'!D38-'INFILTRATION LOAD'!E38)</f>
        <v>0.26400000000000001</v>
      </c>
      <c r="Z38">
        <v>9.1492000000000004</v>
      </c>
      <c r="AB38" s="47">
        <v>2.64</v>
      </c>
      <c r="AD38">
        <f>0.15+3*0.01+0.007*('INFILTRATION LOAD'!D198-'INFILTRATION LOAD'!E198)</f>
        <v>0.2535</v>
      </c>
      <c r="AE38">
        <v>2.64</v>
      </c>
    </row>
    <row r="39" spans="1:31" x14ac:dyDescent="0.3">
      <c r="A39" s="92" t="s">
        <v>98</v>
      </c>
      <c r="B39" s="92"/>
      <c r="C39" s="92"/>
      <c r="Y39" s="50">
        <f>0.15+0.01*3+0.007*('INFILTRATION LOAD'!D39-'INFILTRATION LOAD'!E39)</f>
        <v>0.26400000000000001</v>
      </c>
      <c r="Z39">
        <v>4.9522000000000004</v>
      </c>
      <c r="AB39" s="46">
        <v>18.7319</v>
      </c>
      <c r="AD39">
        <f>0.15+3*0.01+0.007*('INFILTRATION LOAD'!D199-'INFILTRATION LOAD'!E199)</f>
        <v>0.26400000000000001</v>
      </c>
      <c r="AE39">
        <v>24.890899999999998</v>
      </c>
    </row>
    <row r="40" spans="1:31" x14ac:dyDescent="0.3">
      <c r="A40" s="27" t="s">
        <v>87</v>
      </c>
      <c r="B40" s="27" t="s">
        <v>88</v>
      </c>
      <c r="C40" s="27" t="s">
        <v>94</v>
      </c>
      <c r="E40" t="s">
        <v>122</v>
      </c>
      <c r="F40" t="s">
        <v>53</v>
      </c>
      <c r="Y40" s="50">
        <f>0.15+0.01*3+0.007*('INFILTRATION LOAD'!D40-'INFILTRATION LOAD'!E40)</f>
        <v>0.26400000000000001</v>
      </c>
      <c r="Z40">
        <v>25.253799999999998</v>
      </c>
      <c r="AB40" s="47">
        <v>6.9295999999999998</v>
      </c>
      <c r="AD40">
        <f>0.15+3*0.01+0.007*('INFILTRATION LOAD'!D200-'INFILTRATION LOAD'!E200)</f>
        <v>0.2535</v>
      </c>
      <c r="AE40">
        <v>2.64</v>
      </c>
    </row>
    <row r="41" spans="1:31" x14ac:dyDescent="0.3">
      <c r="A41">
        <v>0</v>
      </c>
      <c r="B41">
        <v>0</v>
      </c>
      <c r="C41">
        <v>6.5</v>
      </c>
      <c r="E41">
        <v>2.31</v>
      </c>
      <c r="F41">
        <v>1</v>
      </c>
      <c r="Y41" s="50">
        <f>0.15+0.01*3+0.007*('INFILTRATION LOAD'!D41-'INFILTRATION LOAD'!E41)</f>
        <v>0.26400000000000001</v>
      </c>
      <c r="Z41">
        <v>14.3811</v>
      </c>
      <c r="AB41" s="46">
        <v>25.372</v>
      </c>
      <c r="AD41">
        <f>0.15+3*0.01+0.007*('INFILTRATION LOAD'!D201-'INFILTRATION LOAD'!E201)</f>
        <v>0.26400000000000001</v>
      </c>
      <c r="AE41">
        <v>13.6813</v>
      </c>
    </row>
    <row r="42" spans="1:31" x14ac:dyDescent="0.3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50">
        <f>0.15+0.01*3+0.007*('INFILTRATION LOAD'!D42-'INFILTRATION LOAD'!E42)</f>
        <v>0.26400000000000001</v>
      </c>
      <c r="Z42">
        <v>14.3811</v>
      </c>
      <c r="AB42" s="47">
        <v>2.6086999999999998</v>
      </c>
      <c r="AD42">
        <f>0.15+3*0.01+0.007*('INFILTRATION LOAD'!D202-'INFILTRATION LOAD'!E202)</f>
        <v>0.2535</v>
      </c>
      <c r="AE42">
        <v>2.64</v>
      </c>
    </row>
    <row r="43" spans="1:31" x14ac:dyDescent="0.3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50">
        <f>0.15+0.01*3+0.007*('INFILTRATION LOAD'!D43-'INFILTRATION LOAD'!E43)</f>
        <v>0.26400000000000001</v>
      </c>
      <c r="Z43">
        <v>10.417999999999999</v>
      </c>
      <c r="AB43" s="47">
        <v>6.6151</v>
      </c>
      <c r="AD43">
        <f>0.15+3*0.01+0.007*('INFILTRATION LOAD'!D203-'INFILTRATION LOAD'!E203)</f>
        <v>0.26400000000000001</v>
      </c>
      <c r="AE43">
        <v>13.751200000000001</v>
      </c>
    </row>
    <row r="44" spans="1:31" x14ac:dyDescent="0.3">
      <c r="A44">
        <v>0</v>
      </c>
      <c r="B44">
        <v>0</v>
      </c>
      <c r="C44">
        <v>10.23</v>
      </c>
      <c r="E44">
        <v>2.31</v>
      </c>
      <c r="F44">
        <v>1</v>
      </c>
      <c r="Y44" s="50">
        <f>0.15+0.01*3+0.007*('INFILTRATION LOAD'!D44-'INFILTRATION LOAD'!E44)</f>
        <v>0.26400000000000001</v>
      </c>
      <c r="Z44">
        <v>9.9804999999999993</v>
      </c>
      <c r="AB44" s="46">
        <v>25.48</v>
      </c>
      <c r="AD44">
        <f>0.15+3*0.01+0.007*('INFILTRATION LOAD'!D204-'INFILTRATION LOAD'!E204)</f>
        <v>0.2535</v>
      </c>
      <c r="AE44">
        <v>2.64</v>
      </c>
    </row>
    <row r="45" spans="1:31" x14ac:dyDescent="0.3">
      <c r="A45">
        <v>0</v>
      </c>
      <c r="B45">
        <v>0</v>
      </c>
      <c r="C45">
        <v>17</v>
      </c>
      <c r="E45">
        <v>2.7</v>
      </c>
      <c r="F45">
        <v>1</v>
      </c>
      <c r="Y45" s="50">
        <f>0.15+0.01*3+0.007*('INFILTRATION LOAD'!D45-'INFILTRATION LOAD'!E45)</f>
        <v>0.26400000000000001</v>
      </c>
      <c r="Z45">
        <v>14.435600000000001</v>
      </c>
      <c r="AB45" s="47">
        <v>2.6086999999999998</v>
      </c>
      <c r="AD45">
        <f>0.15+3*0.01+0.007*('INFILTRATION LOAD'!D205-'INFILTRATION LOAD'!E205)</f>
        <v>0.26400000000000001</v>
      </c>
      <c r="AE45">
        <v>16.011199999999999</v>
      </c>
    </row>
    <row r="46" spans="1:31" x14ac:dyDescent="0.3">
      <c r="A46">
        <v>0</v>
      </c>
      <c r="B46">
        <v>0</v>
      </c>
      <c r="C46">
        <v>10.23</v>
      </c>
      <c r="E46">
        <v>1.4</v>
      </c>
      <c r="F46">
        <v>1</v>
      </c>
      <c r="Y46" s="50">
        <f>0.15+0.01*3+0.007*('INFILTRATION LOAD'!D46-'INFILTRATION LOAD'!E46)</f>
        <v>0.26400000000000001</v>
      </c>
      <c r="Z46">
        <v>14.435600000000001</v>
      </c>
      <c r="AB46" s="46">
        <v>13.751200000000001</v>
      </c>
      <c r="AD46">
        <f>0.15+3*0.01+0.007*('INFILTRATION LOAD'!D206-'INFILTRATION LOAD'!E206)</f>
        <v>0.2535</v>
      </c>
      <c r="AE46">
        <v>2.64</v>
      </c>
    </row>
    <row r="47" spans="1:31" x14ac:dyDescent="0.3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50">
        <f>0.15+0.01*3+0.007*('INFILTRATION LOAD'!D47-'INFILTRATION LOAD'!E47)</f>
        <v>0.26400000000000001</v>
      </c>
      <c r="Z47">
        <v>14.363899999999999</v>
      </c>
      <c r="AB47" s="47">
        <v>2.64</v>
      </c>
      <c r="AD47">
        <f>0.15+3*0.01+0.007*('INFILTRATION LOAD'!D207-'INFILTRATION LOAD'!E207)</f>
        <v>0.26400000000000001</v>
      </c>
      <c r="AE47">
        <v>16.011199999999999</v>
      </c>
    </row>
    <row r="48" spans="1:31" x14ac:dyDescent="0.3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50">
        <f>0.15+0.01*3+0.007*('INFILTRATION LOAD'!D48-'INFILTRATION LOAD'!E48)</f>
        <v>0.26400000000000001</v>
      </c>
      <c r="Z48">
        <v>8.4309999999999992</v>
      </c>
      <c r="AB48" s="46">
        <v>38.453699999999998</v>
      </c>
      <c r="AD48">
        <f>0.15+3*0.01+0.007*('INFILTRATION LOAD'!D208-'INFILTRATION LOAD'!E208)</f>
        <v>0.2535</v>
      </c>
      <c r="AE48">
        <v>2.64</v>
      </c>
    </row>
    <row r="49" spans="1:31" x14ac:dyDescent="0.3">
      <c r="A49">
        <v>0</v>
      </c>
      <c r="B49">
        <v>0</v>
      </c>
      <c r="C49">
        <v>6.5</v>
      </c>
      <c r="E49">
        <v>1.4</v>
      </c>
      <c r="F49">
        <v>1</v>
      </c>
      <c r="Y49" s="50">
        <f>0.15+0.01*3+0.007*('INFILTRATION LOAD'!D49-'INFILTRATION LOAD'!E49)</f>
        <v>0.2535</v>
      </c>
      <c r="Z49">
        <v>8.3137000000000008</v>
      </c>
      <c r="AB49" s="46">
        <v>25.372</v>
      </c>
      <c r="AD49">
        <f>0.15+3*0.01+0.007*('INFILTRATION LOAD'!D209-'INFILTRATION LOAD'!E209)</f>
        <v>0.26400000000000001</v>
      </c>
      <c r="AE49">
        <v>8.9650999999999996</v>
      </c>
    </row>
    <row r="50" spans="1:31" x14ac:dyDescent="0.3">
      <c r="A50">
        <v>0</v>
      </c>
      <c r="B50">
        <v>2.7</v>
      </c>
      <c r="C50">
        <v>3.1</v>
      </c>
      <c r="E50">
        <v>1.4</v>
      </c>
      <c r="F50">
        <v>1</v>
      </c>
      <c r="Y50" s="50">
        <f>0.15+0.01*3+0.007*('INFILTRATION LOAD'!D50-'INFILTRATION LOAD'!E50)</f>
        <v>0.26400000000000001</v>
      </c>
      <c r="Z50">
        <v>8.4375</v>
      </c>
      <c r="AB50" s="47">
        <v>2.6086999999999998</v>
      </c>
      <c r="AD50">
        <f>0.15+3*0.01+0.007*('INFILTRATION LOAD'!D210-'INFILTRATION LOAD'!E210)</f>
        <v>0.26400000000000001</v>
      </c>
      <c r="AE50">
        <v>13.751200000000001</v>
      </c>
    </row>
    <row r="51" spans="1:31" x14ac:dyDescent="0.3">
      <c r="A51">
        <v>0</v>
      </c>
      <c r="B51">
        <v>1.4</v>
      </c>
      <c r="C51">
        <v>3.7</v>
      </c>
      <c r="E51">
        <v>3.35</v>
      </c>
      <c r="F51">
        <v>1</v>
      </c>
      <c r="Y51" s="50">
        <f>0.15+0.01*3+0.007*('INFILTRATION LOAD'!D51-'INFILTRATION LOAD'!E51)</f>
        <v>0.26400000000000001</v>
      </c>
      <c r="Z51">
        <v>13.606999999999999</v>
      </c>
      <c r="AB51" s="46">
        <v>25.48</v>
      </c>
      <c r="AD51">
        <f>0.15+3*0.01+0.007*('INFILTRATION LOAD'!D211-'INFILTRATION LOAD'!E211)</f>
        <v>0.2535</v>
      </c>
      <c r="AE51">
        <v>2.64</v>
      </c>
    </row>
    <row r="52" spans="1:31" x14ac:dyDescent="0.3">
      <c r="A52">
        <v>0</v>
      </c>
      <c r="B52">
        <v>1.4</v>
      </c>
      <c r="C52">
        <v>2.35</v>
      </c>
      <c r="E52">
        <v>2.4</v>
      </c>
      <c r="F52">
        <v>1</v>
      </c>
      <c r="Y52" s="50">
        <f>0.15+0.01*3+0.007*('INFILTRATION LOAD'!D52-'INFILTRATION LOAD'!E52)</f>
        <v>0.2535</v>
      </c>
      <c r="Z52">
        <v>17.259899999999998</v>
      </c>
      <c r="AB52" s="47">
        <v>2.6086999999999998</v>
      </c>
      <c r="AD52">
        <f>0.15+3*0.01+0.007*('INFILTRATION LOAD'!D212-'INFILTRATION LOAD'!E212)</f>
        <v>0.26400000000000001</v>
      </c>
      <c r="AE52">
        <v>13.751200000000001</v>
      </c>
    </row>
    <row r="53" spans="1:31" x14ac:dyDescent="0.3">
      <c r="A53">
        <v>0</v>
      </c>
      <c r="B53">
        <v>0</v>
      </c>
      <c r="C53">
        <v>3</v>
      </c>
      <c r="E53">
        <v>2.4</v>
      </c>
      <c r="F53">
        <v>1</v>
      </c>
      <c r="Y53" s="50">
        <f>0.15+0.01*3+0.007*('INFILTRATION LOAD'!D53-'INFILTRATION LOAD'!E53)</f>
        <v>0.26400000000000001</v>
      </c>
      <c r="Z53">
        <v>17.1267</v>
      </c>
      <c r="AB53" s="46">
        <v>13.751200000000001</v>
      </c>
      <c r="AD53">
        <f>0.15+3*0.01+0.007*('INFILTRATION LOAD'!D213-'INFILTRATION LOAD'!E213)</f>
        <v>0.2535</v>
      </c>
      <c r="AE53">
        <v>2.64</v>
      </c>
    </row>
    <row r="54" spans="1:31" x14ac:dyDescent="0.3">
      <c r="A54">
        <v>0</v>
      </c>
      <c r="B54">
        <v>1.4</v>
      </c>
      <c r="C54">
        <v>3</v>
      </c>
      <c r="E54">
        <v>2.4</v>
      </c>
      <c r="F54">
        <v>1</v>
      </c>
      <c r="Y54" s="50">
        <f>0.15+0.01*3+0.007*('INFILTRATION LOAD'!D54-'INFILTRATION LOAD'!E54)</f>
        <v>0.26400000000000001</v>
      </c>
      <c r="Z54">
        <v>8.5710999999999995</v>
      </c>
      <c r="AB54" s="47">
        <v>2.64</v>
      </c>
      <c r="AD54">
        <f>0.15+3*0.01+0.007*('INFILTRATION LOAD'!D214-'INFILTRATION LOAD'!E214)</f>
        <v>0.26400000000000001</v>
      </c>
      <c r="AE54">
        <v>23.482900000000001</v>
      </c>
    </row>
    <row r="55" spans="1:31" x14ac:dyDescent="0.3">
      <c r="A55">
        <v>0</v>
      </c>
      <c r="B55">
        <v>1.4</v>
      </c>
      <c r="C55">
        <v>3</v>
      </c>
      <c r="E55">
        <v>2.23</v>
      </c>
      <c r="F55">
        <v>1</v>
      </c>
      <c r="Y55" s="50">
        <f>0.15+0.01*3+0.007*('INFILTRATION LOAD'!D55-'INFILTRATION LOAD'!E55)</f>
        <v>0.26400000000000001</v>
      </c>
      <c r="Z55">
        <v>35.317700000000002</v>
      </c>
      <c r="AB55" s="46">
        <v>13.751200000000001</v>
      </c>
      <c r="AD55">
        <f>0.15+3*0.01+0.007*('INFILTRATION LOAD'!D215-'INFILTRATION LOAD'!E215)</f>
        <v>0.26400000000000001</v>
      </c>
      <c r="AE55">
        <v>10.757199999999999</v>
      </c>
    </row>
    <row r="56" spans="1:31" x14ac:dyDescent="0.3">
      <c r="A56">
        <v>0</v>
      </c>
      <c r="B56">
        <v>1.4</v>
      </c>
      <c r="C56">
        <v>3</v>
      </c>
      <c r="E56">
        <v>0.6</v>
      </c>
      <c r="F56">
        <v>0.6</v>
      </c>
      <c r="Y56" s="50">
        <f>0.15+0.01*3+0.007*('INFILTRATION LOAD'!D56-'INFILTRATION LOAD'!E56)</f>
        <v>0.26400000000000001</v>
      </c>
      <c r="Z56">
        <v>13.5984</v>
      </c>
      <c r="AB56" s="47">
        <v>2.64</v>
      </c>
      <c r="AD56">
        <f>0.15+3*0.01+0.007*('INFILTRATION LOAD'!D216-'INFILTRATION LOAD'!E216)</f>
        <v>0.2535</v>
      </c>
      <c r="AE56">
        <v>2.64</v>
      </c>
    </row>
    <row r="57" spans="1:31" x14ac:dyDescent="0.3">
      <c r="A57">
        <v>0</v>
      </c>
      <c r="B57">
        <v>1.4</v>
      </c>
      <c r="C57">
        <v>3</v>
      </c>
      <c r="E57">
        <v>2.4</v>
      </c>
      <c r="F57">
        <v>1</v>
      </c>
      <c r="Y57" s="50">
        <f>0.15+0.01*3+0.007*('INFILTRATION LOAD'!D57-'INFILTRATION LOAD'!E57)</f>
        <v>0.2535</v>
      </c>
      <c r="Z57">
        <v>17.0428</v>
      </c>
      <c r="AB57" s="46">
        <v>21.361599999999999</v>
      </c>
      <c r="AD57">
        <f>0.15+3*0.01+0.007*('INFILTRATION LOAD'!D217-'INFILTRATION LOAD'!E217)</f>
        <v>0.26400000000000001</v>
      </c>
      <c r="AE57">
        <v>11.315</v>
      </c>
    </row>
    <row r="58" spans="1:31" x14ac:dyDescent="0.3">
      <c r="A58">
        <v>0</v>
      </c>
      <c r="B58">
        <v>3.35</v>
      </c>
      <c r="C58">
        <v>3.75</v>
      </c>
      <c r="E58">
        <v>1.2</v>
      </c>
      <c r="F58">
        <v>0.6</v>
      </c>
      <c r="Y58" s="50">
        <f>0.15+0.01*3+0.007*('INFILTRATION LOAD'!D58-'INFILTRATION LOAD'!E58)</f>
        <v>0.26400000000000001</v>
      </c>
      <c r="Z58">
        <v>10.441700000000001</v>
      </c>
      <c r="AB58" s="47">
        <v>1.6646000000000001</v>
      </c>
      <c r="AD58">
        <f>0.15+3*0.01+0.007*('INFILTRATION LOAD'!D218-'INFILTRATION LOAD'!E218)</f>
        <v>0.2535</v>
      </c>
      <c r="AE58">
        <v>2.64</v>
      </c>
    </row>
    <row r="59" spans="1:31" x14ac:dyDescent="0.3">
      <c r="A59">
        <v>0</v>
      </c>
      <c r="B59">
        <v>0</v>
      </c>
      <c r="C59">
        <v>3</v>
      </c>
      <c r="E59">
        <v>1.2</v>
      </c>
      <c r="F59">
        <v>0.6</v>
      </c>
      <c r="Y59" s="50">
        <f>0.15+0.01*3+0.007*('INFILTRATION LOAD'!D59-'INFILTRATION LOAD'!E59)</f>
        <v>0.26400000000000001</v>
      </c>
      <c r="Z59">
        <v>11.591900000000001</v>
      </c>
      <c r="AB59" s="46">
        <v>31.438800000000001</v>
      </c>
      <c r="AD59">
        <f>0.15+3*0.01+0.007*('INFILTRATION LOAD'!D219-'INFILTRATION LOAD'!E219)</f>
        <v>0.26400000000000001</v>
      </c>
      <c r="AE59">
        <v>13.308299999999999</v>
      </c>
    </row>
    <row r="60" spans="1:31" x14ac:dyDescent="0.3">
      <c r="A60">
        <v>0</v>
      </c>
      <c r="B60">
        <v>2.4</v>
      </c>
      <c r="C60">
        <v>3.9</v>
      </c>
      <c r="Y60" s="50">
        <f>0.15+0.01*3+0.007*('INFILTRATION LOAD'!D60-'INFILTRATION LOAD'!E60)</f>
        <v>0.26400000000000001</v>
      </c>
      <c r="Z60">
        <v>19.076899999999998</v>
      </c>
      <c r="AB60" s="46">
        <v>34.986199999999997</v>
      </c>
      <c r="AD60">
        <f>0.15+3*0.01+0.007*('INFILTRATION LOAD'!D220-'INFILTRATION LOAD'!E220)</f>
        <v>0.26400000000000001</v>
      </c>
      <c r="AE60">
        <v>11.087199999999999</v>
      </c>
    </row>
    <row r="61" spans="1:31" x14ac:dyDescent="0.3">
      <c r="A61">
        <v>0</v>
      </c>
      <c r="B61">
        <v>2.4</v>
      </c>
      <c r="C61">
        <v>3.9</v>
      </c>
      <c r="E61">
        <v>3.35</v>
      </c>
      <c r="F61">
        <v>1</v>
      </c>
      <c r="Y61" s="50">
        <f>0.15+0.01*3+0.007*('INFILTRATION LOAD'!D61-'INFILTRATION LOAD'!E61)</f>
        <v>0.2535</v>
      </c>
      <c r="Z61" s="51">
        <v>2.5344000000000002</v>
      </c>
      <c r="AB61" s="46">
        <v>5.4111000000000002</v>
      </c>
      <c r="AD61">
        <f>0.15+3*0.01+0.007*('INFILTRATION LOAD'!D221-'INFILTRATION LOAD'!E221)</f>
        <v>0.26400000000000001</v>
      </c>
      <c r="AE61">
        <v>8.2750000000000004</v>
      </c>
    </row>
    <row r="62" spans="1:31" x14ac:dyDescent="0.3">
      <c r="A62">
        <v>0</v>
      </c>
      <c r="B62">
        <v>2.4</v>
      </c>
      <c r="C62" s="28">
        <v>3.2</v>
      </c>
      <c r="E62">
        <v>1.4</v>
      </c>
      <c r="F62">
        <v>1</v>
      </c>
      <c r="Y62" s="50">
        <f>0.15+0.01*3+0.007*('INFILTRATION LOAD'!D62-'INFILTRATION LOAD'!E62)</f>
        <v>0.2535</v>
      </c>
      <c r="Z62">
        <v>34.215200000000003</v>
      </c>
      <c r="AB62" s="46">
        <v>25.7486</v>
      </c>
      <c r="AD62">
        <f>0.15+3*0.01+0.007*('INFILTRATION LOAD'!D222-'INFILTRATION LOAD'!E222)</f>
        <v>0.26400000000000001</v>
      </c>
      <c r="AE62">
        <v>13.467499999999999</v>
      </c>
    </row>
    <row r="63" spans="1:31" x14ac:dyDescent="0.3">
      <c r="A63">
        <v>0</v>
      </c>
      <c r="B63">
        <v>2.23</v>
      </c>
      <c r="C63" s="28">
        <v>2.48</v>
      </c>
      <c r="E63">
        <v>1.4</v>
      </c>
      <c r="F63">
        <v>1</v>
      </c>
      <c r="Y63" s="50">
        <f>0.15+0.01*3+0.007*('INFILTRATION LOAD'!D63-'INFILTRATION LOAD'!E63)</f>
        <v>0.2535</v>
      </c>
      <c r="Z63">
        <v>2.5941000000000001</v>
      </c>
      <c r="AB63" s="47">
        <v>3.863</v>
      </c>
      <c r="AD63">
        <f>0.15+3*0.01+0.007*('INFILTRATION LOAD'!D223-'INFILTRATION LOAD'!E223)</f>
        <v>0.26400000000000001</v>
      </c>
      <c r="AE63">
        <v>183.94380000000001</v>
      </c>
    </row>
    <row r="64" spans="1:31" x14ac:dyDescent="0.3">
      <c r="A64">
        <v>0</v>
      </c>
      <c r="B64">
        <v>0.6</v>
      </c>
      <c r="C64" s="28">
        <v>1.88</v>
      </c>
      <c r="E64">
        <v>1.4</v>
      </c>
      <c r="F64">
        <v>1</v>
      </c>
      <c r="Y64" s="50">
        <f>0.15+0.01*3+0.007*('INFILTRATION LOAD'!D64-'INFILTRATION LOAD'!E64)</f>
        <v>0.2535</v>
      </c>
      <c r="Z64">
        <v>1.9624999999999999</v>
      </c>
      <c r="AB64" s="46">
        <v>16.799399999999999</v>
      </c>
      <c r="AD64">
        <f>0.15+3*0.01+0.007*('INFILTRATION LOAD'!D224-'INFILTRATION LOAD'!E224)</f>
        <v>0.26400000000000001</v>
      </c>
      <c r="AE64">
        <v>58.860100000000003</v>
      </c>
    </row>
    <row r="65" spans="1:31" x14ac:dyDescent="0.3">
      <c r="A65">
        <v>0</v>
      </c>
      <c r="B65">
        <v>0.6</v>
      </c>
      <c r="C65" s="28">
        <v>1.5</v>
      </c>
      <c r="E65">
        <v>1.4</v>
      </c>
      <c r="F65">
        <v>1</v>
      </c>
      <c r="Y65" s="50">
        <f>0.15+0.01*3+0.007*('INFILTRATION LOAD'!D65-'INFILTRATION LOAD'!E65)</f>
        <v>0.26400000000000001</v>
      </c>
      <c r="Z65">
        <v>5.7183999999999999</v>
      </c>
      <c r="AB65" s="46">
        <v>16.799900000000001</v>
      </c>
      <c r="AD65">
        <f>0.15+3*0.01+0.007*('INFILTRATION LOAD'!D225-'INFILTRATION LOAD'!E225)</f>
        <v>0.2535</v>
      </c>
      <c r="AE65">
        <v>17.4452</v>
      </c>
    </row>
    <row r="66" spans="1:31" x14ac:dyDescent="0.3">
      <c r="A66">
        <v>0</v>
      </c>
      <c r="B66">
        <v>2.4</v>
      </c>
      <c r="C66">
        <v>5.7</v>
      </c>
      <c r="E66">
        <v>1.4</v>
      </c>
      <c r="F66">
        <v>1</v>
      </c>
      <c r="Y66" s="50">
        <f>0.15+0.01*3+0.007*('INFILTRATION LOAD'!D66-'INFILTRATION LOAD'!E66)</f>
        <v>0.26400000000000001</v>
      </c>
      <c r="Z66">
        <v>9.2249999999999996</v>
      </c>
      <c r="AB66" s="46">
        <v>10.2258</v>
      </c>
      <c r="AD66">
        <f>0.15+3*0.01+0.007*('INFILTRATION LOAD'!D226-'INFILTRATION LOAD'!E226)</f>
        <v>0.2535</v>
      </c>
      <c r="AE66">
        <v>17.480599999999999</v>
      </c>
    </row>
    <row r="67" spans="1:31" x14ac:dyDescent="0.3">
      <c r="A67">
        <v>0</v>
      </c>
      <c r="B67">
        <v>0</v>
      </c>
      <c r="C67">
        <v>4.8</v>
      </c>
      <c r="E67">
        <v>0.6</v>
      </c>
      <c r="F67">
        <v>0.6</v>
      </c>
      <c r="Y67" s="50">
        <f>0.15+0.01*3+0.007*('INFILTRATION LOAD'!D67-'INFILTRATION LOAD'!E67)</f>
        <v>0.2535</v>
      </c>
      <c r="Z67" s="51">
        <v>1.9450000000000001</v>
      </c>
      <c r="AB67" s="46">
        <v>19.000699999999998</v>
      </c>
      <c r="AD67">
        <f>0.15+3*0.01+0.007*('INFILTRATION LOAD'!D227-'INFILTRATION LOAD'!E227)</f>
        <v>0.26400000000000001</v>
      </c>
      <c r="AE67">
        <v>43.5914</v>
      </c>
    </row>
    <row r="68" spans="1:31" x14ac:dyDescent="0.3">
      <c r="A68">
        <v>0</v>
      </c>
      <c r="B68">
        <v>1.2</v>
      </c>
      <c r="C68">
        <v>3</v>
      </c>
      <c r="Y68" s="50">
        <f>0.15+0.01*3+0.007*('INFILTRATION LOAD'!D68-'INFILTRATION LOAD'!E68)</f>
        <v>0.26400000000000001</v>
      </c>
      <c r="Z68">
        <v>38.032499999999999</v>
      </c>
      <c r="AB68" s="46">
        <v>14.987500000000001</v>
      </c>
      <c r="AD68">
        <f>0.15+3*0.01+0.007*('INFILTRATION LOAD'!D228-'INFILTRATION LOAD'!E228)</f>
        <v>0.26400000000000001</v>
      </c>
      <c r="AE68">
        <v>10.900600000000001</v>
      </c>
    </row>
    <row r="69" spans="1:31" x14ac:dyDescent="0.3">
      <c r="A69">
        <v>0</v>
      </c>
      <c r="B69">
        <v>1.2</v>
      </c>
      <c r="C69">
        <v>3</v>
      </c>
      <c r="Y69" s="50">
        <f>0.15+0.01*3+0.007*('INFILTRATION LOAD'!D69-'INFILTRATION LOAD'!E69)</f>
        <v>0.26400000000000001</v>
      </c>
      <c r="Z69">
        <v>50.888100000000001</v>
      </c>
      <c r="AB69" s="47">
        <v>1.68</v>
      </c>
      <c r="AD69">
        <f>0.15+3*0.01+0.007*('INFILTRATION LOAD'!D229-'INFILTRATION LOAD'!E229)</f>
        <v>0.26400000000000001</v>
      </c>
      <c r="AE69">
        <v>10.783099999999999</v>
      </c>
    </row>
    <row r="70" spans="1:31" x14ac:dyDescent="0.3">
      <c r="A70">
        <v>0</v>
      </c>
      <c r="C70">
        <v>6</v>
      </c>
      <c r="Y70" s="50">
        <f>0.15+0.01*3+0.007*('INFILTRATION LOAD'!D70-'INFILTRATION LOAD'!E70)</f>
        <v>0.26400000000000001</v>
      </c>
      <c r="Z70">
        <v>27.005600000000001</v>
      </c>
      <c r="AB70" s="46">
        <v>21.6006</v>
      </c>
      <c r="AD70">
        <f>0.15+3*0.01+0.007*('INFILTRATION LOAD'!D230-'INFILTRATION LOAD'!E230)</f>
        <v>0.26400000000000001</v>
      </c>
      <c r="AE70">
        <v>9.4162999999999997</v>
      </c>
    </row>
    <row r="71" spans="1:31" x14ac:dyDescent="0.3">
      <c r="A71">
        <v>0</v>
      </c>
      <c r="B71">
        <v>0</v>
      </c>
      <c r="C71">
        <v>12</v>
      </c>
      <c r="Y71" s="50">
        <f>0.15+0.01*3+0.007*('INFILTRATION LOAD'!D71-'INFILTRATION LOAD'!E71)</f>
        <v>0.2535</v>
      </c>
      <c r="Z71" s="51">
        <v>2.5344000000000002</v>
      </c>
      <c r="AB71" s="46">
        <v>23.600300000000001</v>
      </c>
      <c r="AD71">
        <f>0.15+3*0.01+0.007*('INFILTRATION LOAD'!D231-'INFILTRATION LOAD'!E231)</f>
        <v>0.26400000000000001</v>
      </c>
      <c r="AE71">
        <v>26.995799999999999</v>
      </c>
    </row>
    <row r="72" spans="1:31" x14ac:dyDescent="0.3">
      <c r="A72">
        <v>0</v>
      </c>
      <c r="B72">
        <v>0</v>
      </c>
      <c r="C72">
        <v>15.4</v>
      </c>
      <c r="Y72" s="50">
        <f>0.15+0.01*3+0.007*('INFILTRATION LOAD'!D72-'INFILTRATION LOAD'!E72)</f>
        <v>0.26400000000000001</v>
      </c>
      <c r="Z72">
        <v>2.2799999999999998</v>
      </c>
      <c r="AB72" s="46">
        <v>35.042499999999997</v>
      </c>
      <c r="AD72">
        <f>0.15+3*0.01+0.007*('INFILTRATION LOAD'!D232-'INFILTRATION LOAD'!E232)</f>
        <v>0.2535</v>
      </c>
      <c r="AE72">
        <v>2.64</v>
      </c>
    </row>
    <row r="73" spans="1:31" x14ac:dyDescent="0.3">
      <c r="A73">
        <v>0</v>
      </c>
      <c r="B73">
        <v>0</v>
      </c>
      <c r="C73">
        <v>2.2200000000000002</v>
      </c>
      <c r="Y73" s="50">
        <f>0.15+0.01*3+0.007*('INFILTRATION LOAD'!D73-'INFILTRATION LOAD'!E73)</f>
        <v>0.2535</v>
      </c>
      <c r="Z73">
        <v>181.69919999999999</v>
      </c>
      <c r="AB73" s="46">
        <v>5.6912000000000003</v>
      </c>
      <c r="AD73">
        <f>0.15+3*0.01+0.007*('INFILTRATION LOAD'!D233-'INFILTRATION LOAD'!E233)</f>
        <v>0.26400000000000001</v>
      </c>
      <c r="AE73">
        <v>628.01829999999995</v>
      </c>
    </row>
    <row r="74" spans="1:31" x14ac:dyDescent="0.3">
      <c r="A74">
        <v>0</v>
      </c>
      <c r="B74">
        <v>3.33</v>
      </c>
      <c r="C74">
        <v>3.75</v>
      </c>
      <c r="AB74" s="46">
        <v>4.1337999999999999</v>
      </c>
    </row>
    <row r="75" spans="1:31" x14ac:dyDescent="0.3">
      <c r="A75">
        <v>0</v>
      </c>
      <c r="B75">
        <v>1.4</v>
      </c>
      <c r="C75">
        <v>3</v>
      </c>
      <c r="AB75" s="46">
        <v>12.91</v>
      </c>
    </row>
    <row r="76" spans="1:31" x14ac:dyDescent="0.3">
      <c r="A76">
        <v>0</v>
      </c>
      <c r="B76">
        <v>1.4</v>
      </c>
      <c r="C76">
        <v>3</v>
      </c>
      <c r="AB76" s="46">
        <v>7.4783999999999997</v>
      </c>
    </row>
    <row r="77" spans="1:31" x14ac:dyDescent="0.3">
      <c r="A77">
        <v>0</v>
      </c>
      <c r="B77">
        <v>1.4</v>
      </c>
      <c r="C77">
        <v>3</v>
      </c>
      <c r="AB77" s="46">
        <v>17.520700000000001</v>
      </c>
    </row>
    <row r="78" spans="1:31" x14ac:dyDescent="0.3">
      <c r="A78">
        <v>0</v>
      </c>
      <c r="B78">
        <v>1.4</v>
      </c>
      <c r="C78">
        <v>3</v>
      </c>
      <c r="AB78" s="46">
        <v>2.8</v>
      </c>
    </row>
    <row r="79" spans="1:31" x14ac:dyDescent="0.3">
      <c r="A79">
        <v>0</v>
      </c>
      <c r="B79">
        <v>0</v>
      </c>
      <c r="C79">
        <v>2.2200000000000002</v>
      </c>
      <c r="AB79" s="46">
        <v>2.8</v>
      </c>
    </row>
    <row r="80" spans="1:31" x14ac:dyDescent="0.3">
      <c r="A80">
        <v>0</v>
      </c>
      <c r="B80">
        <v>1.4</v>
      </c>
      <c r="C80">
        <v>3.7</v>
      </c>
      <c r="AB80" s="46">
        <v>2.8</v>
      </c>
    </row>
    <row r="81" spans="1:28" x14ac:dyDescent="0.3">
      <c r="A81">
        <v>0</v>
      </c>
      <c r="B81">
        <v>0.6</v>
      </c>
      <c r="C81">
        <v>2.35</v>
      </c>
      <c r="AB81" s="47">
        <v>41.302100000000003</v>
      </c>
    </row>
    <row r="82" spans="1:28" x14ac:dyDescent="0.3">
      <c r="A82">
        <f>2.5*2</f>
        <v>5</v>
      </c>
      <c r="B82">
        <v>0</v>
      </c>
      <c r="C82">
        <v>3.1</v>
      </c>
      <c r="AB82" s="46">
        <v>46.974200000000003</v>
      </c>
    </row>
    <row r="83" spans="1:28" x14ac:dyDescent="0.3">
      <c r="AB83" s="47">
        <v>2.0901000000000001</v>
      </c>
    </row>
  </sheetData>
  <autoFilter ref="A4:B36" xr:uid="{00000000-0009-0000-0000-000006000000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1" priority="2" operator="equal">
      <formula>$T$1</formula>
    </cfRule>
  </conditionalFormatting>
  <conditionalFormatting sqref="AB4:AB83">
    <cfRule type="cellIs" dxfId="0" priority="1" operator="equal">
      <formula>$K$1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Adrian</cp:lastModifiedBy>
  <cp:lastPrinted>2019-11-02T15:48:31Z</cp:lastPrinted>
  <dcterms:created xsi:type="dcterms:W3CDTF">2019-11-02T03:45:14Z</dcterms:created>
  <dcterms:modified xsi:type="dcterms:W3CDTF">2019-11-04T17:35:35Z</dcterms:modified>
</cp:coreProperties>
</file>