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671286E7-E4D3-4CDF-856F-EF0FB4AC48CE}" xr6:coauthVersionLast="45" xr6:coauthVersionMax="45" xr10:uidLastSave="{00000000-0000-0000-0000-000000000000}"/>
  <bookViews>
    <workbookView xWindow="-108" yWindow="-108" windowWidth="23256" windowHeight="12720" tabRatio="540" firstSheet="22" activeTab="25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Heat Load Calculation Summary" sheetId="12" r:id="rId11"/>
    <sheet name="References" sheetId="4" state="hidden" r:id="rId12"/>
    <sheet name="Pipe Sizing Third Floor " sheetId="16" r:id="rId13"/>
    <sheet name="Pipe Sizing Second Floor" sheetId="17" r:id="rId14"/>
    <sheet name="Pipe Sizing Ground Floor" sheetId="18" r:id="rId15"/>
    <sheet name="Summary of Piping Calculation" sheetId="19" r:id="rId16"/>
    <sheet name="Cooling Capacity" sheetId="20" r:id="rId17"/>
    <sheet name="Ducting Calculations" sheetId="21" r:id="rId18"/>
    <sheet name="Equipment Schedule AHU &amp; FCU" sheetId="24" r:id="rId19"/>
    <sheet name="Equipment Schedule Diffuser" sheetId="22" r:id="rId20"/>
    <sheet name="Summary of TOR" sheetId="23" r:id="rId21"/>
    <sheet name="Exhaust Calculations" sheetId="25" r:id="rId22"/>
    <sheet name="Total Heat Calculation 1" sheetId="26" r:id="rId23"/>
    <sheet name="Total Heat Calculation 2" sheetId="27" r:id="rId24"/>
    <sheet name="Total Heat Calculation 3" sheetId="28" r:id="rId25"/>
    <sheet name="Cost Estimation" sheetId="29" r:id="rId26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28" l="1"/>
  <c r="B47" i="28"/>
  <c r="B48" i="28" s="1"/>
  <c r="C30" i="28"/>
  <c r="B30" i="28"/>
  <c r="G13" i="28"/>
  <c r="F13" i="28"/>
  <c r="F14" i="28" s="1"/>
  <c r="C43" i="27"/>
  <c r="B43" i="27"/>
  <c r="C28" i="27"/>
  <c r="B28" i="27"/>
  <c r="G12" i="27"/>
  <c r="F12" i="27"/>
  <c r="C12" i="27"/>
  <c r="B12" i="27"/>
  <c r="C44" i="26"/>
  <c r="B44" i="26"/>
  <c r="C28" i="26"/>
  <c r="B28" i="26"/>
  <c r="B29" i="26" s="1"/>
  <c r="G12" i="26"/>
  <c r="F12" i="26"/>
  <c r="F13" i="26" s="1"/>
  <c r="C12" i="26"/>
  <c r="B12" i="26"/>
  <c r="B13" i="26" s="1"/>
  <c r="B45" i="26" l="1"/>
  <c r="B31" i="28"/>
  <c r="B13" i="27"/>
  <c r="F13" i="27"/>
  <c r="B29" i="27"/>
  <c r="B44" i="27"/>
  <c r="D79" i="25" l="1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70" i="25"/>
  <c r="E70" i="25" s="1"/>
  <c r="D69" i="25"/>
  <c r="E69" i="25" s="1"/>
  <c r="D68" i="25"/>
  <c r="E68" i="25" s="1"/>
  <c r="D67" i="25"/>
  <c r="E67" i="25" s="1"/>
  <c r="D66" i="25"/>
  <c r="E66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46" i="25"/>
  <c r="E46" i="25" s="1"/>
  <c r="D45" i="25"/>
  <c r="E45" i="25" s="1"/>
  <c r="D44" i="25"/>
  <c r="E44" i="25" s="1"/>
  <c r="D43" i="25"/>
  <c r="E43" i="25" s="1"/>
  <c r="D42" i="25"/>
  <c r="E42" i="25" s="1"/>
  <c r="D41" i="25"/>
  <c r="E41" i="25" s="1"/>
  <c r="D40" i="25"/>
  <c r="E40" i="25" s="1"/>
  <c r="D39" i="25"/>
  <c r="E39" i="25" s="1"/>
  <c r="D38" i="25"/>
  <c r="E38" i="25" s="1"/>
  <c r="D37" i="25"/>
  <c r="E37" i="25" s="1"/>
  <c r="D36" i="25"/>
  <c r="E36" i="25" s="1"/>
  <c r="D35" i="25"/>
  <c r="E35" i="25" s="1"/>
  <c r="D34" i="25"/>
  <c r="E34" i="25" s="1"/>
  <c r="D33" i="25"/>
  <c r="E33" i="25" s="1"/>
  <c r="D32" i="25"/>
  <c r="E32" i="25" s="1"/>
  <c r="D31" i="25"/>
  <c r="E31" i="25" s="1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D21" i="25"/>
  <c r="E21" i="25" s="1"/>
  <c r="D20" i="25"/>
  <c r="E20" i="25" s="1"/>
  <c r="D19" i="25"/>
  <c r="E19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J23" i="21" l="1"/>
  <c r="C23" i="21"/>
  <c r="D23" i="21" s="1"/>
  <c r="E23" i="21" s="1"/>
  <c r="J22" i="21"/>
  <c r="C22" i="21"/>
  <c r="D22" i="21" s="1"/>
  <c r="J18" i="21"/>
  <c r="C18" i="21"/>
  <c r="D18" i="21" s="1"/>
  <c r="E18" i="21" s="1"/>
  <c r="J17" i="21"/>
  <c r="C17" i="21"/>
  <c r="D17" i="21" s="1"/>
  <c r="E17" i="21" s="1"/>
  <c r="J16" i="21"/>
  <c r="C16" i="21"/>
  <c r="D16" i="21" s="1"/>
  <c r="E16" i="21" s="1"/>
  <c r="J15" i="21"/>
  <c r="C15" i="21"/>
  <c r="D15" i="21" s="1"/>
  <c r="E15" i="21" s="1"/>
  <c r="J14" i="21"/>
  <c r="C14" i="21"/>
  <c r="D14" i="21" s="1"/>
  <c r="E14" i="21" s="1"/>
  <c r="J13" i="21"/>
  <c r="C13" i="21"/>
  <c r="D13" i="21" s="1"/>
  <c r="E13" i="21" s="1"/>
  <c r="J12" i="21"/>
  <c r="C12" i="21"/>
  <c r="D12" i="21" s="1"/>
  <c r="E12" i="21" s="1"/>
  <c r="J11" i="21"/>
  <c r="C11" i="21"/>
  <c r="D11" i="21" s="1"/>
  <c r="E11" i="21" s="1"/>
  <c r="J10" i="21"/>
  <c r="C10" i="21"/>
  <c r="D10" i="21" s="1"/>
  <c r="E10" i="21" s="1"/>
  <c r="J6" i="21"/>
  <c r="C6" i="21"/>
  <c r="D6" i="21" s="1"/>
  <c r="E6" i="21" s="1"/>
  <c r="J5" i="21"/>
  <c r="C5" i="21"/>
  <c r="D5" i="21" s="1"/>
  <c r="E5" i="21" s="1"/>
  <c r="J4" i="21"/>
  <c r="C4" i="21"/>
  <c r="D4" i="21" s="1"/>
  <c r="E4" i="21" s="1"/>
  <c r="J3" i="21"/>
  <c r="C3" i="21"/>
  <c r="D3" i="21" s="1"/>
  <c r="E3" i="21" s="1"/>
  <c r="J24" i="21" l="1"/>
  <c r="D27" i="21"/>
  <c r="E22" i="21"/>
  <c r="H153" i="20" l="1"/>
  <c r="C153" i="20"/>
  <c r="H152" i="20"/>
  <c r="C152" i="20"/>
  <c r="H151" i="20"/>
  <c r="C151" i="20"/>
  <c r="H150" i="20"/>
  <c r="C150" i="20"/>
  <c r="H149" i="20"/>
  <c r="C149" i="20"/>
  <c r="H148" i="20"/>
  <c r="C148" i="20"/>
  <c r="H147" i="20"/>
  <c r="C147" i="20"/>
  <c r="H146" i="20"/>
  <c r="C146" i="20"/>
  <c r="H145" i="20"/>
  <c r="C145" i="20"/>
  <c r="H144" i="20"/>
  <c r="C144" i="20"/>
  <c r="H143" i="20"/>
  <c r="C143" i="20"/>
  <c r="H142" i="20"/>
  <c r="C142" i="20"/>
  <c r="H141" i="20"/>
  <c r="C141" i="20"/>
  <c r="H140" i="20"/>
  <c r="C140" i="20"/>
  <c r="H139" i="20"/>
  <c r="C139" i="20"/>
  <c r="H138" i="20"/>
  <c r="C138" i="20"/>
  <c r="H137" i="20"/>
  <c r="C137" i="20"/>
  <c r="H136" i="20"/>
  <c r="C136" i="20"/>
  <c r="H135" i="20"/>
  <c r="C135" i="20"/>
  <c r="H134" i="20"/>
  <c r="C134" i="20"/>
  <c r="H133" i="20"/>
  <c r="C133" i="20"/>
  <c r="H132" i="20"/>
  <c r="C132" i="20"/>
  <c r="H131" i="20"/>
  <c r="C131" i="20"/>
  <c r="H130" i="20"/>
  <c r="C130" i="20"/>
  <c r="H129" i="20"/>
  <c r="C129" i="20"/>
  <c r="H128" i="20"/>
  <c r="C128" i="20"/>
  <c r="H127" i="20"/>
  <c r="C127" i="20"/>
  <c r="H126" i="20"/>
  <c r="C126" i="20"/>
  <c r="H125" i="20"/>
  <c r="C125" i="20"/>
  <c r="H124" i="20"/>
  <c r="C124" i="20"/>
  <c r="H123" i="20"/>
  <c r="C123" i="20"/>
  <c r="H116" i="20"/>
  <c r="C116" i="20"/>
  <c r="E116" i="20" s="1"/>
  <c r="F116" i="20" s="1"/>
  <c r="H111" i="20"/>
  <c r="H110" i="20"/>
  <c r="H109" i="20"/>
  <c r="C109" i="20"/>
  <c r="H108" i="20"/>
  <c r="C108" i="20"/>
  <c r="H107" i="20"/>
  <c r="C107" i="20"/>
  <c r="H106" i="20"/>
  <c r="C106" i="20"/>
  <c r="H105" i="20"/>
  <c r="C105" i="20"/>
  <c r="H104" i="20"/>
  <c r="C104" i="20"/>
  <c r="H103" i="20"/>
  <c r="C103" i="20"/>
  <c r="H102" i="20"/>
  <c r="C102" i="20"/>
  <c r="H101" i="20"/>
  <c r="C101" i="20"/>
  <c r="H100" i="20"/>
  <c r="C100" i="20"/>
  <c r="H99" i="20"/>
  <c r="C99" i="20"/>
  <c r="H98" i="20"/>
  <c r="C98" i="20"/>
  <c r="H97" i="20"/>
  <c r="C97" i="20"/>
  <c r="H96" i="20"/>
  <c r="C96" i="20"/>
  <c r="H95" i="20"/>
  <c r="C95" i="20"/>
  <c r="H94" i="20"/>
  <c r="C94" i="20"/>
  <c r="H93" i="20"/>
  <c r="C93" i="20"/>
  <c r="H92" i="20"/>
  <c r="C92" i="20"/>
  <c r="H91" i="20"/>
  <c r="C91" i="20"/>
  <c r="H90" i="20"/>
  <c r="C90" i="20"/>
  <c r="H89" i="20"/>
  <c r="C89" i="20"/>
  <c r="H88" i="20"/>
  <c r="C88" i="20"/>
  <c r="H87" i="20"/>
  <c r="C87" i="20"/>
  <c r="H86" i="20"/>
  <c r="C86" i="20"/>
  <c r="H85" i="20"/>
  <c r="C85" i="20"/>
  <c r="H84" i="20"/>
  <c r="C84" i="20"/>
  <c r="H83" i="20"/>
  <c r="C83" i="20"/>
  <c r="H82" i="20"/>
  <c r="C82" i="20"/>
  <c r="H81" i="20"/>
  <c r="C81" i="20"/>
  <c r="H80" i="20"/>
  <c r="C80" i="20"/>
  <c r="H79" i="20"/>
  <c r="H74" i="20"/>
  <c r="C74" i="20"/>
  <c r="H73" i="20"/>
  <c r="C73" i="20"/>
  <c r="H72" i="20"/>
  <c r="C72" i="20"/>
  <c r="H67" i="20"/>
  <c r="C67" i="20"/>
  <c r="H66" i="20"/>
  <c r="C66" i="20"/>
  <c r="H65" i="20"/>
  <c r="C65" i="20"/>
  <c r="H64" i="20"/>
  <c r="C64" i="20"/>
  <c r="H63" i="20"/>
  <c r="C63" i="20"/>
  <c r="H62" i="20"/>
  <c r="C62" i="20"/>
  <c r="H61" i="20"/>
  <c r="C61" i="20"/>
  <c r="H60" i="20"/>
  <c r="C60" i="20"/>
  <c r="H59" i="20"/>
  <c r="C59" i="20"/>
  <c r="B55" i="20"/>
  <c r="H54" i="20"/>
  <c r="C54" i="20"/>
  <c r="H53" i="20"/>
  <c r="C53" i="20"/>
  <c r="H52" i="20"/>
  <c r="C52" i="20"/>
  <c r="H51" i="20"/>
  <c r="C51" i="20"/>
  <c r="H50" i="20"/>
  <c r="C50" i="20"/>
  <c r="H49" i="20"/>
  <c r="C49" i="20"/>
  <c r="H48" i="20"/>
  <c r="C48" i="20"/>
  <c r="H47" i="20"/>
  <c r="C47" i="20"/>
  <c r="H46" i="20"/>
  <c r="C46" i="20"/>
  <c r="H45" i="20"/>
  <c r="C45" i="20"/>
  <c r="H44" i="20"/>
  <c r="C44" i="20"/>
  <c r="H43" i="20"/>
  <c r="C43" i="20"/>
  <c r="H42" i="20"/>
  <c r="C42" i="20"/>
  <c r="H41" i="20"/>
  <c r="C41" i="20"/>
  <c r="H40" i="20"/>
  <c r="C40" i="20"/>
  <c r="H39" i="20"/>
  <c r="C39" i="20"/>
  <c r="H38" i="20"/>
  <c r="C38" i="20"/>
  <c r="H37" i="20"/>
  <c r="C37" i="20"/>
  <c r="H36" i="20"/>
  <c r="C36" i="20"/>
  <c r="H35" i="20"/>
  <c r="C35" i="20"/>
  <c r="H34" i="20"/>
  <c r="C34" i="20"/>
  <c r="H33" i="20"/>
  <c r="C33" i="20"/>
  <c r="H32" i="20"/>
  <c r="C32" i="20"/>
  <c r="H31" i="20"/>
  <c r="C31" i="20"/>
  <c r="H30" i="20"/>
  <c r="C30" i="20"/>
  <c r="H29" i="20"/>
  <c r="C29" i="20"/>
  <c r="H28" i="20"/>
  <c r="C28" i="20"/>
  <c r="H27" i="20"/>
  <c r="C27" i="20"/>
  <c r="H26" i="20"/>
  <c r="C26" i="20"/>
  <c r="H25" i="20"/>
  <c r="C25" i="20"/>
  <c r="H24" i="20"/>
  <c r="C24" i="20"/>
  <c r="H23" i="20"/>
  <c r="C23" i="20"/>
  <c r="H22" i="20"/>
  <c r="C22" i="20"/>
  <c r="H17" i="20"/>
  <c r="C17" i="20"/>
  <c r="H16" i="20"/>
  <c r="C16" i="20"/>
  <c r="H10" i="20"/>
  <c r="H9" i="20"/>
  <c r="H8" i="20"/>
  <c r="H7" i="20"/>
  <c r="H6" i="20"/>
  <c r="H5" i="20"/>
  <c r="H4" i="20"/>
  <c r="H3" i="20"/>
  <c r="C3" i="20"/>
  <c r="C11" i="20" s="1"/>
  <c r="C68" i="20" l="1"/>
  <c r="E67" i="20" s="1"/>
  <c r="F67" i="20" s="1"/>
  <c r="C112" i="20"/>
  <c r="E83" i="20" s="1"/>
  <c r="F83" i="20" s="1"/>
  <c r="C154" i="20"/>
  <c r="C75" i="20"/>
  <c r="C18" i="20"/>
  <c r="E17" i="20" s="1"/>
  <c r="F17" i="20" s="1"/>
  <c r="E73" i="20"/>
  <c r="F73" i="20" s="1"/>
  <c r="E9" i="20"/>
  <c r="F9" i="20" s="1"/>
  <c r="E5" i="20"/>
  <c r="F5" i="20" s="1"/>
  <c r="E10" i="20"/>
  <c r="F10" i="20" s="1"/>
  <c r="E7" i="20"/>
  <c r="F7" i="20" s="1"/>
  <c r="E4" i="20"/>
  <c r="F4" i="20" s="1"/>
  <c r="E6" i="20"/>
  <c r="F6" i="20" s="1"/>
  <c r="E8" i="20"/>
  <c r="F8" i="20" s="1"/>
  <c r="E81" i="20"/>
  <c r="F81" i="20" s="1"/>
  <c r="E99" i="20"/>
  <c r="F99" i="20" s="1"/>
  <c r="E103" i="20"/>
  <c r="F103" i="20" s="1"/>
  <c r="E105" i="20"/>
  <c r="F105" i="20" s="1"/>
  <c r="E124" i="20"/>
  <c r="F124" i="20" s="1"/>
  <c r="E126" i="20"/>
  <c r="F126" i="20" s="1"/>
  <c r="E128" i="20"/>
  <c r="F128" i="20" s="1"/>
  <c r="E130" i="20"/>
  <c r="F130" i="20" s="1"/>
  <c r="E3" i="20"/>
  <c r="F3" i="20" s="1"/>
  <c r="E60" i="20"/>
  <c r="F60" i="20" s="1"/>
  <c r="E59" i="20"/>
  <c r="E63" i="20"/>
  <c r="F63" i="20" s="1"/>
  <c r="E65" i="20"/>
  <c r="F65" i="20" s="1"/>
  <c r="E88" i="20"/>
  <c r="F88" i="20" s="1"/>
  <c r="E90" i="20"/>
  <c r="F90" i="20" s="1"/>
  <c r="E92" i="20"/>
  <c r="F92" i="20" s="1"/>
  <c r="E94" i="20"/>
  <c r="F94" i="20" s="1"/>
  <c r="E152" i="20"/>
  <c r="F152" i="20" s="1"/>
  <c r="E151" i="20"/>
  <c r="F151" i="20" s="1"/>
  <c r="E150" i="20"/>
  <c r="F150" i="20" s="1"/>
  <c r="E149" i="20"/>
  <c r="F149" i="20" s="1"/>
  <c r="E148" i="20"/>
  <c r="F148" i="20" s="1"/>
  <c r="E147" i="20"/>
  <c r="F147" i="20" s="1"/>
  <c r="E146" i="20"/>
  <c r="F146" i="20" s="1"/>
  <c r="E145" i="20"/>
  <c r="F145" i="20" s="1"/>
  <c r="E144" i="20"/>
  <c r="F144" i="20" s="1"/>
  <c r="E143" i="20"/>
  <c r="F143" i="20" s="1"/>
  <c r="E142" i="20"/>
  <c r="F142" i="20" s="1"/>
  <c r="E141" i="20"/>
  <c r="F141" i="20" s="1"/>
  <c r="E140" i="20"/>
  <c r="F140" i="20" s="1"/>
  <c r="E139" i="20"/>
  <c r="F139" i="20" s="1"/>
  <c r="E138" i="20"/>
  <c r="F138" i="20" s="1"/>
  <c r="E137" i="20"/>
  <c r="F137" i="20" s="1"/>
  <c r="E136" i="20"/>
  <c r="F136" i="20" s="1"/>
  <c r="E135" i="20"/>
  <c r="F135" i="20" s="1"/>
  <c r="E134" i="20"/>
  <c r="F134" i="20" s="1"/>
  <c r="E133" i="20"/>
  <c r="F133" i="20" s="1"/>
  <c r="E132" i="20"/>
  <c r="F132" i="20" s="1"/>
  <c r="E131" i="20"/>
  <c r="F131" i="20" s="1"/>
  <c r="E125" i="20"/>
  <c r="F125" i="20" s="1"/>
  <c r="E127" i="20"/>
  <c r="F127" i="20" s="1"/>
  <c r="E129" i="20"/>
  <c r="F129" i="20" s="1"/>
  <c r="E153" i="20"/>
  <c r="F153" i="20" s="1"/>
  <c r="C55" i="20"/>
  <c r="E49" i="20" s="1"/>
  <c r="F49" i="20" s="1"/>
  <c r="E62" i="20"/>
  <c r="F62" i="20" s="1"/>
  <c r="E64" i="20"/>
  <c r="F64" i="20" s="1"/>
  <c r="E74" i="20"/>
  <c r="F74" i="20" s="1"/>
  <c r="E72" i="20"/>
  <c r="J72" i="20" s="1"/>
  <c r="E123" i="20"/>
  <c r="F123" i="20" s="1"/>
  <c r="E101" i="20" l="1"/>
  <c r="F101" i="20" s="1"/>
  <c r="E61" i="20"/>
  <c r="F61" i="20" s="1"/>
  <c r="E97" i="20"/>
  <c r="F97" i="20" s="1"/>
  <c r="E106" i="20"/>
  <c r="F106" i="20" s="1"/>
  <c r="E82" i="20"/>
  <c r="F82" i="20" s="1"/>
  <c r="E93" i="20"/>
  <c r="F93" i="20" s="1"/>
  <c r="E104" i="20"/>
  <c r="F104" i="20" s="1"/>
  <c r="E110" i="20"/>
  <c r="F110" i="20" s="1"/>
  <c r="E91" i="20"/>
  <c r="F91" i="20" s="1"/>
  <c r="E95" i="20"/>
  <c r="F95" i="20" s="1"/>
  <c r="E102" i="20"/>
  <c r="F102" i="20" s="1"/>
  <c r="E79" i="20"/>
  <c r="J80" i="20" s="1"/>
  <c r="E89" i="20"/>
  <c r="F89" i="20" s="1"/>
  <c r="E84" i="20"/>
  <c r="F84" i="20" s="1"/>
  <c r="E80" i="20"/>
  <c r="F80" i="20" s="1"/>
  <c r="E87" i="20"/>
  <c r="F87" i="20" s="1"/>
  <c r="E100" i="20"/>
  <c r="F100" i="20" s="1"/>
  <c r="E98" i="20"/>
  <c r="F98" i="20" s="1"/>
  <c r="E111" i="20"/>
  <c r="F111" i="20" s="1"/>
  <c r="E109" i="20"/>
  <c r="F109" i="20" s="1"/>
  <c r="E85" i="20"/>
  <c r="F85" i="20" s="1"/>
  <c r="E86" i="20"/>
  <c r="F86" i="20" s="1"/>
  <c r="E108" i="20"/>
  <c r="F108" i="20" s="1"/>
  <c r="E66" i="20"/>
  <c r="F66" i="20" s="1"/>
  <c r="E96" i="20"/>
  <c r="F96" i="20" s="1"/>
  <c r="E107" i="20"/>
  <c r="F107" i="20" s="1"/>
  <c r="E16" i="20"/>
  <c r="F16" i="20" s="1"/>
  <c r="F72" i="20"/>
  <c r="J73" i="20" s="1"/>
  <c r="E54" i="20"/>
  <c r="F54" i="20" s="1"/>
  <c r="E42" i="20"/>
  <c r="F42" i="20" s="1"/>
  <c r="F59" i="20"/>
  <c r="J61" i="20" s="1"/>
  <c r="E51" i="20"/>
  <c r="F51" i="20" s="1"/>
  <c r="E43" i="20"/>
  <c r="F43" i="20" s="1"/>
  <c r="F79" i="20"/>
  <c r="E52" i="20"/>
  <c r="F52" i="20" s="1"/>
  <c r="E25" i="20"/>
  <c r="F25" i="20" s="1"/>
  <c r="E41" i="20"/>
  <c r="F41" i="20" s="1"/>
  <c r="E40" i="20"/>
  <c r="F40" i="20" s="1"/>
  <c r="E39" i="20"/>
  <c r="F39" i="20" s="1"/>
  <c r="E38" i="20"/>
  <c r="F38" i="20" s="1"/>
  <c r="E37" i="20"/>
  <c r="F37" i="20" s="1"/>
  <c r="E36" i="20"/>
  <c r="F36" i="20" s="1"/>
  <c r="E35" i="20"/>
  <c r="F35" i="20" s="1"/>
  <c r="E34" i="20"/>
  <c r="F34" i="20" s="1"/>
  <c r="E33" i="20"/>
  <c r="F33" i="20" s="1"/>
  <c r="E32" i="20"/>
  <c r="F32" i="20" s="1"/>
  <c r="E31" i="20"/>
  <c r="F31" i="20" s="1"/>
  <c r="E30" i="20"/>
  <c r="F30" i="20" s="1"/>
  <c r="E29" i="20"/>
  <c r="F29" i="20" s="1"/>
  <c r="E28" i="20"/>
  <c r="F28" i="20" s="1"/>
  <c r="E27" i="20"/>
  <c r="F27" i="20" s="1"/>
  <c r="E26" i="20"/>
  <c r="F26" i="20" s="1"/>
  <c r="E24" i="20"/>
  <c r="F24" i="20" s="1"/>
  <c r="E23" i="20"/>
  <c r="F23" i="20" s="1"/>
  <c r="E22" i="20"/>
  <c r="F22" i="20" s="1"/>
  <c r="E50" i="20"/>
  <c r="F50" i="20" s="1"/>
  <c r="E47" i="20"/>
  <c r="F47" i="20" s="1"/>
  <c r="E48" i="20"/>
  <c r="F48" i="20" s="1"/>
  <c r="E44" i="20"/>
  <c r="F44" i="20" s="1"/>
  <c r="E46" i="20"/>
  <c r="F46" i="20" s="1"/>
  <c r="E53" i="20"/>
  <c r="F53" i="20" s="1"/>
  <c r="E45" i="20"/>
  <c r="F45" i="20" s="1"/>
  <c r="J81" i="20" l="1"/>
  <c r="J60" i="20"/>
  <c r="E24" i="19"/>
  <c r="L23" i="19"/>
  <c r="K23" i="19"/>
  <c r="J23" i="19"/>
  <c r="G23" i="19"/>
  <c r="E23" i="19"/>
  <c r="C23" i="19"/>
  <c r="K22" i="19"/>
  <c r="M22" i="19" s="1"/>
  <c r="J22" i="19"/>
  <c r="G22" i="19"/>
  <c r="E22" i="19"/>
  <c r="C22" i="19"/>
  <c r="K21" i="19"/>
  <c r="M21" i="19" s="1"/>
  <c r="J21" i="19"/>
  <c r="G21" i="19"/>
  <c r="E21" i="19"/>
  <c r="C21" i="19"/>
  <c r="K20" i="19"/>
  <c r="M20" i="19" s="1"/>
  <c r="J20" i="19"/>
  <c r="G20" i="19"/>
  <c r="E20" i="19"/>
  <c r="C20" i="19"/>
  <c r="K19" i="19"/>
  <c r="M19" i="19" s="1"/>
  <c r="J19" i="19"/>
  <c r="G19" i="19"/>
  <c r="E19" i="19"/>
  <c r="C19" i="19"/>
  <c r="K18" i="19"/>
  <c r="M18" i="19" s="1"/>
  <c r="J18" i="19"/>
  <c r="G18" i="19"/>
  <c r="E18" i="19"/>
  <c r="C18" i="19"/>
  <c r="K17" i="19"/>
  <c r="M17" i="19" s="1"/>
  <c r="J17" i="19"/>
  <c r="G17" i="19"/>
  <c r="E17" i="19"/>
  <c r="C17" i="19"/>
  <c r="K16" i="19"/>
  <c r="M16" i="19" s="1"/>
  <c r="J16" i="19"/>
  <c r="G16" i="19"/>
  <c r="E16" i="19"/>
  <c r="C16" i="19"/>
  <c r="K15" i="19"/>
  <c r="M15" i="19" s="1"/>
  <c r="J15" i="19"/>
  <c r="G15" i="19"/>
  <c r="E15" i="19"/>
  <c r="C15" i="19"/>
  <c r="K14" i="19"/>
  <c r="M14" i="19" s="1"/>
  <c r="J14" i="19"/>
  <c r="G14" i="19"/>
  <c r="E14" i="19"/>
  <c r="C14" i="19"/>
  <c r="K13" i="19"/>
  <c r="M13" i="19" s="1"/>
  <c r="J13" i="19"/>
  <c r="G13" i="19"/>
  <c r="E13" i="19"/>
  <c r="C13" i="19"/>
  <c r="K12" i="19"/>
  <c r="M12" i="19" s="1"/>
  <c r="J12" i="19"/>
  <c r="G12" i="19"/>
  <c r="E12" i="19"/>
  <c r="C12" i="19"/>
  <c r="K11" i="19"/>
  <c r="M11" i="19" s="1"/>
  <c r="J11" i="19"/>
  <c r="G11" i="19"/>
  <c r="E11" i="19"/>
  <c r="C11" i="19"/>
  <c r="K10" i="19"/>
  <c r="M10" i="19" s="1"/>
  <c r="J10" i="19"/>
  <c r="G10" i="19"/>
  <c r="E10" i="19"/>
  <c r="C10" i="19"/>
  <c r="L9" i="19"/>
  <c r="K9" i="19"/>
  <c r="M9" i="19" s="1"/>
  <c r="J9" i="19"/>
  <c r="G9" i="19"/>
  <c r="E9" i="19"/>
  <c r="C9" i="19"/>
  <c r="K8" i="19"/>
  <c r="M8" i="19" s="1"/>
  <c r="J8" i="19"/>
  <c r="G8" i="19"/>
  <c r="E8" i="19"/>
  <c r="C8" i="19"/>
  <c r="K7" i="19"/>
  <c r="M7" i="19" s="1"/>
  <c r="J7" i="19"/>
  <c r="G7" i="19"/>
  <c r="E7" i="19"/>
  <c r="C7" i="19"/>
  <c r="L6" i="19"/>
  <c r="K6" i="19"/>
  <c r="J6" i="19"/>
  <c r="G6" i="19"/>
  <c r="E6" i="19"/>
  <c r="C6" i="19"/>
  <c r="K5" i="19"/>
  <c r="M5" i="19" s="1"/>
  <c r="J5" i="19"/>
  <c r="G5" i="19"/>
  <c r="E5" i="19"/>
  <c r="C5" i="19"/>
  <c r="K4" i="19"/>
  <c r="M4" i="19" s="1"/>
  <c r="J4" i="19"/>
  <c r="G4" i="19"/>
  <c r="E4" i="19"/>
  <c r="C4" i="19"/>
  <c r="K3" i="19"/>
  <c r="M3" i="19" s="1"/>
  <c r="J3" i="19"/>
  <c r="G3" i="19"/>
  <c r="E3" i="19"/>
  <c r="C3" i="19"/>
  <c r="K2" i="19"/>
  <c r="M2" i="19" s="1"/>
  <c r="J2" i="19"/>
  <c r="G2" i="19"/>
  <c r="E2" i="19"/>
  <c r="C2" i="19"/>
  <c r="M6" i="19" l="1"/>
  <c r="M23" i="19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E2" i="18"/>
  <c r="C2" i="18"/>
  <c r="E41" i="17"/>
  <c r="C41" i="17"/>
  <c r="E40" i="17"/>
  <c r="C40" i="17"/>
  <c r="E39" i="17"/>
  <c r="C39" i="17"/>
  <c r="E38" i="17"/>
  <c r="C38" i="17"/>
  <c r="E37" i="17"/>
  <c r="C37" i="17"/>
  <c r="E36" i="17"/>
  <c r="C36" i="17"/>
  <c r="E35" i="17"/>
  <c r="C35" i="17"/>
  <c r="E34" i="17"/>
  <c r="C34" i="17"/>
  <c r="E33" i="17"/>
  <c r="C33" i="17"/>
  <c r="E32" i="17"/>
  <c r="C32" i="17"/>
  <c r="E31" i="17"/>
  <c r="C31" i="17"/>
  <c r="E30" i="17"/>
  <c r="C30" i="17"/>
  <c r="E29" i="17"/>
  <c r="C29" i="17"/>
  <c r="E28" i="17"/>
  <c r="C28" i="17"/>
  <c r="E27" i="17"/>
  <c r="C27" i="17"/>
  <c r="E26" i="17"/>
  <c r="C26" i="17"/>
  <c r="E25" i="17"/>
  <c r="C25" i="17"/>
  <c r="E24" i="17"/>
  <c r="C24" i="17"/>
  <c r="E23" i="17"/>
  <c r="C23" i="17"/>
  <c r="E22" i="17"/>
  <c r="C22" i="17"/>
  <c r="E21" i="17"/>
  <c r="C21" i="17"/>
  <c r="E20" i="17"/>
  <c r="C20" i="17"/>
  <c r="E19" i="17"/>
  <c r="C19" i="17"/>
  <c r="E18" i="17"/>
  <c r="C18" i="17"/>
  <c r="E17" i="17"/>
  <c r="C17" i="17"/>
  <c r="E16" i="17"/>
  <c r="C16" i="17"/>
  <c r="E15" i="17"/>
  <c r="C15" i="17"/>
  <c r="E14" i="17"/>
  <c r="C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C6" i="17"/>
  <c r="E5" i="17"/>
  <c r="C5" i="17"/>
  <c r="E4" i="17"/>
  <c r="C4" i="17"/>
  <c r="E3" i="17"/>
  <c r="C3" i="17"/>
  <c r="E2" i="17"/>
  <c r="C2" i="17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C3" i="16"/>
  <c r="E2" i="16"/>
  <c r="C2" i="16"/>
  <c r="M24" i="19" l="1"/>
  <c r="G39" i="5" l="1"/>
  <c r="B166" i="10" l="1"/>
  <c r="F166" i="10" s="1"/>
  <c r="B165" i="10"/>
  <c r="F165" i="10" s="1"/>
  <c r="G126" i="9"/>
  <c r="H126" i="9"/>
  <c r="G125" i="9"/>
  <c r="H125" i="9"/>
  <c r="H125" i="8"/>
  <c r="G48" i="6"/>
  <c r="H48" i="6" s="1"/>
  <c r="B236" i="3"/>
  <c r="B235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D113" i="1"/>
  <c r="D112" i="1"/>
  <c r="G126" i="8"/>
  <c r="G125" i="8"/>
  <c r="G235" i="3"/>
  <c r="G234" i="3"/>
  <c r="G236" i="3"/>
  <c r="G233" i="3"/>
  <c r="I126" i="8" l="1"/>
  <c r="H126" i="8"/>
  <c r="I125" i="8"/>
  <c r="F10" i="2"/>
  <c r="K10" i="2" s="1"/>
  <c r="F4" i="2"/>
  <c r="F5" i="2"/>
  <c r="K5" i="2" s="1"/>
  <c r="F6" i="2"/>
  <c r="K6" i="2" s="1"/>
  <c r="F7" i="2"/>
  <c r="K7" i="2" s="1"/>
  <c r="F8" i="2"/>
  <c r="K8" i="2" s="1"/>
  <c r="F9" i="2"/>
  <c r="K9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K28" i="2" s="1"/>
  <c r="F29" i="2"/>
  <c r="K29" i="2" s="1"/>
  <c r="F30" i="2"/>
  <c r="K30" i="2" s="1"/>
  <c r="F31" i="2"/>
  <c r="K31" i="2" s="1"/>
  <c r="F32" i="2"/>
  <c r="F33" i="2"/>
  <c r="K33" i="2" s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20" i="2"/>
  <c r="K27" i="2" l="1"/>
  <c r="K19" i="2"/>
  <c r="K32" i="2"/>
  <c r="K24" i="2"/>
  <c r="K26" i="2"/>
  <c r="K25" i="2"/>
  <c r="B143" i="3"/>
  <c r="C143" i="3" s="1"/>
  <c r="G163" i="3"/>
  <c r="G165" i="3"/>
  <c r="G167" i="3"/>
  <c r="G169" i="3"/>
  <c r="G171" i="3"/>
  <c r="G173" i="3"/>
  <c r="G175" i="3"/>
  <c r="G177" i="3"/>
  <c r="G179" i="3"/>
  <c r="G181" i="3"/>
  <c r="G183" i="3"/>
  <c r="G185" i="3"/>
  <c r="G187" i="3"/>
  <c r="G189" i="3"/>
  <c r="G191" i="3"/>
  <c r="G193" i="3"/>
  <c r="G195" i="3"/>
  <c r="G197" i="3"/>
  <c r="G199" i="3"/>
  <c r="G201" i="3"/>
  <c r="G203" i="3"/>
  <c r="G205" i="3"/>
  <c r="G207" i="3"/>
  <c r="G209" i="3"/>
  <c r="G211" i="3"/>
  <c r="G213" i="3"/>
  <c r="G215" i="3"/>
  <c r="G217" i="3"/>
  <c r="G219" i="3"/>
  <c r="G221" i="3"/>
  <c r="G223" i="3"/>
  <c r="G225" i="3"/>
  <c r="G227" i="3"/>
  <c r="G229" i="3"/>
  <c r="G231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150" i="3"/>
  <c r="G152" i="3"/>
  <c r="G154" i="3"/>
  <c r="G156" i="3"/>
  <c r="G164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79" i="3"/>
  <c r="G81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K24" i="3" s="1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G5" i="11" s="1"/>
  <c r="H72" i="3" l="1"/>
  <c r="I72" i="3"/>
  <c r="I71" i="3"/>
  <c r="H71" i="3"/>
  <c r="O6" i="6"/>
  <c r="B164" i="10"/>
  <c r="A82" i="4" l="1"/>
  <c r="D160" i="11" l="1"/>
  <c r="G160" i="11" s="1"/>
  <c r="D82" i="11"/>
  <c r="G82" i="11" s="1"/>
  <c r="D116" i="11"/>
  <c r="G116" i="11" s="1"/>
  <c r="D135" i="11"/>
  <c r="G135" i="11" s="1"/>
  <c r="D136" i="11"/>
  <c r="G136" i="11" s="1"/>
  <c r="D59" i="11"/>
  <c r="G59" i="11" s="1"/>
  <c r="D43" i="11"/>
  <c r="G43" i="11" s="1"/>
  <c r="D42" i="11"/>
  <c r="G42" i="11" s="1"/>
  <c r="D41" i="11"/>
  <c r="G41" i="11" s="1"/>
  <c r="D13" i="11"/>
  <c r="G13" i="11" s="1"/>
  <c r="D12" i="11"/>
  <c r="G12" i="11" s="1"/>
  <c r="D11" i="11"/>
  <c r="G11" i="11" s="1"/>
  <c r="D10" i="11"/>
  <c r="G10" i="11" s="1"/>
  <c r="D118" i="11"/>
  <c r="G118" i="11" s="1"/>
  <c r="D88" i="11"/>
  <c r="G88" i="11" s="1"/>
  <c r="D90" i="11"/>
  <c r="G90" i="11" s="1"/>
  <c r="D87" i="11"/>
  <c r="G87" i="11" s="1"/>
  <c r="D200" i="11" l="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59" i="11"/>
  <c r="G159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9" i="11"/>
  <c r="G119" i="11" s="1"/>
  <c r="D117" i="11"/>
  <c r="G117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1" i="11"/>
  <c r="G91" i="11" s="1"/>
  <c r="D89" i="11"/>
  <c r="G89" i="11" s="1"/>
  <c r="D86" i="11"/>
  <c r="G86" i="11" s="1"/>
  <c r="D85" i="11"/>
  <c r="G85" i="11" s="1"/>
  <c r="D84" i="11"/>
  <c r="G84" i="11" s="1"/>
  <c r="D83" i="11"/>
  <c r="G83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2" i="11"/>
  <c r="G62" i="11" s="1"/>
  <c r="D61" i="11"/>
  <c r="G61" i="11" s="1"/>
  <c r="D60" i="11"/>
  <c r="G60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4" i="11"/>
  <c r="G44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G141" i="11" l="1"/>
  <c r="G201" i="11" s="1"/>
  <c r="N7" i="11" s="1"/>
  <c r="G63" i="1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M5" i="10" l="1"/>
  <c r="M8" i="10" s="1"/>
  <c r="B12" i="12" s="1"/>
  <c r="D12" i="12" s="1"/>
  <c r="G127" i="9"/>
  <c r="H41" i="9"/>
  <c r="P5" i="9" s="1"/>
  <c r="G41" i="9"/>
  <c r="H90" i="9"/>
  <c r="P6" i="9" s="1"/>
  <c r="G90" i="9"/>
  <c r="H127" i="9"/>
  <c r="P7" i="9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I41" i="8" l="1"/>
  <c r="Q5" i="8" s="1"/>
  <c r="H127" i="8"/>
  <c r="P7" i="8" s="1"/>
  <c r="P8" i="9"/>
  <c r="C10" i="12" s="1"/>
  <c r="O7" i="9"/>
  <c r="Q7" i="9" s="1"/>
  <c r="H128" i="9"/>
  <c r="O5" i="9"/>
  <c r="H42" i="9"/>
  <c r="O6" i="9"/>
  <c r="Q6" i="9" s="1"/>
  <c r="H91" i="9"/>
  <c r="H90" i="8"/>
  <c r="I90" i="8"/>
  <c r="Q6" i="8" s="1"/>
  <c r="H41" i="8"/>
  <c r="P5" i="8" s="1"/>
  <c r="I127" i="8"/>
  <c r="Q7" i="8" s="1"/>
  <c r="G296" i="7"/>
  <c r="N7" i="7" s="1"/>
  <c r="D107" i="7"/>
  <c r="G107" i="7" s="1"/>
  <c r="D108" i="7"/>
  <c r="G108" i="7" s="1"/>
  <c r="D130" i="7"/>
  <c r="G130" i="7" s="1"/>
  <c r="D131" i="7"/>
  <c r="G131" i="7" s="1"/>
  <c r="R7" i="8" l="1"/>
  <c r="I91" i="8"/>
  <c r="Q5" i="9"/>
  <c r="Q8" i="9" s="1"/>
  <c r="O8" i="9"/>
  <c r="B10" i="12" s="1"/>
  <c r="D10" i="12" s="1"/>
  <c r="I42" i="8"/>
  <c r="R5" i="8"/>
  <c r="P6" i="8"/>
  <c r="R6" i="8" s="1"/>
  <c r="I128" i="8"/>
  <c r="Q8" i="8"/>
  <c r="C9" i="12" s="1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R8" i="8" l="1"/>
  <c r="P8" i="8"/>
  <c r="B9" i="12" s="1"/>
  <c r="D9" i="12" s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D26" i="7"/>
  <c r="G26" i="7" s="1"/>
  <c r="D89" i="7"/>
  <c r="D88" i="7"/>
  <c r="D87" i="7"/>
  <c r="G87" i="7" s="1"/>
  <c r="D86" i="7"/>
  <c r="D85" i="7"/>
  <c r="G85" i="7" s="1"/>
  <c r="D84" i="7"/>
  <c r="G84" i="7" s="1"/>
  <c r="D83" i="7"/>
  <c r="G83" i="7" s="1"/>
  <c r="D81" i="7"/>
  <c r="D80" i="7"/>
  <c r="G80" i="7" s="1"/>
  <c r="D78" i="7"/>
  <c r="G78" i="7" s="1"/>
  <c r="D77" i="7"/>
  <c r="D75" i="7"/>
  <c r="D74" i="7"/>
  <c r="G74" i="7" s="1"/>
  <c r="D73" i="7"/>
  <c r="D72" i="7"/>
  <c r="D71" i="7"/>
  <c r="D70" i="7"/>
  <c r="D69" i="7"/>
  <c r="D68" i="7"/>
  <c r="G68" i="7" s="1"/>
  <c r="D67" i="7"/>
  <c r="D66" i="7"/>
  <c r="G66" i="7" s="1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5" i="7"/>
  <c r="D49" i="7"/>
  <c r="G49" i="7" s="1"/>
  <c r="D48" i="7"/>
  <c r="D46" i="7"/>
  <c r="G46" i="7" s="1"/>
  <c r="D44" i="7"/>
  <c r="G44" i="7" s="1"/>
  <c r="D42" i="7"/>
  <c r="D41" i="7"/>
  <c r="G41" i="7" s="1"/>
  <c r="D37" i="7"/>
  <c r="D36" i="7"/>
  <c r="G36" i="7" s="1"/>
  <c r="D35" i="7"/>
  <c r="G35" i="7" s="1"/>
  <c r="D33" i="7"/>
  <c r="G33" i="7" s="1"/>
  <c r="D30" i="7"/>
  <c r="D27" i="7"/>
  <c r="D25" i="7"/>
  <c r="G25" i="7" s="1"/>
  <c r="D22" i="7"/>
  <c r="D21" i="7"/>
  <c r="G21" i="7" s="1"/>
  <c r="D19" i="7"/>
  <c r="G19" i="7" s="1"/>
  <c r="D16" i="7"/>
  <c r="G16" i="7" s="1"/>
  <c r="D15" i="7"/>
  <c r="G15" i="7" s="1"/>
  <c r="D8" i="7"/>
  <c r="D7" i="7"/>
  <c r="G7" i="7" s="1"/>
  <c r="D5" i="7"/>
  <c r="G55" i="7" l="1"/>
  <c r="G67" i="7"/>
  <c r="G81" i="7"/>
  <c r="G56" i="7"/>
  <c r="G70" i="7"/>
  <c r="G22" i="7"/>
  <c r="G48" i="7"/>
  <c r="G59" i="7"/>
  <c r="G71" i="7"/>
  <c r="G86" i="7"/>
  <c r="G42" i="7"/>
  <c r="G72" i="7"/>
  <c r="G27" i="7"/>
  <c r="G45" i="7"/>
  <c r="G61" i="7"/>
  <c r="G73" i="7"/>
  <c r="G88" i="7"/>
  <c r="G57" i="7"/>
  <c r="G58" i="7"/>
  <c r="G30" i="7"/>
  <c r="G62" i="7"/>
  <c r="G89" i="7"/>
  <c r="G5" i="7"/>
  <c r="G52" i="7"/>
  <c r="G64" i="7"/>
  <c r="G77" i="7"/>
  <c r="G24" i="7"/>
  <c r="G63" i="7"/>
  <c r="G53" i="7"/>
  <c r="G65" i="7"/>
  <c r="G69" i="7"/>
  <c r="G60" i="7"/>
  <c r="G50" i="7"/>
  <c r="G51" i="7"/>
  <c r="G75" i="7"/>
  <c r="G8" i="7"/>
  <c r="G37" i="7"/>
  <c r="G54" i="7"/>
  <c r="D43" i="7"/>
  <c r="D76" i="7"/>
  <c r="G76" i="7" s="1"/>
  <c r="D4" i="7"/>
  <c r="G4" i="7" s="1"/>
  <c r="G198" i="7"/>
  <c r="N6" i="7" s="1"/>
  <c r="D28" i="7"/>
  <c r="G28" i="7" s="1"/>
  <c r="D20" i="7"/>
  <c r="D79" i="7"/>
  <c r="G79" i="7" s="1"/>
  <c r="D29" i="7"/>
  <c r="D11" i="7"/>
  <c r="D17" i="7"/>
  <c r="D23" i="7"/>
  <c r="G23" i="7" s="1"/>
  <c r="D9" i="7"/>
  <c r="G9" i="7" s="1"/>
  <c r="D10" i="7"/>
  <c r="D12" i="7"/>
  <c r="D31" i="7"/>
  <c r="D38" i="7"/>
  <c r="G38" i="7" s="1"/>
  <c r="D82" i="7"/>
  <c r="G82" i="7" s="1"/>
  <c r="D14" i="7"/>
  <c r="D39" i="7"/>
  <c r="G39" i="7" s="1"/>
  <c r="D6" i="7"/>
  <c r="D32" i="7"/>
  <c r="D18" i="7"/>
  <c r="D40" i="7"/>
  <c r="D34" i="7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K12" i="5" s="1"/>
  <c r="G6" i="5"/>
  <c r="J12" i="5" s="1"/>
  <c r="H5" i="5"/>
  <c r="G5" i="5"/>
  <c r="H4" i="5"/>
  <c r="G4" i="5"/>
  <c r="J43" i="5" l="1"/>
  <c r="L121" i="5"/>
  <c r="K121" i="5"/>
  <c r="H49" i="6"/>
  <c r="G6" i="7"/>
  <c r="G90" i="7" s="1"/>
  <c r="N5" i="7" s="1"/>
  <c r="N8" i="7" s="1"/>
  <c r="B8" i="12" s="1"/>
  <c r="D8" i="12" s="1"/>
  <c r="G29" i="7"/>
  <c r="G14" i="7"/>
  <c r="G20" i="7"/>
  <c r="G31" i="7"/>
  <c r="G12" i="7"/>
  <c r="G10" i="7"/>
  <c r="G43" i="7"/>
  <c r="K43" i="5"/>
  <c r="G40" i="7"/>
  <c r="G18" i="7"/>
  <c r="G17" i="7"/>
  <c r="G34" i="7"/>
  <c r="G32" i="7"/>
  <c r="G11" i="7"/>
  <c r="H90" i="5"/>
  <c r="P6" i="5" s="1"/>
  <c r="G90" i="5"/>
  <c r="G45" i="5"/>
  <c r="O5" i="5" s="1"/>
  <c r="H45" i="5"/>
  <c r="P5" i="5" s="1"/>
  <c r="O7" i="6"/>
  <c r="O8" i="6" s="1"/>
  <c r="B7" i="12" s="1"/>
  <c r="D7" i="12" s="1"/>
  <c r="G128" i="5"/>
  <c r="O7" i="5" s="1"/>
  <c r="H128" i="5"/>
  <c r="P7" i="5" s="1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C235" i="3" s="1"/>
  <c r="AD51" i="4"/>
  <c r="C236" i="3" s="1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Q7" i="5" l="1"/>
  <c r="I236" i="3"/>
  <c r="H236" i="3"/>
  <c r="I235" i="3"/>
  <c r="H235" i="3"/>
  <c r="P8" i="5"/>
  <c r="C6" i="12" s="1"/>
  <c r="Q5" i="5"/>
  <c r="G91" i="5"/>
  <c r="O6" i="5"/>
  <c r="Q6" i="5" s="1"/>
  <c r="C210" i="3"/>
  <c r="I210" i="3" s="1"/>
  <c r="C234" i="3"/>
  <c r="C211" i="3"/>
  <c r="I211" i="3" s="1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C120" i="3" s="1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C147" i="3" s="1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C89" i="3" s="1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Q8" i="5" l="1"/>
  <c r="O8" i="5"/>
  <c r="B6" i="12" s="1"/>
  <c r="D6" i="12" s="1"/>
  <c r="K82" i="3"/>
  <c r="H233" i="3"/>
  <c r="I233" i="3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I237" i="3" l="1"/>
  <c r="K133" i="3"/>
  <c r="H108" i="3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B21" i="4"/>
  <c r="B20" i="4"/>
  <c r="G99" i="2"/>
  <c r="H76" i="2"/>
  <c r="H78" i="2"/>
  <c r="H80" i="2"/>
  <c r="H82" i="2"/>
  <c r="H84" i="2"/>
  <c r="H86" i="2"/>
  <c r="H88" i="2"/>
  <c r="H90" i="2"/>
  <c r="H92" i="2"/>
  <c r="H94" i="2"/>
  <c r="H96" i="2"/>
  <c r="H98" i="2"/>
  <c r="G76" i="2"/>
  <c r="G78" i="2"/>
  <c r="G80" i="2"/>
  <c r="G82" i="2"/>
  <c r="G84" i="2"/>
  <c r="G86" i="2"/>
  <c r="G88" i="2"/>
  <c r="G90" i="2"/>
  <c r="G92" i="2"/>
  <c r="G94" i="2"/>
  <c r="G96" i="2"/>
  <c r="G98" i="2"/>
  <c r="G7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4" i="2"/>
  <c r="G29" i="2"/>
  <c r="G31" i="2"/>
  <c r="G33" i="2"/>
  <c r="G6" i="2"/>
  <c r="G8" i="2"/>
  <c r="G10" i="2"/>
  <c r="G12" i="2"/>
  <c r="G14" i="2"/>
  <c r="G16" i="2"/>
  <c r="G18" i="2"/>
  <c r="G20" i="2"/>
  <c r="G22" i="2"/>
  <c r="G24" i="2"/>
  <c r="G26" i="2"/>
  <c r="G4" i="2"/>
  <c r="H75" i="2"/>
  <c r="H77" i="2"/>
  <c r="H81" i="2"/>
  <c r="H85" i="2"/>
  <c r="H89" i="2"/>
  <c r="H93" i="2"/>
  <c r="H97" i="2"/>
  <c r="G77" i="2"/>
  <c r="G79" i="2"/>
  <c r="G83" i="2"/>
  <c r="G87" i="2"/>
  <c r="G91" i="2"/>
  <c r="G97" i="2"/>
  <c r="H5" i="2"/>
  <c r="H7" i="2"/>
  <c r="H11" i="2"/>
  <c r="H13" i="2"/>
  <c r="H17" i="2"/>
  <c r="H21" i="2"/>
  <c r="H25" i="2"/>
  <c r="H27" i="2"/>
  <c r="H31" i="2"/>
  <c r="G28" i="2"/>
  <c r="G30" i="2"/>
  <c r="G5" i="2"/>
  <c r="G9" i="2"/>
  <c r="G11" i="2"/>
  <c r="G17" i="2"/>
  <c r="G21" i="2"/>
  <c r="G25" i="2"/>
  <c r="H99" i="2"/>
  <c r="H79" i="2"/>
  <c r="H83" i="2"/>
  <c r="H87" i="2"/>
  <c r="H91" i="2"/>
  <c r="H95" i="2"/>
  <c r="G75" i="2"/>
  <c r="G81" i="2"/>
  <c r="G85" i="2"/>
  <c r="G89" i="2"/>
  <c r="G93" i="2"/>
  <c r="G95" i="2"/>
  <c r="H74" i="2"/>
  <c r="H9" i="2"/>
  <c r="H15" i="2"/>
  <c r="H19" i="2"/>
  <c r="H23" i="2"/>
  <c r="H29" i="2"/>
  <c r="H33" i="2"/>
  <c r="G32" i="2"/>
  <c r="G7" i="2"/>
  <c r="G13" i="2"/>
  <c r="G15" i="2"/>
  <c r="G19" i="2"/>
  <c r="G23" i="2"/>
  <c r="G27" i="2"/>
  <c r="J27" i="2" l="1"/>
  <c r="J23" i="2"/>
  <c r="J19" i="2"/>
  <c r="J15" i="2"/>
  <c r="J13" i="2"/>
  <c r="J7" i="2"/>
  <c r="J21" i="2"/>
  <c r="J17" i="2"/>
  <c r="J11" i="2"/>
  <c r="J9" i="2"/>
  <c r="J5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31" i="2"/>
  <c r="J29" i="2"/>
  <c r="J25" i="2"/>
  <c r="H159" i="3"/>
  <c r="O8" i="3"/>
  <c r="B5" i="12" s="1"/>
  <c r="J4" i="2"/>
  <c r="J33" i="2"/>
  <c r="J32" i="2"/>
  <c r="Q6" i="3"/>
  <c r="P8" i="3"/>
  <c r="C5" i="12" s="1"/>
  <c r="Q5" i="3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Q8" i="3" l="1"/>
  <c r="J35" i="2"/>
  <c r="R5" i="2" s="1"/>
  <c r="D5" i="12"/>
  <c r="T6" i="2"/>
  <c r="K100" i="2"/>
  <c r="S7" i="2" s="1"/>
  <c r="J100" i="2"/>
  <c r="R7" i="2" s="1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D129" i="1"/>
  <c r="D100" i="1"/>
  <c r="D116" i="1"/>
  <c r="D32" i="1"/>
  <c r="K32" i="1" s="1"/>
  <c r="D117" i="1"/>
  <c r="D130" i="1"/>
  <c r="D114" i="1"/>
  <c r="D115" i="1"/>
  <c r="D118" i="1"/>
  <c r="D119" i="1"/>
  <c r="D120" i="1"/>
  <c r="D121" i="1"/>
  <c r="D122" i="1"/>
  <c r="D123" i="1"/>
  <c r="D124" i="1"/>
  <c r="D125" i="1"/>
  <c r="D126" i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E129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90" i="1"/>
  <c r="E92" i="1"/>
  <c r="E94" i="1"/>
  <c r="E96" i="1"/>
  <c r="E98" i="1"/>
  <c r="E100" i="1"/>
  <c r="E102" i="1"/>
  <c r="E10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91" i="1"/>
  <c r="F93" i="1"/>
  <c r="F95" i="1"/>
  <c r="E130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91" i="1"/>
  <c r="E93" i="1"/>
  <c r="E95" i="1"/>
  <c r="E97" i="1"/>
  <c r="E99" i="1"/>
  <c r="E101" i="1"/>
  <c r="E103" i="1"/>
  <c r="E89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90" i="1"/>
  <c r="F92" i="1"/>
  <c r="F94" i="1"/>
  <c r="F89" i="1"/>
  <c r="K130" i="1" l="1"/>
  <c r="K126" i="1"/>
  <c r="K124" i="1"/>
  <c r="R8" i="2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<sst xmlns="http://schemas.openxmlformats.org/spreadsheetml/2006/main" count="4313" uniqueCount="928">
  <si>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</si>
  <si>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</si>
  <si>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</si>
  <si>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</si>
  <si>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</si>
  <si>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</si>
  <si>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</si>
  <si>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</si>
  <si>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</si>
  <si>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</si>
  <si>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</si>
  <si>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</si>
  <si>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</si>
  <si>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</si>
  <si>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</si>
  <si>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</si>
  <si>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</si>
  <si>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</si>
  <si>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</si>
  <si>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</si>
  <si>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</si>
  <si>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</si>
  <si>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</si>
  <si>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</si>
  <si>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</si>
  <si>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</si>
  <si>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</si>
  <si>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</si>
  <si>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</si>
  <si>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</si>
  <si>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</si>
  <si>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</si>
  <si>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</si>
  <si>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</si>
  <si>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</si>
  <si>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</si>
  <si>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</si>
  <si>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</si>
  <si>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</si>
  <si>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</si>
  <si>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</si>
  <si>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</si>
  <si>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</si>
  <si>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</si>
  <si>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</si>
  <si>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</si>
  <si>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</si>
  <si>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</si>
  <si>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</si>
  <si>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</si>
  <si>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</si>
  <si>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</si>
  <si>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</si>
  <si>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</si>
  <si>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</si>
  <si>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</si>
  <si>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</si>
  <si>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</si>
  <si>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</si>
  <si>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</si>
  <si>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</si>
  <si>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</si>
  <si>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</si>
  <si>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</si>
  <si>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</si>
  <si>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</si>
  <si>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</si>
  <si>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</si>
  <si>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</si>
  <si>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</si>
  <si>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</si>
  <si>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</si>
  <si>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</si>
  <si>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</si>
  <si>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</si>
  <si>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</si>
  <si>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</si>
  <si>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</si>
  <si>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</si>
  <si>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</si>
  <si>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</si>
  <si>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</si>
  <si>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</si>
  <si>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</si>
  <si>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</si>
  <si>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</si>
  <si>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</si>
  <si>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</si>
  <si>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</si>
  <si>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</si>
  <si>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</si>
  <si>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</si>
  <si>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</si>
  <si>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</si>
  <si>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</si>
  <si>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</si>
  <si>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</si>
  <si>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</si>
  <si>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</si>
  <si>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</si>
  <si>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</si>
  <si>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</si>
  <si>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</si>
  <si>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</si>
  <si>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</si>
  <si>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</si>
  <si>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</si>
  <si>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</si>
  <si>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</si>
  <si>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</si>
  <si>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</si>
  <si>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</si>
  <si>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</si>
  <si>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</si>
  <si>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</si>
  <si>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</si>
  <si>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</si>
  <si>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</si>
  <si>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</si>
  <si>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</si>
  <si>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</si>
  <si>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</si>
  <si>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</si>
  <si>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</si>
  <si>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</si>
  <si>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</si>
  <si>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</si>
  <si>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</si>
  <si>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</si>
  <si>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</si>
  <si>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</si>
  <si>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</si>
  <si>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</si>
  <si>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</si>
  <si>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</si>
  <si>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</si>
  <si>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</si>
  <si>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</si>
  <si>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</si>
  <si>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</si>
  <si>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</si>
  <si>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</si>
  <si>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</si>
  <si>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</si>
  <si>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</si>
  <si>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</si>
  <si>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</si>
  <si>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</si>
  <si>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</si>
  <si>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</si>
  <si>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</si>
  <si>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</si>
  <si>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</si>
  <si>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</si>
  <si>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</si>
  <si>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</si>
  <si>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</si>
  <si>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</si>
  <si>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</si>
  <si>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</si>
  <si>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</si>
  <si>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</si>
  <si>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</si>
  <si>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</si>
  <si>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</si>
  <si>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</si>
  <si>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</si>
  <si>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</si>
  <si>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</si>
  <si>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</si>
  <si>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</si>
  <si>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</si>
  <si>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</si>
  <si>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</si>
  <si>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</si>
  <si>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</si>
  <si>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</si>
  <si>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</si>
  <si>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</si>
  <si>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</si>
  <si>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</si>
  <si>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</si>
  <si>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</si>
  <si>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</si>
  <si>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</si>
  <si>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</si>
  <si>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</si>
  <si>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</si>
  <si>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</si>
  <si>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</si>
  <si>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</si>
  <si>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</si>
  <si>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</si>
  <si>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</si>
  <si>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</si>
  <si>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</si>
  <si>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</si>
  <si>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</si>
  <si>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</si>
  <si>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</si>
  <si>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</si>
  <si>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</si>
  <si>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</si>
  <si>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</si>
  <si>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</si>
  <si>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</si>
  <si>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</si>
  <si>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</si>
  <si>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</si>
  <si>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</si>
  <si>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</si>
  <si>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</si>
  <si>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</si>
  <si>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</si>
  <si>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</si>
  <si>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</si>
  <si>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</si>
  <si>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</si>
  <si>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</si>
  <si>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</si>
  <si>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</si>
  <si>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</si>
  <si>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</si>
  <si>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</si>
  <si>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</si>
  <si>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</si>
  <si>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</si>
  <si>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</si>
  <si>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</si>
  <si>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</si>
  <si>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</si>
  <si>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</si>
  <si>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</si>
  <si>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</si>
  <si>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</si>
  <si>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</si>
  <si>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</si>
  <si>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</si>
  <si>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</si>
  <si>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</si>
  <si>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</si>
  <si>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</si>
  <si>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</si>
  <si>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</si>
  <si>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</si>
  <si>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</si>
  <si>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</si>
  <si>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</si>
  <si>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</si>
  <si>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</si>
  <si>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</si>
  <si>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</si>
  <si>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</si>
  <si>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</si>
  <si>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</si>
  <si>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</si>
  <si>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</si>
  <si>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</si>
  <si>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</si>
  <si>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</si>
  <si>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</si>
  <si>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</si>
  <si>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</si>
  <si>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</si>
  <si>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</si>
  <si>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</si>
  <si>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</si>
  <si>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</si>
  <si>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</si>
  <si>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</si>
  <si>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</si>
  <si>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</si>
  <si>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</si>
  <si>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</si>
  <si>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</si>
  <si>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</si>
  <si>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</si>
  <si>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</si>
  <si>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</si>
  <si>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</si>
  <si>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</si>
  <si>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</si>
  <si>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</si>
  <si>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</si>
  <si>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</si>
  <si>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</si>
  <si>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</si>
  <si>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</si>
  <si>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</si>
  <si>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</si>
  <si>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</si>
  <si>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</si>
  <si>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</si>
  <si>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</si>
  <si>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</si>
  <si>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</si>
  <si>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</si>
  <si>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</si>
  <si>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</si>
  <si>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</si>
  <si>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</si>
  <si>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</si>
  <si>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</si>
  <si>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</si>
  <si>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</si>
  <si>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</si>
  <si>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</si>
  <si>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</si>
  <si>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</si>
  <si>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</si>
  <si>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</si>
  <si>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</si>
  <si>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</si>
  <si>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</si>
  <si>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</si>
  <si>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</si>
  <si>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</si>
  <si>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</si>
  <si>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</si>
  <si>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</si>
  <si>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</si>
  <si>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</si>
  <si>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</si>
  <si>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</si>
  <si>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</si>
  <si>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</si>
  <si>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</si>
  <si>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</si>
  <si>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</si>
  <si>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</si>
  <si>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</si>
  <si>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</si>
  <si>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</si>
  <si>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</si>
  <si>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</si>
  <si>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</si>
  <si>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</si>
  <si>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</si>
  <si>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</si>
  <si>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</si>
  <si>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</si>
  <si>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</si>
  <si>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</si>
  <si>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</si>
  <si>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</si>
  <si>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</si>
  <si>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</si>
  <si>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</si>
  <si>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</si>
  <si>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</si>
  <si>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</si>
  <si>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</si>
  <si>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</si>
  <si>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</si>
  <si>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</si>
  <si>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</si>
  <si>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</si>
  <si>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</si>
  <si>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</si>
  <si>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</si>
  <si>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</si>
  <si>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</si>
  <si>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</si>
  <si>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</si>
  <si>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</si>
  <si>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</si>
  <si>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</si>
  <si>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</si>
  <si>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</si>
  <si>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</si>
  <si>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</si>
  <si>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</si>
  <si>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</si>
  <si>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</si>
  <si>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</si>
  <si>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</si>
  <si>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</si>
  <si>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</si>
  <si>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</si>
  <si>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</si>
  <si>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</si>
  <si>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</si>
  <si>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</si>
  <si>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</si>
  <si>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</si>
  <si>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</si>
  <si>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</si>
  <si>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</si>
  <si>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</si>
  <si>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</si>
  <si>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</si>
  <si>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</si>
  <si>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</si>
  <si>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</si>
  <si>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</si>
  <si>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</si>
  <si>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</si>
  <si>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</si>
  <si>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</si>
  <si>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</si>
  <si>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</si>
  <si>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</si>
  <si>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</si>
  <si>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</si>
  <si>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</si>
  <si>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</si>
  <si>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</si>
  <si>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</si>
  <si>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</si>
  <si>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</si>
  <si>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</si>
  <si>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</si>
  <si>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</si>
  <si>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</si>
  <si>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</si>
  <si>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</si>
  <si>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</si>
  <si>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</si>
  <si>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</si>
  <si>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</si>
  <si>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</si>
  <si>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</si>
  <si>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</si>
  <si>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</si>
  <si>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</si>
  <si>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</si>
  <si>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</si>
  <si>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</si>
  <si>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</si>
  <si>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</si>
  <si>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</si>
  <si>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</si>
  <si>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</si>
  <si>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</si>
  <si>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</si>
  <si>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</si>
  <si>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</si>
  <si>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</si>
  <si>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</si>
  <si>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</si>
  <si>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</si>
  <si>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</si>
  <si>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</si>
  <si>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</si>
  <si>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</si>
  <si>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</si>
  <si>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</si>
  <si>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</si>
  <si>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</si>
  <si>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</si>
  <si>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</si>
  <si>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</si>
  <si>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</si>
  <si>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</si>
  <si>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</si>
  <si>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</si>
  <si>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</si>
  <si>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</si>
  <si>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</si>
  <si>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</si>
  <si>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</si>
  <si>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</si>
  <si>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</si>
  <si>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</si>
  <si>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</si>
  <si>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</si>
  <si>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</si>
  <si>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</si>
  <si>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</si>
  <si>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</si>
  <si>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</si>
  <si>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</si>
  <si>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</si>
  <si>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</si>
  <si>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</si>
  <si>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</si>
  <si>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</si>
  <si>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</si>
  <si>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</si>
  <si>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</si>
  <si>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</si>
  <si>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</si>
  <si>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</si>
  <si>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</si>
  <si>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</si>
  <si>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</si>
  <si>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</si>
  <si>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</si>
  <si>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</si>
  <si>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</si>
  <si>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</si>
  <si>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</si>
  <si>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</si>
  <si>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</si>
  <si>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</si>
  <si>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</si>
  <si>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</si>
  <si>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</si>
  <si>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</si>
  <si>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</si>
  <si>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</si>
  <si>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</si>
  <si>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</si>
  <si>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</si>
  <si>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</si>
  <si>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</si>
  <si>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</si>
  <si>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</si>
  <si>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</si>
  <si>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</si>
  <si>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</si>
  <si>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</si>
  <si>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</si>
  <si>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</si>
  <si>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</si>
  <si>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</si>
  <si>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</si>
  <si>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</si>
  <si>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</si>
  <si>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</si>
  <si>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</si>
  <si>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</si>
  <si>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</si>
  <si>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</si>
  <si>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</si>
  <si>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</si>
  <si>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</si>
  <si>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</si>
  <si>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</si>
  <si>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</si>
  <si>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</si>
  <si>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</si>
  <si>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</si>
  <si>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</si>
  <si>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</si>
  <si>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</si>
  <si>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</si>
  <si>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</si>
  <si>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</si>
  <si>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</si>
  <si>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</si>
  <si>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</si>
  <si>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</si>
  <si>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</si>
  <si>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</si>
  <si>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</si>
  <si>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</si>
  <si>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</si>
  <si>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</si>
  <si>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</si>
  <si>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</si>
  <si>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</si>
  <si>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</si>
  <si>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</si>
  <si>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</si>
  <si>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</si>
  <si>
    <t>GPM</t>
  </si>
  <si>
    <t>Nominal Diamater (in)</t>
  </si>
  <si>
    <t>Nominal Diameter (m)</t>
  </si>
  <si>
    <t>Inside Diameter (m)</t>
  </si>
  <si>
    <t>Velocity (ft/s)</t>
  </si>
  <si>
    <t>pres grad (ft/100ft)</t>
  </si>
  <si>
    <t>Pressure Gradient (Pa/m)</t>
  </si>
  <si>
    <t>Pressure Drop (Pa)</t>
  </si>
  <si>
    <t>chiller - pump</t>
  </si>
  <si>
    <t>pump - A</t>
  </si>
  <si>
    <t>A-B</t>
  </si>
  <si>
    <t>B-C</t>
  </si>
  <si>
    <t>C-D</t>
  </si>
  <si>
    <t>D-E</t>
  </si>
  <si>
    <t>E-F</t>
  </si>
  <si>
    <t>F-G</t>
  </si>
  <si>
    <t>G-H</t>
  </si>
  <si>
    <t>H-I</t>
  </si>
  <si>
    <t>I-J</t>
  </si>
  <si>
    <t>J-K</t>
  </si>
  <si>
    <t>K-L</t>
  </si>
  <si>
    <t>L-M</t>
  </si>
  <si>
    <t>M-N</t>
  </si>
  <si>
    <t>N-O</t>
  </si>
  <si>
    <t>O-P</t>
  </si>
  <si>
    <t>P-Q</t>
  </si>
  <si>
    <t>Q-R</t>
  </si>
  <si>
    <t>R-S</t>
  </si>
  <si>
    <t>S-T</t>
  </si>
  <si>
    <t>T-AHU</t>
  </si>
  <si>
    <t>Q(L/s)</t>
  </si>
  <si>
    <t>Damter (in)</t>
  </si>
  <si>
    <t>Diameter (mm)</t>
  </si>
  <si>
    <t>3rd floor</t>
  </si>
  <si>
    <t>Personel Dinning</t>
  </si>
  <si>
    <t>5 BED WARD 3</t>
  </si>
  <si>
    <t>5 BED WARD 4</t>
  </si>
  <si>
    <t>Q (L/s)</t>
  </si>
  <si>
    <t>Diameter (in)</t>
  </si>
  <si>
    <t>Diameter ((mm)</t>
  </si>
  <si>
    <t>2ND FLOOR</t>
  </si>
  <si>
    <t>auto clave area</t>
  </si>
  <si>
    <t>reception</t>
  </si>
  <si>
    <t>Ground Floor</t>
  </si>
  <si>
    <t>OPD records</t>
  </si>
  <si>
    <t>OPD info. And admitting</t>
  </si>
  <si>
    <t xml:space="preserve"> Canteen</t>
  </si>
  <si>
    <t>Administrative office</t>
  </si>
  <si>
    <t>OPD clinic surgery 1</t>
  </si>
  <si>
    <t>OPD clinic surgery 2</t>
  </si>
  <si>
    <t>OPD clinic dental 1</t>
  </si>
  <si>
    <t>OPD clinic dental 2</t>
  </si>
  <si>
    <t>Linen storage</t>
  </si>
  <si>
    <t xml:space="preserve"> Maintenance Office</t>
  </si>
  <si>
    <t>AHU</t>
  </si>
  <si>
    <t>Inside Diameter (in)</t>
  </si>
  <si>
    <t>Velocity (m/s)</t>
  </si>
  <si>
    <t>Equivalent  Length of Pipe</t>
  </si>
  <si>
    <t>TOR</t>
  </si>
  <si>
    <t>Estimated kW</t>
  </si>
  <si>
    <t>Equipment and supply storage area</t>
  </si>
  <si>
    <t>Film File storage</t>
  </si>
  <si>
    <t>Cadaver Holding room</t>
  </si>
  <si>
    <t>Bulk storage</t>
  </si>
  <si>
    <t xml:space="preserve"> Minor Operating Room</t>
  </si>
  <si>
    <t>Examination / treatment area</t>
  </si>
  <si>
    <t xml:space="preserve">OPD Info. And admitting </t>
  </si>
  <si>
    <t>5 Bed Ward 1</t>
  </si>
  <si>
    <t>Work Area (inside)</t>
  </si>
  <si>
    <t>NO SPACE AT 22°C</t>
  </si>
  <si>
    <t>A/C Capacity</t>
  </si>
  <si>
    <t>Cooling Capacity (KW)</t>
  </si>
  <si>
    <t>Cooling Capacity (TOR)</t>
  </si>
  <si>
    <t>Ground Floor at 22°C</t>
  </si>
  <si>
    <t>Ground Floor at 24°C</t>
  </si>
  <si>
    <t>Ground Floor at 22.5°</t>
  </si>
  <si>
    <t>Second Floor 24°C</t>
  </si>
  <si>
    <t>Second Floor at 22°C</t>
  </si>
  <si>
    <t>Second Floor at 22.5°C</t>
  </si>
  <si>
    <t>Third Floor at 24°C</t>
  </si>
  <si>
    <t>Third Floor at 22°C</t>
  </si>
  <si>
    <t>Third Floor at 22.5°C</t>
  </si>
  <si>
    <t>DUCTING CALCULATIONS</t>
  </si>
  <si>
    <t>m3/s</t>
  </si>
  <si>
    <t>Diameter</t>
  </si>
  <si>
    <t>Velocity</t>
  </si>
  <si>
    <t>Pressure Gradient</t>
  </si>
  <si>
    <t>Equivalent length</t>
  </si>
  <si>
    <t>Pressure Drop</t>
  </si>
  <si>
    <t>Size of Duct</t>
  </si>
  <si>
    <t>Size of Diffuser</t>
  </si>
  <si>
    <t>400x250</t>
  </si>
  <si>
    <t>450x450</t>
  </si>
  <si>
    <t>Examination/treatment and observation area</t>
  </si>
  <si>
    <t>650x475</t>
  </si>
  <si>
    <t>325x225</t>
  </si>
  <si>
    <t>Work Area laboratory</t>
  </si>
  <si>
    <t>375x375</t>
  </si>
  <si>
    <t>400x425</t>
  </si>
  <si>
    <t>600x600</t>
  </si>
  <si>
    <t>250x175</t>
  </si>
  <si>
    <t>300x300</t>
  </si>
  <si>
    <t>Recovery room</t>
  </si>
  <si>
    <t>425x325</t>
  </si>
  <si>
    <t>525x525</t>
  </si>
  <si>
    <t>Isolation room 1</t>
  </si>
  <si>
    <t>Isolation room 2</t>
  </si>
  <si>
    <t>Main duct</t>
  </si>
  <si>
    <t>900x850</t>
  </si>
  <si>
    <t>KW</t>
  </si>
  <si>
    <t xml:space="preserve">TAG no. </t>
  </si>
  <si>
    <t>Quantity</t>
  </si>
  <si>
    <t>Description</t>
  </si>
  <si>
    <t>Brand/Model</t>
  </si>
  <si>
    <t>Capacity(L/S)</t>
  </si>
  <si>
    <t>Area Served</t>
  </si>
  <si>
    <t>Electrical Data</t>
  </si>
  <si>
    <t>Remarks</t>
  </si>
  <si>
    <t>V</t>
  </si>
  <si>
    <t>ϕ</t>
  </si>
  <si>
    <t>Hz</t>
  </si>
  <si>
    <t>D-1</t>
  </si>
  <si>
    <t>Flange Horizontal Blow Diffuser</t>
  </si>
  <si>
    <t>OC WaterLoo/DF</t>
  </si>
  <si>
    <t>See attached catalogue for equipment detailed specification</t>
  </si>
  <si>
    <t>D-2</t>
  </si>
  <si>
    <t>Examination or Treatment Area</t>
  </si>
  <si>
    <t>D-3</t>
  </si>
  <si>
    <t>D-4</t>
  </si>
  <si>
    <t>D-5</t>
  </si>
  <si>
    <t>D-6</t>
  </si>
  <si>
    <t>Major Operating room</t>
  </si>
  <si>
    <t>D-7</t>
  </si>
  <si>
    <t>D-8</t>
  </si>
  <si>
    <t>Work Area Inside</t>
  </si>
  <si>
    <t>D-9</t>
  </si>
  <si>
    <t>D-10</t>
  </si>
  <si>
    <t>D-11</t>
  </si>
  <si>
    <t>D-12</t>
  </si>
  <si>
    <t>D-13</t>
  </si>
  <si>
    <t>D-14</t>
  </si>
  <si>
    <t>Isolation Room 3</t>
  </si>
  <si>
    <t>D-15</t>
  </si>
  <si>
    <t>Isolation Room 4</t>
  </si>
  <si>
    <t>SUMMARY of A/C Capacity for each floor</t>
  </si>
  <si>
    <t>FLOOR</t>
  </si>
  <si>
    <t>DESIGN TEMPERATURE</t>
  </si>
  <si>
    <t xml:space="preserve">24°C </t>
  </si>
  <si>
    <t xml:space="preserve">22.5°C </t>
  </si>
  <si>
    <t xml:space="preserve">22°C </t>
  </si>
  <si>
    <t>GROUND FLOOR</t>
  </si>
  <si>
    <t>59.0828 kW</t>
  </si>
  <si>
    <t>92.4161 kW</t>
  </si>
  <si>
    <t>17.8804 kW</t>
  </si>
  <si>
    <t>16.0086 TOR</t>
  </si>
  <si>
    <t>25.9472 TOR</t>
  </si>
  <si>
    <t>5.0844 TOR</t>
  </si>
  <si>
    <t>33.1554 kW</t>
  </si>
  <si>
    <t>160.153 kW</t>
  </si>
  <si>
    <t>38.1973 kW</t>
  </si>
  <si>
    <t>9.3089 TOR</t>
  </si>
  <si>
    <t>45.5408 TOR</t>
  </si>
  <si>
    <t>10.8617 TOR</t>
  </si>
  <si>
    <t>47.4593 kW</t>
  </si>
  <si>
    <t>159.5619 kW</t>
  </si>
  <si>
    <t>13.4954 TOR</t>
  </si>
  <si>
    <t>45.3726 TOR</t>
  </si>
  <si>
    <t>-----</t>
  </si>
  <si>
    <t>TOTAL :</t>
  </si>
  <si>
    <t>607.9062 kW</t>
  </si>
  <si>
    <t>172.8627 TOR</t>
  </si>
  <si>
    <t>EQUIPMENT SCHEDULE</t>
  </si>
  <si>
    <t>TABLE</t>
  </si>
  <si>
    <t>Capacity</t>
  </si>
  <si>
    <t>No. of Indoor units connected</t>
  </si>
  <si>
    <t>CH-1</t>
  </si>
  <si>
    <t>Air Cooled Chiller</t>
  </si>
  <si>
    <t>Carrier/0700A</t>
  </si>
  <si>
    <t>668.1 kW</t>
  </si>
  <si>
    <t xml:space="preserve"> ---</t>
  </si>
  <si>
    <t>39G Air Handling Unit</t>
  </si>
  <si>
    <t>Carrier/Y SM-B</t>
  </si>
  <si>
    <t>Schedule of Outdoor Unit for Third Floor</t>
  </si>
  <si>
    <t>Capacity (TOR)</t>
  </si>
  <si>
    <t>FCU-C1</t>
  </si>
  <si>
    <t xml:space="preserve">Ceiling Casette Chilled Water Fan Coil Unit </t>
  </si>
  <si>
    <t>Daikin/FWMJCC2BV1</t>
  </si>
  <si>
    <t>5- BedWard 1</t>
  </si>
  <si>
    <t>FCU-C2</t>
  </si>
  <si>
    <t>5- BedWard 2</t>
  </si>
  <si>
    <t>FCU-C3</t>
  </si>
  <si>
    <t>FCU-C4</t>
  </si>
  <si>
    <t>FCU-C5</t>
  </si>
  <si>
    <t>FCU-C6</t>
  </si>
  <si>
    <t>FCU-C7</t>
  </si>
  <si>
    <t>FCU-C8</t>
  </si>
  <si>
    <t>FCU-C9</t>
  </si>
  <si>
    <t>FCU-C10</t>
  </si>
  <si>
    <t>3- Bed Ward 1</t>
  </si>
  <si>
    <t>FCU-C11</t>
  </si>
  <si>
    <t>FCU-C12</t>
  </si>
  <si>
    <t>FCU-C13</t>
  </si>
  <si>
    <t>FCU-C14</t>
  </si>
  <si>
    <t>3- Bed Ward 2</t>
  </si>
  <si>
    <t>FCU-C15</t>
  </si>
  <si>
    <t>FCU-C16</t>
  </si>
  <si>
    <t>FCU-C17</t>
  </si>
  <si>
    <t>5- BedWard 3</t>
  </si>
  <si>
    <t>FCU-C18</t>
  </si>
  <si>
    <t>5- BedWard 4</t>
  </si>
  <si>
    <t>FCU-C19</t>
  </si>
  <si>
    <t>FCU-C20</t>
  </si>
  <si>
    <t>FCU-C21</t>
  </si>
  <si>
    <t>FCU-C22</t>
  </si>
  <si>
    <t>FCU-C23</t>
  </si>
  <si>
    <t>FCU-C24</t>
  </si>
  <si>
    <t>FCU-C25</t>
  </si>
  <si>
    <t>FCU-C26</t>
  </si>
  <si>
    <t>FCU-C27</t>
  </si>
  <si>
    <t>FCU-C28</t>
  </si>
  <si>
    <t>FCU-C29</t>
  </si>
  <si>
    <t>FCU-C30</t>
  </si>
  <si>
    <t>Schedule of Outdoor Unit for Second Floor</t>
  </si>
  <si>
    <t>FCU-B1</t>
  </si>
  <si>
    <t>FCU-B2</t>
  </si>
  <si>
    <t>FCU-B3</t>
  </si>
  <si>
    <t>FCU-B4</t>
  </si>
  <si>
    <t>FCU-B5</t>
  </si>
  <si>
    <t>FCU-B6</t>
  </si>
  <si>
    <t>FCU-B7</t>
  </si>
  <si>
    <t>FCU-B8</t>
  </si>
  <si>
    <t>FCU-B9</t>
  </si>
  <si>
    <t>FCU-B10</t>
  </si>
  <si>
    <t>FCU-B11</t>
  </si>
  <si>
    <t>FCU-B12</t>
  </si>
  <si>
    <t>FCU-B13</t>
  </si>
  <si>
    <t>FCU-B14</t>
  </si>
  <si>
    <t>FCU-B15</t>
  </si>
  <si>
    <t>FCU-B16</t>
  </si>
  <si>
    <t>FCU-B17</t>
  </si>
  <si>
    <t>FCU-B18</t>
  </si>
  <si>
    <t>FCU-B19</t>
  </si>
  <si>
    <t>FCU-B20</t>
  </si>
  <si>
    <t>FCU-B21</t>
  </si>
  <si>
    <t>FCU-B22</t>
  </si>
  <si>
    <t>FCU-B23</t>
  </si>
  <si>
    <t>FCU-B24</t>
  </si>
  <si>
    <t>FCU-B25</t>
  </si>
  <si>
    <t>Sterile Room</t>
  </si>
  <si>
    <t>FCU-B26</t>
  </si>
  <si>
    <t>FCU-B27</t>
  </si>
  <si>
    <t>FCU-B28</t>
  </si>
  <si>
    <t>FCU-B29</t>
  </si>
  <si>
    <t>FCU-B30</t>
  </si>
  <si>
    <t>Schedule of Outdoor Unit for Ground Floor</t>
  </si>
  <si>
    <t>FCU-A1</t>
  </si>
  <si>
    <t>1..5</t>
  </si>
  <si>
    <t>FCU-A2</t>
  </si>
  <si>
    <t>FCU-A3</t>
  </si>
  <si>
    <t>FCU-A4</t>
  </si>
  <si>
    <t>Medical Record's Office</t>
  </si>
  <si>
    <t>FCU-A5</t>
  </si>
  <si>
    <t>Medical Records</t>
  </si>
  <si>
    <t>FCU-A6</t>
  </si>
  <si>
    <t>FCU-A7</t>
  </si>
  <si>
    <t>FCU-A8</t>
  </si>
  <si>
    <t>FCU-A9</t>
  </si>
  <si>
    <t>FCU-A10</t>
  </si>
  <si>
    <t>FCU-A11</t>
  </si>
  <si>
    <t>FCU-A12</t>
  </si>
  <si>
    <t>FCU-A13</t>
  </si>
  <si>
    <t>FCU-A14</t>
  </si>
  <si>
    <t>FCU-A15</t>
  </si>
  <si>
    <t>Linen Office</t>
  </si>
  <si>
    <t>FCU-A16</t>
  </si>
  <si>
    <t>FCU-A17</t>
  </si>
  <si>
    <t>FCU-A18</t>
  </si>
  <si>
    <t>FCU-A19</t>
  </si>
  <si>
    <t>FCU-A20</t>
  </si>
  <si>
    <t>FCU-A21</t>
  </si>
  <si>
    <t>FCU-A22</t>
  </si>
  <si>
    <t>Admin's Office</t>
  </si>
  <si>
    <t>FCU-A23</t>
  </si>
  <si>
    <t>FCU-A24</t>
  </si>
  <si>
    <t>OPD Clinic OB-gyne</t>
  </si>
  <si>
    <t>FCU-A25</t>
  </si>
  <si>
    <t>FCU-A26</t>
  </si>
  <si>
    <t>FCU-A27</t>
  </si>
  <si>
    <t>OPD info and admitting</t>
  </si>
  <si>
    <t>FCU-A28</t>
  </si>
  <si>
    <t>FCU-A29</t>
  </si>
  <si>
    <t>FCU-A30</t>
  </si>
  <si>
    <t>FCU-A31</t>
  </si>
  <si>
    <t>FCU-A32</t>
  </si>
  <si>
    <t>FCU-A33</t>
  </si>
  <si>
    <t>FCU-A34</t>
  </si>
  <si>
    <t>FCU-A35</t>
  </si>
  <si>
    <t>FCU-A36</t>
  </si>
  <si>
    <t>EXHAUST L/S CALCULATION</t>
  </si>
  <si>
    <t>Volume (m^3)</t>
  </si>
  <si>
    <t>ACH</t>
  </si>
  <si>
    <t>Exhaust m^3/s</t>
  </si>
  <si>
    <t>Exhaust L/s</t>
  </si>
  <si>
    <t>Maintenance office CR</t>
  </si>
  <si>
    <t>Examination/Treatment CR</t>
  </si>
  <si>
    <t>Nurse Station (ER) CR</t>
  </si>
  <si>
    <t>Dietician's office CR</t>
  </si>
  <si>
    <t>OPD clinic ob-gyne CR</t>
  </si>
  <si>
    <t>Second Floor</t>
  </si>
  <si>
    <t>5-BedWard 1 CR</t>
  </si>
  <si>
    <t>5-BedWard 2CR</t>
  </si>
  <si>
    <t>5-BedWard 3 CR</t>
  </si>
  <si>
    <t>5-BedWard 4 CR</t>
  </si>
  <si>
    <t>5-BedWard 2 CR</t>
  </si>
  <si>
    <t>3-BedWard 1 CR</t>
  </si>
  <si>
    <t>3-BedWard 2 CR</t>
  </si>
  <si>
    <t xml:space="preserve">Male Toilet </t>
  </si>
  <si>
    <t>SUMMARY OF HEAT LOAD CALCULATION FOR GROUND FLOOR AT 22 °C</t>
  </si>
  <si>
    <t>SUMMARY OF HEAT LOAD CALCULATION FOR GROUND FLOOR AT 28 °C</t>
  </si>
  <si>
    <t>HEAT SOURCES</t>
  </si>
  <si>
    <t>External Wall</t>
  </si>
  <si>
    <t>Glass Load</t>
  </si>
  <si>
    <t>Infiltration Load</t>
  </si>
  <si>
    <t>Ventilation Load</t>
  </si>
  <si>
    <t>Lighting Load</t>
  </si>
  <si>
    <t>Occupant Load</t>
  </si>
  <si>
    <t>Wall Partition Load</t>
  </si>
  <si>
    <t>Door Partition Load</t>
  </si>
  <si>
    <t>Miscellaneous Load</t>
  </si>
  <si>
    <t>OVERALL TOTAL</t>
  </si>
  <si>
    <t>SUMMARY OF HEAT LOAD CALCULATION FOR GROUND FLOOR AT 22.5°C</t>
  </si>
  <si>
    <t>SUMMARY OF HEAT LOAD CALCULATION FOR GROUND FLOOR AT 24°C</t>
  </si>
  <si>
    <t>SUMMARY OF HEAT LOAD CALCULATION FOR SECOND FLOOR AT 22 °C</t>
  </si>
  <si>
    <t>___</t>
  </si>
  <si>
    <t>SUMMARY OF HEAT LOAD CALCULATION FOR SECOND FLOOR AT 22.5°C</t>
  </si>
  <si>
    <t>Wall Partition</t>
  </si>
  <si>
    <t>Door Partition</t>
  </si>
  <si>
    <t>SUMMARY OF HEAT LOAD CALCULATION FOR SECOND FLOOR AT 24°C</t>
  </si>
  <si>
    <t>SUMMARY OF HEAT LOAD CALCULATION FOR THIRD FLOOR AT 22 °C</t>
  </si>
  <si>
    <t>SUMMARY OF HEAT LOAD CALCULATION FORTHIRD FLOOR AT 28 °C</t>
  </si>
  <si>
    <t>Partition Load</t>
  </si>
  <si>
    <t>SUMMARY OF HEAT LOAD CALCULATION FOR THIRD FLOOR AT 22.5°C</t>
  </si>
  <si>
    <t>Roof Load</t>
  </si>
  <si>
    <t>SUMMARY OF HEAT LOAD CALCULATION FOR THIRD FLOOR AT 24°C</t>
  </si>
  <si>
    <t>COST ESTIMATION</t>
  </si>
  <si>
    <t>Chiller</t>
  </si>
  <si>
    <t>kW</t>
  </si>
  <si>
    <t>Price/unit</t>
  </si>
  <si>
    <t>QTY</t>
  </si>
  <si>
    <t>Roofdeck</t>
  </si>
  <si>
    <t>₱35,600</t>
  </si>
  <si>
    <t>Air Handling Unit</t>
  </si>
  <si>
    <t>Horizontal Standard AHU</t>
  </si>
  <si>
    <t>₱50,900</t>
  </si>
  <si>
    <t>Fan Coil Unit (Ground Floor)</t>
  </si>
  <si>
    <t>Ceiling Cassette Chilled Water Fan Coil Unit</t>
  </si>
  <si>
    <t>₱49,500</t>
  </si>
  <si>
    <t>₱29,500</t>
  </si>
  <si>
    <t>₱63,500</t>
  </si>
  <si>
    <t>₱99,000</t>
  </si>
  <si>
    <t>₱59,000</t>
  </si>
  <si>
    <t>₱445,500</t>
  </si>
  <si>
    <t>Fan Coil Unit (Second Floor)</t>
  </si>
  <si>
    <t>₱127,000</t>
  </si>
  <si>
    <t>₱54,500</t>
  </si>
  <si>
    <t>₱109,000</t>
  </si>
  <si>
    <t>Fan Coil Unit (Third Floor)</t>
  </si>
  <si>
    <t>₱67,500</t>
  </si>
  <si>
    <t>₱135,500</t>
  </si>
  <si>
    <t>₱163,500</t>
  </si>
  <si>
    <t>₱71,500</t>
  </si>
  <si>
    <t>₱143,500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</si>
</sst>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scheme val="minor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rgb="FF000000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363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16" borderId="3" xfId="0" applyFont="1" applyFill="1" applyBorder="1"/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vertical="center" wrapText="1"/>
    </xf>
    <xf numFmtId="0" fontId="0" fillId="16" borderId="2" xfId="0" applyFill="1" applyBorder="1" applyAlignment="1"/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2" fontId="0" fillId="0" borderId="0" xfId="0" applyNumberFormat="1"/>
    <xf numFmtId="0" fontId="0" fillId="0" borderId="0" xfId="0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18" borderId="0" xfId="0" applyFill="1"/>
    <xf numFmtId="12" fontId="0" fillId="19" borderId="0" xfId="0" applyNumberFormat="1" applyFill="1"/>
    <xf numFmtId="1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0" borderId="0" xfId="0" applyFill="1"/>
    <xf numFmtId="12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2" fontId="0" fillId="0" borderId="0" xfId="0" applyNumberFormat="1" applyFill="1"/>
    <xf numFmtId="0" fontId="11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12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12" fontId="23" fillId="0" borderId="0" xfId="0" applyNumberFormat="1" applyFont="1" applyFill="1" applyAlignment="1">
      <alignment horizontal="center" vertical="center"/>
    </xf>
    <xf numFmtId="2" fontId="23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16" xfId="0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0" fontId="11" fillId="0" borderId="0" xfId="0" applyFont="1" applyFill="1"/>
    <xf numFmtId="0" fontId="23" fillId="0" borderId="4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0" fontId="23" fillId="0" borderId="45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1" fillId="18" borderId="0" xfId="0" applyFont="1" applyFill="1" applyAlignment="1"/>
    <xf numFmtId="3" fontId="11" fillId="0" borderId="16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23" fillId="0" borderId="49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23" fillId="18" borderId="16" xfId="0" applyFont="1" applyFill="1" applyBorder="1" applyAlignment="1">
      <alignment horizontal="center" vertical="center"/>
    </xf>
    <xf numFmtId="0" fontId="23" fillId="18" borderId="16" xfId="0" applyFont="1" applyFill="1" applyBorder="1" applyAlignment="1">
      <alignment horizontal="center"/>
    </xf>
    <xf numFmtId="0" fontId="23" fillId="0" borderId="50" xfId="0" applyFont="1" applyFill="1" applyBorder="1" applyAlignment="1">
      <alignment horizontal="center"/>
    </xf>
    <xf numFmtId="0" fontId="23" fillId="0" borderId="51" xfId="0" applyFont="1" applyFill="1" applyBorder="1" applyAlignment="1">
      <alignment horizontal="center"/>
    </xf>
    <xf numFmtId="0" fontId="23" fillId="0" borderId="49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3" headerRowBorderDxfId="382" tableBorderDxfId="381" totalsRowBorderDxfId="380">
  <tableColumns count="11">
    <tableColumn id="1" xr3:uid="{00000000-0010-0000-0000-000001000000}" name="Space" dataDxfId="379"/>
    <tableColumn id="2" xr3:uid="{00000000-0010-0000-0000-000002000000}" name="Orientation" dataDxfId="378"/>
    <tableColumn id="3" xr3:uid="{00000000-0010-0000-0000-000003000000}" name="U" dataDxfId="377"/>
    <tableColumn id="4" xr3:uid="{00000000-0010-0000-0000-000004000000}" name="A(m^2)" dataDxfId="376"/>
    <tableColumn id="5" xr3:uid="{00000000-0010-0000-0000-000005000000}" name="CLTDsel" dataDxfId="375"/>
    <tableColumn id="6" xr3:uid="{00000000-0010-0000-0000-000006000000}" name="LM" dataDxfId="374"/>
    <tableColumn id="7" xr3:uid="{00000000-0010-0000-0000-000007000000}" name="k" dataDxfId="373"/>
    <tableColumn id="8" xr3:uid="{00000000-0010-0000-0000-000008000000}" name="Ti" dataDxfId="372"/>
    <tableColumn id="9" xr3:uid="{00000000-0010-0000-0000-000009000000}" name="Tave" dataDxfId="371">
      <calculatedColumnFormula>(References!T$4)-(References!T$3/2)</calculatedColumnFormula>
    </tableColumn>
    <tableColumn id="10" xr3:uid="{00000000-0010-0000-0000-00000A000000}" name="CLTD adj" dataDxfId="370">
      <calculatedColumnFormula>(E4+F4)*G4+(25-H4)+(I4-29)</calculatedColumnFormula>
    </tableColumn>
    <tableColumn id="11" xr3:uid="{00000000-0010-0000-0000-00000B000000}" name="Q(W)" dataDxfId="369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52" dataDxfId="250" headerRowBorderDxfId="251" tableBorderDxfId="249" totalsRowBorderDxfId="248">
  <tableColumns count="8">
    <tableColumn id="1" xr3:uid="{00000000-0010-0000-0900-000001000000}" name="SPACE" dataDxfId="247"/>
    <tableColumn id="2" xr3:uid="{00000000-0010-0000-0900-000002000000}" name="Equipment" dataDxfId="246"/>
    <tableColumn id="3" xr3:uid="{00000000-0010-0000-0900-000003000000}" name="WATTAGE" dataDxfId="245"/>
    <tableColumn id="4" xr3:uid="{00000000-0010-0000-0900-000004000000}" name="Cs" dataDxfId="244"/>
    <tableColumn id="5" xr3:uid="{00000000-0010-0000-0900-000005000000}" name="Cl" dataDxfId="243"/>
    <tableColumn id="6" xr3:uid="{00000000-0010-0000-0900-000006000000}" name="CLF" dataDxfId="242"/>
    <tableColumn id="7" xr3:uid="{00000000-0010-0000-0900-000007000000}" name="Qs (W)" dataDxfId="241">
      <calculatedColumnFormula>D4*C4*F4</calculatedColumnFormula>
    </tableColumn>
    <tableColumn id="8" xr3:uid="{00000000-0010-0000-0900-000008000000}" name="Ql (W)" dataDxfId="240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39" headerRowBorderDxfId="238" tableBorderDxfId="237" totalsRowBorderDxfId="236">
  <tableColumns count="8">
    <tableColumn id="1" xr3:uid="{00000000-0010-0000-0A00-000001000000}" name="SPACE" dataDxfId="235"/>
    <tableColumn id="2" xr3:uid="{00000000-0010-0000-0A00-000002000000}" name="Equipment" dataDxfId="234"/>
    <tableColumn id="3" xr3:uid="{00000000-0010-0000-0A00-000003000000}" name="Wattage" dataDxfId="233"/>
    <tableColumn id="4" xr3:uid="{00000000-0010-0000-0A00-000004000000}" name="CS" dataDxfId="232"/>
    <tableColumn id="5" xr3:uid="{00000000-0010-0000-0A00-000005000000}" name="Cl" dataDxfId="231"/>
    <tableColumn id="6" xr3:uid="{00000000-0010-0000-0A00-000006000000}" name="CLF" dataDxfId="230"/>
    <tableColumn id="7" xr3:uid="{00000000-0010-0000-0A00-000007000000}" name="Qs (W)" dataDxfId="229">
      <calculatedColumnFormula>D50*C50*F50</calculatedColumnFormula>
    </tableColumn>
    <tableColumn id="8" xr3:uid="{00000000-0010-0000-0A00-000008000000}" name="Ql (W)" dataDxfId="228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27" headerRowBorderDxfId="226" tableBorderDxfId="225" totalsRowBorderDxfId="224">
  <tableColumns count="8">
    <tableColumn id="1" xr3:uid="{00000000-0010-0000-0B00-000001000000}" name="SPACE" dataDxfId="223"/>
    <tableColumn id="2" xr3:uid="{00000000-0010-0000-0B00-000002000000}" name="Equipment" dataDxfId="222"/>
    <tableColumn id="3" xr3:uid="{00000000-0010-0000-0B00-000003000000}" name="Wattage" dataDxfId="221"/>
    <tableColumn id="4" xr3:uid="{00000000-0010-0000-0B00-000004000000}" name="Cs" dataDxfId="220"/>
    <tableColumn id="5" xr3:uid="{00000000-0010-0000-0B00-000005000000}" name="Cl" dataDxfId="219"/>
    <tableColumn id="6" xr3:uid="{00000000-0010-0000-0B00-000006000000}" name="CLF" dataDxfId="218"/>
    <tableColumn id="7" xr3:uid="{00000000-0010-0000-0B00-000007000000}" name="Qs (W)" dataDxfId="217">
      <calculatedColumnFormula>C95*D95*F95</calculatedColumnFormula>
    </tableColumn>
    <tableColumn id="8" xr3:uid="{00000000-0010-0000-0B00-000008000000}" name="Qw (W)" dataDxfId="216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15" headerRowBorderDxfId="214" tableBorderDxfId="213" totalsRowBorderDxfId="212">
  <tableColumns count="8">
    <tableColumn id="1" xr3:uid="{00000000-0010-0000-0C00-000001000000}" name="SPACE" dataDxfId="211"/>
    <tableColumn id="2" xr3:uid="{00000000-0010-0000-0C00-000002000000}" name="U" dataDxfId="210"/>
    <tableColumn id="3" xr3:uid="{00000000-0010-0000-0C00-000003000000}" name="Area (m2)" dataDxfId="209"/>
    <tableColumn id="4" xr3:uid="{00000000-0010-0000-0C00-000004000000}" name="CLTDmax" dataDxfId="208"/>
    <tableColumn id="5" xr3:uid="{00000000-0010-0000-0C00-000005000000}" name="Ti" dataDxfId="207"/>
    <tableColumn id="6" xr3:uid="{00000000-0010-0000-0C00-000006000000}" name="Tave" dataDxfId="206"/>
    <tableColumn id="7" xr3:uid="{00000000-0010-0000-0C00-000007000000}" name="CLTDadj" dataDxfId="205">
      <calculatedColumnFormula>((D5*0.75)+(25-E5)+(F5-29))*0.75</calculatedColumnFormula>
    </tableColumn>
    <tableColumn id="8" xr3:uid="{00000000-0010-0000-0C00-000008000000}" name="Q(W)" dataDxfId="204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A94:G197" totalsRowShown="0" headerRowDxfId="202" headerRowBorderDxfId="201" tableBorderDxfId="200" totalsRowBorderDxfId="199">
  <tableColumns count="7">
    <tableColumn id="1" xr3:uid="{00000000-0010-0000-0D00-000001000000}" name="Space" dataDxfId="198"/>
    <tableColumn id="2" xr3:uid="{00000000-0010-0000-0D00-000002000000}" name="Spaces" dataDxfId="197"/>
    <tableColumn id="3" xr3:uid="{00000000-0010-0000-0D00-000003000000}" name="U" dataDxfId="196"/>
    <tableColumn id="4" xr3:uid="{00000000-0010-0000-0D00-000004000000}" name="A" dataDxfId="195">
      <calculatedColumnFormula>References!AM4-References!AL4-References!AK4</calculatedColumnFormula>
    </tableColumn>
    <tableColumn id="5" xr3:uid="{00000000-0010-0000-0D00-000005000000}" name="Ti" dataDxfId="194"/>
    <tableColumn id="6" xr3:uid="{00000000-0010-0000-0D00-000006000000}" name="Ti2" dataDxfId="193"/>
    <tableColumn id="7" xr3:uid="{00000000-0010-0000-0D00-000007000000}" name="Q" dataDxfId="192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16" displayName="Table16" ref="A201:G295" totalsRowShown="0" headerRowDxfId="191" headerRowBorderDxfId="190" tableBorderDxfId="189" totalsRowBorderDxfId="188">
  <tableColumns count="7">
    <tableColumn id="1" xr3:uid="{00000000-0010-0000-0E00-000001000000}" name="Space" dataDxfId="187"/>
    <tableColumn id="2" xr3:uid="{00000000-0010-0000-0E00-000002000000}" name="Spaces" dataDxfId="186"/>
    <tableColumn id="3" xr3:uid="{00000000-0010-0000-0E00-000003000000}" name="U" dataDxfId="185"/>
    <tableColumn id="4" xr3:uid="{00000000-0010-0000-0E00-000004000000}" name="A" dataDxfId="184">
      <calculatedColumnFormula>References!AQ4-References!AP4-References!AO4</calculatedColumnFormula>
    </tableColumn>
    <tableColumn id="5" xr3:uid="{00000000-0010-0000-0E00-000005000000}" name="Ti" dataDxfId="183"/>
    <tableColumn id="6" xr3:uid="{00000000-0010-0000-0E00-000006000000}" name="Ti2" dataDxfId="182"/>
    <tableColumn id="7" xr3:uid="{00000000-0010-0000-0E00-000007000000}" name="Q" dataDxfId="181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le14" displayName="Table14" ref="A3:G89" totalsRowShown="0" headerRowDxfId="180" headerRowBorderDxfId="179" tableBorderDxfId="178" totalsRowBorderDxfId="177">
  <tableColumns count="7">
    <tableColumn id="1" xr3:uid="{00000000-0010-0000-0F00-000001000000}" name="Space" dataDxfId="176"/>
    <tableColumn id="2" xr3:uid="{00000000-0010-0000-0F00-000002000000}" name="Spaces" dataDxfId="175"/>
    <tableColumn id="3" xr3:uid="{00000000-0010-0000-0F00-000003000000}" name="U" dataDxfId="174"/>
    <tableColumn id="4" xr3:uid="{00000000-0010-0000-0F00-000004000000}" name="A" dataDxfId="173">
      <calculatedColumnFormula>References!AI4-References!AH4-References!AG4</calculatedColumnFormula>
    </tableColumn>
    <tableColumn id="5" xr3:uid="{00000000-0010-0000-0F00-000005000000}" name="Ti" dataDxfId="172"/>
    <tableColumn id="6" xr3:uid="{00000000-0010-0000-0F00-000006000000}" name="Ti2" dataDxfId="171"/>
    <tableColumn id="7" xr3:uid="{00000000-0010-0000-0F00-000007000000}" name="Q" dataDxfId="170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69" dataDxfId="167" headerRowBorderDxfId="168" tableBorderDxfId="166" totalsRowBorderDxfId="165">
  <tableColumns count="9">
    <tableColumn id="1" xr3:uid="{00000000-0010-0000-1000-000001000000}" name="SPACE" dataDxfId="164" totalsRowDxfId="163"/>
    <tableColumn id="2" xr3:uid="{00000000-0010-0000-1000-000002000000}" name="Occ" dataDxfId="162" totalsRowDxfId="161"/>
    <tableColumn id="3" xr3:uid="{00000000-0010-0000-1000-000003000000}" name="L/s" dataDxfId="160" totalsRowDxfId="159">
      <calculatedColumnFormula>B4*References!AS4</calculatedColumnFormula>
    </tableColumn>
    <tableColumn id="4" xr3:uid="{00000000-0010-0000-1000-000004000000}" name="To" dataDxfId="158" totalsRowDxfId="157"/>
    <tableColumn id="5" xr3:uid="{00000000-0010-0000-1000-000005000000}" name="Ti" dataDxfId="156" totalsRowDxfId="155"/>
    <tableColumn id="6" xr3:uid="{00000000-0010-0000-1000-000006000000}" name="Wo" dataDxfId="154" totalsRowDxfId="153"/>
    <tableColumn id="7" xr3:uid="{00000000-0010-0000-1000-000007000000}" name="Wi" dataDxfId="152" totalsRowDxfId="151"/>
    <tableColumn id="8" xr3:uid="{00000000-0010-0000-1000-000008000000}" name="Qs (W)" dataDxfId="150" totalsRowDxfId="149">
      <calculatedColumnFormula>ABS(1.232*C4*(D4-E4))</calculatedColumnFormula>
    </tableColumn>
    <tableColumn id="9" xr3:uid="{00000000-0010-0000-1000-000009000000}" name="Qw (W)" dataDxfId="148">
      <calculatedColumnFormula>ABS(3000*C4*(F4-G4))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I89" totalsRowShown="0" headerRowDxfId="147" dataDxfId="145" headerRowBorderDxfId="146" tableBorderDxfId="144" totalsRowBorderDxfId="143">
  <tableColumns count="9">
    <tableColumn id="1" xr3:uid="{00000000-0010-0000-1100-000001000000}" name="SPACE" dataDxfId="142"/>
    <tableColumn id="2" xr3:uid="{00000000-0010-0000-1100-000002000000}" name="Occ." dataDxfId="141"/>
    <tableColumn id="3" xr3:uid="{00000000-0010-0000-1100-000003000000}" name="L/s" dataDxfId="140">
      <calculatedColumnFormula>B46*References!AT4</calculatedColumnFormula>
    </tableColumn>
    <tableColumn id="4" xr3:uid="{00000000-0010-0000-1100-000004000000}" name="To" dataDxfId="139"/>
    <tableColumn id="5" xr3:uid="{00000000-0010-0000-1100-000005000000}" name="Ti" dataDxfId="138"/>
    <tableColumn id="6" xr3:uid="{00000000-0010-0000-1100-000006000000}" name="Wo" dataDxfId="137"/>
    <tableColumn id="7" xr3:uid="{00000000-0010-0000-1100-000007000000}" name="Wi" dataDxfId="136">
      <calculatedColumnFormula>_xlfn.IFS(E46=22.5,0.00848061,E46=22,0.00821976,E46=24,0.00929323)</calculatedColumnFormula>
    </tableColumn>
    <tableColumn id="8" xr3:uid="{00000000-0010-0000-1100-000008000000}" name="Qs(W)" dataDxfId="135">
      <calculatedColumnFormula>ABS(1.232*C46*(D46-E46))</calculatedColumnFormula>
    </tableColumn>
    <tableColumn id="9" xr3:uid="{00000000-0010-0000-1100-000009000000}" name="Ql(W)" dataDxfId="134">
      <calculatedColumnFormula>ABS(3000*C46*(F46-G46))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I126" totalsRowShown="0" headerRowDxfId="133" dataDxfId="131" headerRowBorderDxfId="132" tableBorderDxfId="130" totalsRowBorderDxfId="129">
  <tableColumns count="9">
    <tableColumn id="1" xr3:uid="{00000000-0010-0000-1200-000001000000}" name="Space" dataDxfId="128"/>
    <tableColumn id="2" xr3:uid="{00000000-0010-0000-1200-000002000000}" name="Occ." dataDxfId="127"/>
    <tableColumn id="3" xr3:uid="{00000000-0010-0000-1200-000003000000}" name="L/s" dataDxfId="126">
      <calculatedColumnFormula>B95*References!AU4</calculatedColumnFormula>
    </tableColumn>
    <tableColumn id="4" xr3:uid="{00000000-0010-0000-1200-000004000000}" name="To" dataDxfId="125"/>
    <tableColumn id="5" xr3:uid="{00000000-0010-0000-1200-000005000000}" name="Ti" dataDxfId="124"/>
    <tableColumn id="6" xr3:uid="{00000000-0010-0000-1200-000006000000}" name="Wo" dataDxfId="123"/>
    <tableColumn id="7" xr3:uid="{00000000-0010-0000-1200-000007000000}" name="Wi" dataDxfId="122">
      <calculatedColumnFormula>_xlfn.IFS(E95=22.5,0.00848031,E95=24,0.009293235,E95=22,0.00821976)</calculatedColumnFormula>
    </tableColumn>
    <tableColumn id="8" xr3:uid="{00000000-0010-0000-1200-000008000000}" name="Qs(W)" dataDxfId="121">
      <calculatedColumnFormula>ABS(1.232*C95*(D95-E95))</calculatedColumnFormula>
    </tableColumn>
    <tableColumn id="9" xr3:uid="{00000000-0010-0000-1200-000009000000}" name="Ql(W)" dataDxfId="120">
      <calculatedColumnFormula>ABS(3000*C95*(F95-G95))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8" headerRowBorderDxfId="367" tableBorderDxfId="366" totalsRowBorderDxfId="365">
  <tableColumns count="11">
    <tableColumn id="1" xr3:uid="{00000000-0010-0000-0100-000001000000}" name="Space" dataDxfId="364"/>
    <tableColumn id="2" xr3:uid="{00000000-0010-0000-0100-000002000000}" name="Orientation" dataDxfId="363"/>
    <tableColumn id="3" xr3:uid="{00000000-0010-0000-0100-000003000000}" name="U" dataDxfId="362"/>
    <tableColumn id="4" xr3:uid="{00000000-0010-0000-0100-000004000000}" name="A(m^2)" dataDxfId="361">
      <calculatedColumnFormula>(References!C41*4)-(References!B41*1)-(References!A41*2)</calculatedColumnFormula>
    </tableColumn>
    <tableColumn id="5" xr3:uid="{00000000-0010-0000-0100-000005000000}" name="CLTDsel" dataDxfId="360">
      <calculatedColumnFormula>_xlfn.IFS(B89="E",25,B89="N",13,B89="W",33,B89="S",22)</calculatedColumnFormula>
    </tableColumn>
    <tableColumn id="6" xr3:uid="{00000000-0010-0000-0100-000006000000}" name="LM" dataDxfId="359">
      <calculatedColumnFormula>_xlfn.IFS(B89="E",-0.55,B89="N",2.22,B89="W",-0.55,B89="S",-3.88)</calculatedColumnFormula>
    </tableColumn>
    <tableColumn id="7" xr3:uid="{00000000-0010-0000-0100-000007000000}" name="k" dataDxfId="358"/>
    <tableColumn id="8" xr3:uid="{00000000-0010-0000-0100-000008000000}" name="Ti" dataDxfId="357"/>
    <tableColumn id="9" xr3:uid="{00000000-0010-0000-0100-000009000000}" name="Tave" dataDxfId="356">
      <calculatedColumnFormula>(References!T$4)-(References!T$3/2)</calculatedColumnFormula>
    </tableColumn>
    <tableColumn id="10" xr3:uid="{00000000-0010-0000-0100-00000A000000}" name="CLTD adj" dataDxfId="355">
      <calculatedColumnFormula>(E89+F89)*G89+(25-H89)+(I89-29)</calculatedColumnFormula>
    </tableColumn>
    <tableColumn id="11" xr3:uid="{00000000-0010-0000-0100-00000B000000}" name="Q(W)" dataDxfId="354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6" totalsRowShown="0" headerRowDxfId="119" dataDxfId="117" headerRowBorderDxfId="118" tableBorderDxfId="116" totalsRowBorderDxfId="115">
  <tableColumns count="8">
    <tableColumn id="1" xr3:uid="{00000000-0010-0000-1300-000001000000}" name="SPACE" dataDxfId="114"/>
    <tableColumn id="2" xr3:uid="{00000000-0010-0000-1300-000002000000}" name="Occ" dataDxfId="113"/>
    <tableColumn id="3" xr3:uid="{00000000-0010-0000-1300-000003000000}" name="Gain/person" dataDxfId="112"/>
    <tableColumn id="4" xr3:uid="{00000000-0010-0000-1300-000004000000}" name="Sensible" dataDxfId="111"/>
    <tableColumn id="5" xr3:uid="{00000000-0010-0000-1300-000005000000}" name="Latent" dataDxfId="110"/>
    <tableColumn id="6" xr3:uid="{00000000-0010-0000-1300-000006000000}" name="CLF" dataDxfId="109"/>
    <tableColumn id="7" xr3:uid="{00000000-0010-0000-1300-000007000000}" name="Qs (W)" dataDxfId="108">
      <calculatedColumnFormula>B95*C95*D95*F95</calculatedColumnFormula>
    </tableColumn>
    <tableColumn id="8" xr3:uid="{00000000-0010-0000-1300-000008000000}" name="Ql (W)" dataDxfId="107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06" dataDxfId="104" headerRowBorderDxfId="105" tableBorderDxfId="103" totalsRowBorderDxfId="102">
  <tableColumns count="8">
    <tableColumn id="1" xr3:uid="{00000000-0010-0000-1400-000001000000}" name="SPACE" dataDxfId="101"/>
    <tableColumn id="2" xr3:uid="{00000000-0010-0000-1400-000002000000}" name="Occ" dataDxfId="100"/>
    <tableColumn id="3" xr3:uid="{00000000-0010-0000-1400-000003000000}" name="Gain/person" dataDxfId="99"/>
    <tableColumn id="4" xr3:uid="{00000000-0010-0000-1400-000004000000}" name="Sensible" dataDxfId="98"/>
    <tableColumn id="5" xr3:uid="{00000000-0010-0000-1400-000005000000}" name="Latent" dataDxfId="97"/>
    <tableColumn id="6" xr3:uid="{00000000-0010-0000-1400-000006000000}" name="CLF" dataDxfId="96"/>
    <tableColumn id="7" xr3:uid="{00000000-0010-0000-1400-000007000000}" name="Qs (W)" dataDxfId="95">
      <calculatedColumnFormula>B46*C46*D46*F46</calculatedColumnFormula>
    </tableColumn>
    <tableColumn id="8" xr3:uid="{00000000-0010-0000-1400-000008000000}" name="Ql (W)" dataDxfId="94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93" dataDxfId="91" headerRowBorderDxfId="92" tableBorderDxfId="90" totalsRowBorderDxfId="89">
  <tableColumns count="8">
    <tableColumn id="1" xr3:uid="{00000000-0010-0000-1500-000001000000}" name="SPACE" dataDxfId="88"/>
    <tableColumn id="2" xr3:uid="{00000000-0010-0000-1500-000002000000}" name="Occ" dataDxfId="87"/>
    <tableColumn id="3" xr3:uid="{00000000-0010-0000-1500-000003000000}" name="Gain/person" dataDxfId="86"/>
    <tableColumn id="4" xr3:uid="{00000000-0010-0000-1500-000004000000}" name="Sensible" dataDxfId="85"/>
    <tableColumn id="5" xr3:uid="{00000000-0010-0000-1500-000005000000}" name="Latent" dataDxfId="84"/>
    <tableColumn id="6" xr3:uid="{00000000-0010-0000-1500-000006000000}" name="CLF" dataDxfId="83"/>
    <tableColumn id="7" xr3:uid="{00000000-0010-0000-1500-000007000000}" name="Qs (W)" dataDxfId="82">
      <calculatedColumnFormula>B4*C4*D4*F4</calculatedColumnFormula>
    </tableColumn>
    <tableColumn id="8" xr3:uid="{00000000-0010-0000-1500-000008000000}" name="Ql (W)" dataDxfId="81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le26" displayName="Table26" ref="A3:G62" totalsRowShown="0" headerRowDxfId="76" dataDxfId="74" headerRowBorderDxfId="75" tableBorderDxfId="73" totalsRowBorderDxfId="72">
  <tableColumns count="7">
    <tableColumn id="1" xr3:uid="{00000000-0010-0000-1600-000001000000}" name="Space 1" dataDxfId="71"/>
    <tableColumn id="2" xr3:uid="{00000000-0010-0000-1600-000002000000}" name="Space 2" dataDxfId="70"/>
    <tableColumn id="3" xr3:uid="{00000000-0010-0000-1600-000003000000}" name="U" dataDxfId="69"/>
    <tableColumn id="4" xr3:uid="{00000000-0010-0000-1600-000004000000}" name="Area" dataDxfId="68">
      <calculatedColumnFormula>References!AW4*2</calculatedColumnFormula>
    </tableColumn>
    <tableColumn id="5" xr3:uid="{00000000-0010-0000-1600-000005000000}" name="Ti" dataDxfId="67"/>
    <tableColumn id="6" xr3:uid="{00000000-0010-0000-1600-000006000000}" name="To" dataDxfId="66"/>
    <tableColumn id="7" xr3:uid="{00000000-0010-0000-1600-000007000000}" name="Qs (W)" dataDxfId="65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le27" displayName="Table27" ref="A66:G136" totalsRowShown="0" headerRowDxfId="64" dataDxfId="62" headerRowBorderDxfId="63" tableBorderDxfId="61" totalsRowBorderDxfId="60">
  <tableColumns count="7">
    <tableColumn id="1" xr3:uid="{00000000-0010-0000-1700-000001000000}" name="Space 1" dataDxfId="59"/>
    <tableColumn id="2" xr3:uid="{00000000-0010-0000-1700-000002000000}" name="Space 2" dataDxfId="58"/>
    <tableColumn id="3" xr3:uid="{00000000-0010-0000-1700-000003000000}" name="U" dataDxfId="57"/>
    <tableColumn id="4" xr3:uid="{00000000-0010-0000-1700-000004000000}" name="Area" dataDxfId="56">
      <calculatedColumnFormula>2*References!AX4</calculatedColumnFormula>
    </tableColumn>
    <tableColumn id="5" xr3:uid="{00000000-0010-0000-1700-000005000000}" name="Ti" dataDxfId="55"/>
    <tableColumn id="6" xr3:uid="{00000000-0010-0000-1700-000006000000}" name="To" dataDxfId="54"/>
    <tableColumn id="7" xr3:uid="{00000000-0010-0000-1700-000007000000}" name="Qs (W)" dataDxfId="53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8000000}" name="Table31" displayName="Table31" ref="A140:G200" totalsRowShown="0" headerRowDxfId="52" dataDxfId="50" headerRowBorderDxfId="51" tableBorderDxfId="49">
  <tableColumns count="7">
    <tableColumn id="1" xr3:uid="{00000000-0010-0000-1800-000001000000}" name="Space 1" dataDxfId="48"/>
    <tableColumn id="2" xr3:uid="{00000000-0010-0000-1800-000002000000}" name="Space 2" dataDxfId="47"/>
    <tableColumn id="3" xr3:uid="{00000000-0010-0000-1800-000003000000}" name="U" dataDxfId="46"/>
    <tableColumn id="4" xr3:uid="{00000000-0010-0000-1800-000004000000}" name="Area" dataDxfId="45">
      <calculatedColumnFormula>2*References!AY4</calculatedColumnFormula>
    </tableColumn>
    <tableColumn id="5" xr3:uid="{00000000-0010-0000-1800-000005000000}" name="Ti" dataDxfId="44"/>
    <tableColumn id="6" xr3:uid="{00000000-0010-0000-1800-000006000000}" name="To" dataDxfId="43"/>
    <tableColumn id="7" xr3:uid="{00000000-0010-0000-1800-000007000000}" name="Qs (W)" dataDxfId="42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9000000}" name="Table23" displayName="Table23" ref="A3:F62" totalsRowShown="0" headerRowDxfId="41" dataDxfId="39" headerRowBorderDxfId="40" tableBorderDxfId="38" totalsRowBorderDxfId="37">
  <tableColumns count="6">
    <tableColumn id="1" xr3:uid="{00000000-0010-0000-1900-000001000000}" name="SPACE" dataDxfId="36"/>
    <tableColumn id="2" xr3:uid="{00000000-0010-0000-1900-000002000000}" name="W" dataDxfId="35">
      <calculatedColumnFormula>13*References!BA4</calculatedColumnFormula>
    </tableColumn>
    <tableColumn id="3" xr3:uid="{00000000-0010-0000-1900-000003000000}" name="Fu" dataDxfId="34"/>
    <tableColumn id="4" xr3:uid="{00000000-0010-0000-1900-000004000000}" name="Fb" dataDxfId="33"/>
    <tableColumn id="5" xr3:uid="{00000000-0010-0000-1900-000005000000}" name="CLF" dataDxfId="32"/>
    <tableColumn id="6" xr3:uid="{00000000-0010-0000-1900-000006000000}" name="Qs (W)" dataDxfId="31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A000000}" name="Table24" displayName="Table24" ref="A66:F116" totalsRowShown="0" headerRowDxfId="30" dataDxfId="28" headerRowBorderDxfId="29" tableBorderDxfId="27" totalsRowBorderDxfId="26">
  <tableColumns count="6">
    <tableColumn id="1" xr3:uid="{00000000-0010-0000-1A00-000001000000}" name="SPACE" dataDxfId="25"/>
    <tableColumn id="2" xr3:uid="{00000000-0010-0000-1A00-000002000000}" name="W" dataDxfId="24">
      <calculatedColumnFormula>13*References!BB4</calculatedColumnFormula>
    </tableColumn>
    <tableColumn id="3" xr3:uid="{00000000-0010-0000-1A00-000003000000}" name="Fu" dataDxfId="23"/>
    <tableColumn id="4" xr3:uid="{00000000-0010-0000-1A00-000004000000}" name="Fb" dataDxfId="22"/>
    <tableColumn id="5" xr3:uid="{00000000-0010-0000-1A00-000005000000}" name="CLF" dataDxfId="21"/>
    <tableColumn id="6" xr3:uid="{00000000-0010-0000-1A00-000006000000}" name="Qs (W)" dataDxfId="20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B000000}" name="Table25" displayName="Table25" ref="A120:F166" totalsRowShown="0" headerRowDxfId="19" dataDxfId="17" headerRowBorderDxfId="18" tableBorderDxfId="16" totalsRowBorderDxfId="15">
  <tableColumns count="6">
    <tableColumn id="1" xr3:uid="{00000000-0010-0000-1B00-000001000000}" name="SPACE" dataDxfId="14"/>
    <tableColumn id="2" xr3:uid="{00000000-0010-0000-1B00-000002000000}" name="W" dataDxfId="13"/>
    <tableColumn id="3" xr3:uid="{00000000-0010-0000-1B00-000003000000}" name="Fu" dataDxfId="12"/>
    <tableColumn id="4" xr3:uid="{00000000-0010-0000-1B00-000004000000}" name="Fb" dataDxfId="11"/>
    <tableColumn id="5" xr3:uid="{00000000-0010-0000-1B00-000005000000}" name="CLF" dataDxfId="10"/>
    <tableColumn id="6" xr3:uid="{00000000-0010-0000-1B00-000006000000}" name="Qs (W)" dataDxfId="9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3" headerRowBorderDxfId="352" tableBorderDxfId="351" totalsRowBorderDxfId="350">
  <tableColumns count="11">
    <tableColumn id="1" xr3:uid="{00000000-0010-0000-0200-000001000000}" name="Space" dataDxfId="349"/>
    <tableColumn id="2" xr3:uid="{00000000-0010-0000-0200-000002000000}" name="Orientation" dataDxfId="348"/>
    <tableColumn id="3" xr3:uid="{00000000-0010-0000-0200-000003000000}" name="U" dataDxfId="347"/>
    <tableColumn id="4" xr3:uid="{00000000-0010-0000-0200-000004000000}" name="A(m^2)" dataDxfId="346"/>
    <tableColumn id="5" xr3:uid="{00000000-0010-0000-0200-000005000000}" name="CLTDsel" dataDxfId="345"/>
    <tableColumn id="6" xr3:uid="{00000000-0010-0000-0200-000006000000}" name="LM" dataDxfId="344"/>
    <tableColumn id="7" xr3:uid="{00000000-0010-0000-0200-000007000000}" name="k" dataDxfId="343"/>
    <tableColumn id="8" xr3:uid="{00000000-0010-0000-0200-000008000000}" name="Ti" dataDxfId="342"/>
    <tableColumn id="9" xr3:uid="{00000000-0010-0000-0200-000009000000}" name="Tave" dataDxfId="341"/>
    <tableColumn id="10" xr3:uid="{00000000-0010-0000-0200-00000A000000}" name="CLTD adj" dataDxfId="340">
      <calculatedColumnFormula>(E42+F42)*G42+(25-H42)+(I42-29)</calculatedColumnFormula>
    </tableColumn>
    <tableColumn id="11" xr3:uid="{00000000-0010-0000-0200-00000B000000}" name="Q(W)" dataDxfId="339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7" headerRowBorderDxfId="336" tableBorderDxfId="335" totalsRowBorderDxfId="334">
  <tableColumns count="11">
    <tableColumn id="1" xr3:uid="{00000000-0010-0000-0300-000001000000}" name="Space" dataDxfId="333"/>
    <tableColumn id="2" xr3:uid="{00000000-0010-0000-0300-000002000000}" name="Orientation" dataDxfId="332"/>
    <tableColumn id="3" xr3:uid="{00000000-0010-0000-0300-000003000000}" name="U" dataDxfId="331"/>
    <tableColumn id="4" xr3:uid="{00000000-0010-0000-0300-000004000000}" name="To" dataDxfId="330"/>
    <tableColumn id="5" xr3:uid="{00000000-0010-0000-0300-000005000000}" name="Ti" dataDxfId="329"/>
    <tableColumn id="6" xr3:uid="{00000000-0010-0000-0300-000006000000}" name="A(m^2)" dataDxfId="328">
      <calculatedColumnFormula>References!E5*References!F5</calculatedColumnFormula>
    </tableColumn>
    <tableColumn id="7" xr3:uid="{00000000-0010-0000-0300-000007000000}" name="SHGF" dataDxfId="327">
      <calculatedColumnFormula>_xlfn.IFS(B4="E",685,B4="N",120,B4="W",685,B4="S",230)</calculatedColumnFormula>
    </tableColumn>
    <tableColumn id="8" xr3:uid="{00000000-0010-0000-0300-000008000000}" name="SCL" dataDxfId="326">
      <calculatedColumnFormula>_xlfn.IFS(B4="E",0.8,B4="N",0.91,B4="W",0.82,B4="S",0.83)</calculatedColumnFormula>
    </tableColumn>
    <tableColumn id="9" xr3:uid="{00000000-0010-0000-0300-000009000000}" name="SC" dataDxfId="325"/>
    <tableColumn id="10" xr3:uid="{00000000-0010-0000-0300-00000A000000}" name="Qsg (W)" dataDxfId="324">
      <calculatedColumnFormula>G4*H4*F4*I4</calculatedColumnFormula>
    </tableColumn>
    <tableColumn id="11" xr3:uid="{00000000-0010-0000-0300-00000B000000}" name="Qth (W)" dataDxfId="323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22" dataDxfId="320" headerRowBorderDxfId="321" tableBorderDxfId="319" totalsRowBorderDxfId="318">
  <tableColumns count="11">
    <tableColumn id="1" xr3:uid="{00000000-0010-0000-0400-000001000000}" name="Space" dataDxfId="317"/>
    <tableColumn id="2" xr3:uid="{00000000-0010-0000-0400-000002000000}" name="Orientation" dataDxfId="316"/>
    <tableColumn id="3" xr3:uid="{00000000-0010-0000-0400-000003000000}" name="U" dataDxfId="315"/>
    <tableColumn id="4" xr3:uid="{00000000-0010-0000-0400-000004000000}" name="To" dataDxfId="314"/>
    <tableColumn id="5" xr3:uid="{00000000-0010-0000-0400-000005000000}" name="Ti" dataDxfId="313"/>
    <tableColumn id="6" xr3:uid="{00000000-0010-0000-0400-000006000000}" name="A(m^2)" dataDxfId="312">
      <calculatedColumnFormula>References!E41*References!F41</calculatedColumnFormula>
    </tableColumn>
    <tableColumn id="7" xr3:uid="{00000000-0010-0000-0400-000007000000}" name="SHGF" dataDxfId="311">
      <calculatedColumnFormula>_xlfn.IFS(B74="E",685,B74="N",120,B74="W",685,B74="S",230)</calculatedColumnFormula>
    </tableColumn>
    <tableColumn id="8" xr3:uid="{00000000-0010-0000-0400-000008000000}" name="SCL" dataDxfId="310">
      <calculatedColumnFormula>_xlfn.IFS(B74="E",0.8,B74="N",0.91,B74="W",0.82,B74="S",0.83)</calculatedColumnFormula>
    </tableColumn>
    <tableColumn id="9" xr3:uid="{00000000-0010-0000-0400-000009000000}" name="SC" dataDxfId="309"/>
    <tableColumn id="10" xr3:uid="{00000000-0010-0000-0400-00000A000000}" name="Qsg (W)" dataDxfId="308">
      <calculatedColumnFormula>G74*H74*F74*I74</calculatedColumnFormula>
    </tableColumn>
    <tableColumn id="11" xr3:uid="{00000000-0010-0000-0400-00000B000000}" name="Qth (W)" dataDxfId="307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06" headerRowBorderDxfId="305" tableBorderDxfId="304" totalsRowBorderDxfId="303">
  <tableColumns count="11">
    <tableColumn id="1" xr3:uid="{00000000-0010-0000-0500-000001000000}" name="Space" dataDxfId="302"/>
    <tableColumn id="2" xr3:uid="{00000000-0010-0000-0500-000002000000}" name="Orientation" dataDxfId="301"/>
    <tableColumn id="3" xr3:uid="{00000000-0010-0000-0500-000003000000}" name="U" dataDxfId="300"/>
    <tableColumn id="4" xr3:uid="{00000000-0010-0000-0500-000004000000}" name="To" dataDxfId="299"/>
    <tableColumn id="5" xr3:uid="{00000000-0010-0000-0500-000005000000}" name="Ti" dataDxfId="298"/>
    <tableColumn id="6" xr3:uid="{00000000-0010-0000-0500-000006000000}" name="A(m^2)" dataDxfId="297"/>
    <tableColumn id="7" xr3:uid="{00000000-0010-0000-0500-000007000000}" name="SHGF" dataDxfId="296">
      <calculatedColumnFormula>_xlfn.IFS(B40="N",120,B40="E",685,B40="S",230,B40="W",685)</calculatedColumnFormula>
    </tableColumn>
    <tableColumn id="8" xr3:uid="{00000000-0010-0000-0500-000008000000}" name="SCL" dataDxfId="295">
      <calculatedColumnFormula>_xlfn.IFS(B40="N",0.91,B40="E",0.8,B40="S",0.83,B40="W",0.82)</calculatedColumnFormula>
    </tableColumn>
    <tableColumn id="9" xr3:uid="{00000000-0010-0000-0500-000009000000}" name="SC" dataDxfId="294"/>
    <tableColumn id="10" xr3:uid="{00000000-0010-0000-0500-00000A000000}" name="Qsg (W)" dataDxfId="293">
      <calculatedColumnFormula>I40*H40*G40*F40</calculatedColumnFormula>
    </tableColumn>
    <tableColumn id="11" xr3:uid="{00000000-0010-0000-0500-00000B000000}" name="Qth (W)" dataDxfId="292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291" headerRowBorderDxfId="290" tableBorderDxfId="289" totalsRowBorderDxfId="288">
  <tableColumns count="9">
    <tableColumn id="1" xr3:uid="{00000000-0010-0000-0600-000001000000}" name="SPACE" dataDxfId="287"/>
    <tableColumn id="2" xr3:uid="{00000000-0010-0000-0600-000002000000}" name="Volume" dataDxfId="286">
      <calculatedColumnFormula>References!AB4*4</calculatedColumnFormula>
    </tableColumn>
    <tableColumn id="3" xr3:uid="{00000000-0010-0000-0600-000003000000}" name="L/s" dataDxfId="285">
      <calculatedColumnFormula>((0.15+0.01*3+0.007*(D78-E78))*B78)/3.6</calculatedColumnFormula>
    </tableColumn>
    <tableColumn id="4" xr3:uid="{00000000-0010-0000-0600-000004000000}" name="To" dataDxfId="284"/>
    <tableColumn id="5" xr3:uid="{00000000-0010-0000-0600-000005000000}" name="Ti" dataDxfId="283"/>
    <tableColumn id="6" xr3:uid="{00000000-0010-0000-0600-000006000000}" name="Wo" dataDxfId="282"/>
    <tableColumn id="7" xr3:uid="{00000000-0010-0000-0600-000007000000}" name="Wi" dataDxfId="281">
      <calculatedColumnFormula>_xlfn.IFS(E78=22.5,0.00848061,E78=22,0.00821976,E78=24,0.00929323,E78=28,0.0118162235)</calculatedColumnFormula>
    </tableColumn>
    <tableColumn id="8" xr3:uid="{00000000-0010-0000-0600-000008000000}" name="Qs (W)" dataDxfId="280">
      <calculatedColumnFormula>ABS(1.23*C78*(D78-E78))</calculatedColumnFormula>
    </tableColumn>
    <tableColumn id="9" xr3:uid="{00000000-0010-0000-0600-000009000000}" name="Ql (W)" dataDxfId="279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278" headerRowBorderDxfId="277" tableBorderDxfId="276" totalsRowBorderDxfId="275">
  <tableColumns count="9">
    <tableColumn id="1" xr3:uid="{00000000-0010-0000-0700-000001000000}" name="Space" dataDxfId="274"/>
    <tableColumn id="2" xr3:uid="{00000000-0010-0000-0700-000002000000}" name="Volume" dataDxfId="273">
      <calculatedColumnFormula>References!AE4*4</calculatedColumnFormula>
    </tableColumn>
    <tableColumn id="3" xr3:uid="{00000000-0010-0000-0700-000003000000}" name="L/s" dataDxfId="272">
      <calculatedColumnFormula>(References!AD4*B163)/3.6</calculatedColumnFormula>
    </tableColumn>
    <tableColumn id="4" xr3:uid="{00000000-0010-0000-0700-000004000000}" name="To" dataDxfId="271"/>
    <tableColumn id="5" xr3:uid="{00000000-0010-0000-0700-000005000000}" name="Ti" dataDxfId="270"/>
    <tableColumn id="6" xr3:uid="{00000000-0010-0000-0700-000006000000}" name="Wo" dataDxfId="269"/>
    <tableColumn id="7" xr3:uid="{00000000-0010-0000-0700-000007000000}" name="Wi" dataDxfId="268">
      <calculatedColumnFormula>_xlfn.IFS(E163=22.5,0.00848031,E163=24,0.009293235,E163=22,0.00821976,E163=28,0.0118162235)</calculatedColumnFormula>
    </tableColumn>
    <tableColumn id="8" xr3:uid="{00000000-0010-0000-0700-000008000000}" name="Qs" dataDxfId="267">
      <calculatedColumnFormula>ABS(1.232*(D163-E163)*C163)</calculatedColumnFormula>
    </tableColumn>
    <tableColumn id="9" xr3:uid="{00000000-0010-0000-0700-000009000000}" name="Ql" dataDxfId="266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65" headerRowBorderDxfId="264" tableBorderDxfId="263" totalsRowBorderDxfId="262">
  <tableColumns count="9">
    <tableColumn id="1" xr3:uid="{00000000-0010-0000-0800-000001000000}" name="SPACE" dataDxfId="261"/>
    <tableColumn id="2" xr3:uid="{00000000-0010-0000-0800-000002000000}" name="Volume" dataDxfId="260">
      <calculatedColumnFormula>References!Z4*4</calculatedColumnFormula>
    </tableColumn>
    <tableColumn id="3" xr3:uid="{00000000-0010-0000-0800-000003000000}" name="L/s" dataDxfId="259">
      <calculatedColumnFormula>(References!Y4*B4)/3.6</calculatedColumnFormula>
    </tableColumn>
    <tableColumn id="4" xr3:uid="{00000000-0010-0000-0800-000004000000}" name="To" dataDxfId="258"/>
    <tableColumn id="5" xr3:uid="{00000000-0010-0000-0800-000005000000}" name="Ti" dataDxfId="257"/>
    <tableColumn id="6" xr3:uid="{00000000-0010-0000-0800-000006000000}" name="Wo" dataDxfId="256"/>
    <tableColumn id="7" xr3:uid="{00000000-0010-0000-0800-000007000000}" name="Wi" dataDxfId="255"/>
    <tableColumn id="8" xr3:uid="{00000000-0010-0000-0800-000008000000}" name="Qs (W)" dataDxfId="254">
      <calculatedColumnFormula>ABS((1.232*(D4-E4)*C4))</calculatedColumnFormula>
    </tableColumn>
    <tableColumn id="9" xr3:uid="{00000000-0010-0000-0800-000009000000}" name="Ql (W)" dataDxfId="253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S131"/>
  <sheetViews>
    <sheetView topLeftCell="A85" zoomScale="85" zoomScaleNormal="85" workbookViewId="0">
      <selection activeCell="Q141" sqref="Q141"/>
    </sheetView>
  </sheetViews>
  <sheetFormatPr defaultRowHeight="14.4" x14ac:dyDescent="0.3"/>
  <cols>
    <col min="1" max="1" width="32.6640625" customWidth="1"/>
    <col min="2" max="2" width="12.44140625" customWidth="1"/>
    <col min="3" max="4" width="9.109375" customWidth="1"/>
    <col min="5" max="5" width="10.33203125" customWidth="1"/>
    <col min="6" max="9" width="9.109375" customWidth="1"/>
    <col min="10" max="10" width="15.33203125" customWidth="1"/>
    <col min="11" max="12" width="9.10937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9" ht="23.4" x14ac:dyDescent="0.3">
      <c r="A1" s="277" t="s">
        <v>537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</row>
    <row r="2" spans="1:19" ht="24" thickBot="1" x14ac:dyDescent="0.5">
      <c r="A2" s="275" t="s">
        <v>160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9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278" t="s">
        <v>539</v>
      </c>
      <c r="O3" s="278"/>
      <c r="P3" s="278"/>
      <c r="Q3" s="278"/>
      <c r="R3" s="278"/>
      <c r="S3" s="278"/>
    </row>
    <row r="4" spans="1:19" ht="15" thickBot="1" x14ac:dyDescent="0.35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49"/>
      <c r="N4" s="279"/>
      <c r="O4" s="279"/>
      <c r="P4" s="279"/>
      <c r="Q4" s="279" t="s">
        <v>430</v>
      </c>
      <c r="R4" s="279"/>
      <c r="S4" s="279"/>
    </row>
    <row r="5" spans="1:19" ht="15" thickBot="1" x14ac:dyDescent="0.35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49"/>
      <c r="N5" s="280" t="s">
        <v>160</v>
      </c>
      <c r="O5" s="280"/>
      <c r="P5" s="280"/>
      <c r="Q5" s="280">
        <f>K38</f>
        <v>39227.857343999996</v>
      </c>
      <c r="R5" s="280"/>
      <c r="S5" s="280"/>
    </row>
    <row r="6" spans="1:19" ht="15" thickBot="1" x14ac:dyDescent="0.35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49"/>
      <c r="N6" s="280" t="s">
        <v>41</v>
      </c>
      <c r="O6" s="280"/>
      <c r="P6" s="280"/>
      <c r="Q6" s="280">
        <f>K85</f>
        <v>31364.094930011994</v>
      </c>
      <c r="R6" s="280"/>
      <c r="S6" s="280"/>
    </row>
    <row r="7" spans="1:19" ht="15" thickBot="1" x14ac:dyDescent="0.35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49"/>
      <c r="N7" s="280" t="s">
        <v>59</v>
      </c>
      <c r="O7" s="280"/>
      <c r="P7" s="280"/>
      <c r="Q7" s="280">
        <f>K131</f>
        <v>48205.328184000005</v>
      </c>
      <c r="R7" s="280"/>
      <c r="S7" s="280"/>
    </row>
    <row r="8" spans="1:19" ht="15" thickBot="1" x14ac:dyDescent="0.35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49"/>
      <c r="N8" s="281" t="s">
        <v>540</v>
      </c>
      <c r="O8" s="281"/>
      <c r="P8" s="281"/>
      <c r="Q8" s="274">
        <f>Q5+Q6+Q7</f>
        <v>118797.28045801198</v>
      </c>
      <c r="R8" s="274"/>
      <c r="S8" s="274"/>
    </row>
    <row r="9" spans="1:19" ht="15" thickBot="1" x14ac:dyDescent="0.35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49"/>
      <c r="N9" s="281"/>
      <c r="O9" s="281"/>
      <c r="P9" s="281"/>
      <c r="Q9" s="274"/>
      <c r="R9" s="274"/>
      <c r="S9" s="274"/>
    </row>
    <row r="10" spans="1:19" ht="15" thickBot="1" x14ac:dyDescent="0.35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49"/>
    </row>
    <row r="11" spans="1:19" ht="15" thickBot="1" x14ac:dyDescent="0.35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49"/>
    </row>
    <row r="12" spans="1:19" ht="15" thickBot="1" x14ac:dyDescent="0.35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49"/>
    </row>
    <row r="13" spans="1:19" ht="15" thickBot="1" x14ac:dyDescent="0.35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49"/>
    </row>
    <row r="14" spans="1:19" ht="15" thickBot="1" x14ac:dyDescent="0.35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49"/>
    </row>
    <row r="15" spans="1:19" ht="15" thickBot="1" x14ac:dyDescent="0.35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49"/>
    </row>
    <row r="16" spans="1:19" ht="15" thickBot="1" x14ac:dyDescent="0.35">
      <c r="A16" s="154" t="s">
        <v>28</v>
      </c>
      <c r="B16" s="152" t="s">
        <v>48</v>
      </c>
      <c r="C16" s="152">
        <v>2.7143999999999999</v>
      </c>
      <c r="D16" s="152">
        <f>15.75*4-(References!B17)-(2*2.5*1)</f>
        <v>49.85</v>
      </c>
      <c r="E16" s="152">
        <v>33</v>
      </c>
      <c r="F16" s="152">
        <v>-0.55000000000000004</v>
      </c>
      <c r="G16" s="152">
        <v>0.65</v>
      </c>
      <c r="H16" s="152">
        <v>28</v>
      </c>
      <c r="I16" s="152">
        <f>(References!T$4)-(References!T$3/2)</f>
        <v>30.45</v>
      </c>
      <c r="J16" s="152">
        <f t="shared" si="0"/>
        <v>19.5425</v>
      </c>
      <c r="K16" s="153">
        <f t="shared" si="1"/>
        <v>4465.3237199999994</v>
      </c>
      <c r="M16" s="149"/>
    </row>
    <row r="17" spans="1:13" ht="15" thickBot="1" x14ac:dyDescent="0.35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49"/>
    </row>
    <row r="18" spans="1:13" ht="15" thickBot="1" x14ac:dyDescent="0.35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49"/>
    </row>
    <row r="19" spans="1:13" ht="15" thickBot="1" x14ac:dyDescent="0.35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49"/>
    </row>
    <row r="20" spans="1:13" ht="15" thickBot="1" x14ac:dyDescent="0.35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49"/>
    </row>
    <row r="21" spans="1:13" ht="15" thickBot="1" x14ac:dyDescent="0.35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49"/>
    </row>
    <row r="22" spans="1:13" ht="15" thickBot="1" x14ac:dyDescent="0.35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49"/>
    </row>
    <row r="23" spans="1:13" ht="15" thickBot="1" x14ac:dyDescent="0.35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49"/>
    </row>
    <row r="24" spans="1:13" ht="15" thickBot="1" x14ac:dyDescent="0.35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49"/>
    </row>
    <row r="25" spans="1:13" ht="15" thickBot="1" x14ac:dyDescent="0.35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49"/>
    </row>
    <row r="26" spans="1:13" ht="15" thickBot="1" x14ac:dyDescent="0.35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49"/>
    </row>
    <row r="27" spans="1:13" ht="15" thickBot="1" x14ac:dyDescent="0.35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49"/>
    </row>
    <row r="28" spans="1:13" ht="15" thickBot="1" x14ac:dyDescent="0.35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49"/>
    </row>
    <row r="29" spans="1:13" ht="15" thickBot="1" x14ac:dyDescent="0.35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49"/>
    </row>
    <row r="30" spans="1:13" ht="15" thickBot="1" x14ac:dyDescent="0.35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49"/>
    </row>
    <row r="31" spans="1:13" ht="15" thickBot="1" x14ac:dyDescent="0.35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49"/>
    </row>
    <row r="32" spans="1:13" ht="15" thickBot="1" x14ac:dyDescent="0.35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49"/>
    </row>
    <row r="33" spans="1:14" ht="15" thickBot="1" x14ac:dyDescent="0.35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49"/>
    </row>
    <row r="34" spans="1:14" ht="15" thickBot="1" x14ac:dyDescent="0.35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49"/>
    </row>
    <row r="35" spans="1:14" ht="15" thickBot="1" x14ac:dyDescent="0.35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49"/>
    </row>
    <row r="36" spans="1:14" ht="15" thickBot="1" x14ac:dyDescent="0.35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49"/>
    </row>
    <row r="37" spans="1:14" ht="15" thickBot="1" x14ac:dyDescent="0.35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49"/>
    </row>
    <row r="38" spans="1:14" ht="15.6" thickTop="1" thickBot="1" x14ac:dyDescent="0.35">
      <c r="J38" s="42" t="s">
        <v>42</v>
      </c>
      <c r="K38" s="42">
        <f>SUM(K4:K37)</f>
        <v>39227.857343999996</v>
      </c>
    </row>
    <row r="39" spans="1:14" ht="15" thickTop="1" x14ac:dyDescent="0.3"/>
    <row r="40" spans="1:14" ht="24" thickBot="1" x14ac:dyDescent="0.5">
      <c r="A40" s="275" t="s">
        <v>41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176" t="s">
        <v>62</v>
      </c>
      <c r="B45" s="152" t="s">
        <v>47</v>
      </c>
      <c r="C45" s="152">
        <v>2.7143999999999999</v>
      </c>
      <c r="D45" s="152">
        <v>43.2</v>
      </c>
      <c r="E45" s="152">
        <v>13</v>
      </c>
      <c r="F45" s="152">
        <v>2.2200000000000002</v>
      </c>
      <c r="G45" s="152">
        <v>0.65</v>
      </c>
      <c r="H45" s="152">
        <v>28</v>
      </c>
      <c r="I45" s="152">
        <v>30.45</v>
      </c>
      <c r="J45" s="152">
        <f t="shared" si="4"/>
        <v>8.343</v>
      </c>
      <c r="K45" s="153">
        <f t="shared" si="5"/>
        <v>978.31753343999992</v>
      </c>
    </row>
    <row r="46" spans="1:14" ht="15" thickBot="1" x14ac:dyDescent="0.35">
      <c r="A46" s="176" t="s">
        <v>63</v>
      </c>
      <c r="B46" s="152" t="s">
        <v>48</v>
      </c>
      <c r="C46" s="152">
        <v>2.7143999999999999</v>
      </c>
      <c r="D46" s="152">
        <v>41.2</v>
      </c>
      <c r="E46" s="152">
        <v>33</v>
      </c>
      <c r="F46" s="152">
        <v>-0.55000000000000004</v>
      </c>
      <c r="G46" s="152">
        <v>0.65</v>
      </c>
      <c r="H46" s="152">
        <v>28</v>
      </c>
      <c r="I46" s="152">
        <v>30.45</v>
      </c>
      <c r="J46" s="152">
        <f t="shared" si="4"/>
        <v>19.5425</v>
      </c>
      <c r="K46" s="153">
        <f t="shared" si="5"/>
        <v>2185.5018743999999</v>
      </c>
    </row>
    <row r="47" spans="1:14" ht="15" thickBot="1" x14ac:dyDescent="0.35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151" t="s">
        <v>126</v>
      </c>
      <c r="B50" s="152" t="s">
        <v>48</v>
      </c>
      <c r="C50" s="152">
        <v>2.7143999999999999</v>
      </c>
      <c r="D50" s="152">
        <v>9.6999999999999993</v>
      </c>
      <c r="E50" s="152">
        <v>33</v>
      </c>
      <c r="F50" s="152">
        <v>-0.55000000000000004</v>
      </c>
      <c r="G50" s="152">
        <v>0.65</v>
      </c>
      <c r="H50" s="152">
        <v>28</v>
      </c>
      <c r="I50" s="152">
        <v>30.45</v>
      </c>
      <c r="J50" s="152">
        <f t="shared" si="4"/>
        <v>19.5425</v>
      </c>
      <c r="K50" s="153">
        <f t="shared" si="5"/>
        <v>514.54777139999999</v>
      </c>
    </row>
    <row r="51" spans="1:13" ht="15" thickBot="1" x14ac:dyDescent="0.35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" thickBot="1" x14ac:dyDescent="0.35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" thickBot="1" x14ac:dyDescent="0.35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" thickBot="1" x14ac:dyDescent="0.35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" thickBot="1" x14ac:dyDescent="0.35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" thickBot="1" x14ac:dyDescent="0.35">
      <c r="A64" s="151" t="s">
        <v>130</v>
      </c>
      <c r="B64" s="152" t="s">
        <v>49</v>
      </c>
      <c r="C64" s="152">
        <v>2.7143999999999999</v>
      </c>
      <c r="D64" s="152">
        <v>19.2</v>
      </c>
      <c r="E64" s="152">
        <v>22</v>
      </c>
      <c r="F64" s="152">
        <v>-3.88</v>
      </c>
      <c r="G64" s="152">
        <v>0.65</v>
      </c>
      <c r="H64" s="152">
        <v>28</v>
      </c>
      <c r="I64" s="152">
        <v>30.45</v>
      </c>
      <c r="J64" s="152">
        <f t="shared" si="4"/>
        <v>10.228</v>
      </c>
      <c r="K64" s="153">
        <f t="shared" si="5"/>
        <v>533.04735743999993</v>
      </c>
    </row>
    <row r="65" spans="1:13" ht="15" thickBot="1" x14ac:dyDescent="0.35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" thickBot="1" x14ac:dyDescent="0.35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" thickBot="1" x14ac:dyDescent="0.35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" thickBot="1" x14ac:dyDescent="0.35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" thickBot="1" x14ac:dyDescent="0.35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" thickBot="1" x14ac:dyDescent="0.35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" thickBot="1" x14ac:dyDescent="0.35">
      <c r="A75" s="154" t="s">
        <v>65</v>
      </c>
      <c r="B75" s="152" t="s">
        <v>46</v>
      </c>
      <c r="C75" s="152">
        <v>2.7143999999999999</v>
      </c>
      <c r="D75" s="152">
        <v>7.4</v>
      </c>
      <c r="E75" s="152">
        <v>25</v>
      </c>
      <c r="F75" s="152">
        <v>-0.55000000000000004</v>
      </c>
      <c r="G75" s="152">
        <v>0.65</v>
      </c>
      <c r="H75" s="152">
        <v>22.5</v>
      </c>
      <c r="I75" s="152">
        <v>30.45</v>
      </c>
      <c r="J75" s="152">
        <f t="shared" si="4"/>
        <v>19.842499999999998</v>
      </c>
      <c r="K75" s="153">
        <f t="shared" si="5"/>
        <v>398.56756679999995</v>
      </c>
      <c r="M75" s="4"/>
    </row>
    <row r="76" spans="1:13" ht="15" thickBot="1" x14ac:dyDescent="0.35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</row>
    <row r="78" spans="1:13" ht="15" thickBot="1" x14ac:dyDescent="0.35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" thickBot="1" x14ac:dyDescent="0.35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" thickBot="1" x14ac:dyDescent="0.35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</row>
    <row r="82" spans="1:11" ht="15" thickBot="1" x14ac:dyDescent="0.35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" thickBot="1" x14ac:dyDescent="0.35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" thickBot="1" x14ac:dyDescent="0.35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</row>
    <row r="85" spans="1:11" ht="15" thickBot="1" x14ac:dyDescent="0.35">
      <c r="J85" s="41" t="s">
        <v>42</v>
      </c>
      <c r="K85" s="41">
        <f>SUM(Table6[Q(W)])</f>
        <v>31364.094930011994</v>
      </c>
    </row>
    <row r="86" spans="1:11" x14ac:dyDescent="0.3">
      <c r="J86" s="1"/>
      <c r="K86" s="1"/>
    </row>
    <row r="87" spans="1:11" ht="23.4" x14ac:dyDescent="0.45">
      <c r="A87" s="276" t="s">
        <v>59</v>
      </c>
      <c r="B87" s="276"/>
      <c r="C87" s="276"/>
      <c r="D87" s="276"/>
      <c r="E87" s="276"/>
      <c r="F87" s="276"/>
      <c r="G87" s="276"/>
      <c r="H87" s="276"/>
      <c r="I87" s="276"/>
      <c r="J87" s="276"/>
      <c r="K87" s="276"/>
    </row>
    <row r="88" spans="1:11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" thickBot="1" x14ac:dyDescent="0.35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" thickBot="1" x14ac:dyDescent="0.35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" thickBot="1" x14ac:dyDescent="0.35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" thickBot="1" x14ac:dyDescent="0.35">
      <c r="A92" s="151" t="s">
        <v>61</v>
      </c>
      <c r="B92" s="152" t="s">
        <v>46</v>
      </c>
      <c r="C92" s="155">
        <v>2.7143999999999999</v>
      </c>
      <c r="D92" s="152">
        <f>(References!C44*4)-(References!B44*1)-(References!A44*2)</f>
        <v>40.92</v>
      </c>
      <c r="E92" s="152">
        <f t="shared" si="8"/>
        <v>25</v>
      </c>
      <c r="F92" s="152">
        <f t="shared" si="9"/>
        <v>-0.55000000000000004</v>
      </c>
      <c r="G92" s="152">
        <v>0.65</v>
      </c>
      <c r="H92" s="152">
        <v>28</v>
      </c>
      <c r="I92" s="156">
        <f>(References!T$4)-(References!T$3/2)</f>
        <v>30.45</v>
      </c>
      <c r="J92" s="152">
        <f t="shared" si="6"/>
        <v>14.342499999999999</v>
      </c>
      <c r="K92" s="153">
        <f t="shared" si="7"/>
        <v>2776.8312000000001</v>
      </c>
    </row>
    <row r="93" spans="1:11" ht="15" thickBot="1" x14ac:dyDescent="0.35">
      <c r="A93" s="151" t="s">
        <v>62</v>
      </c>
      <c r="B93" s="152" t="s">
        <v>47</v>
      </c>
      <c r="C93" s="155">
        <v>2.7143999999999999</v>
      </c>
      <c r="D93" s="152">
        <f>(References!C45*4)-(References!B45*1)-(References!A45*2)</f>
        <v>68</v>
      </c>
      <c r="E93" s="152">
        <f t="shared" si="8"/>
        <v>13</v>
      </c>
      <c r="F93" s="152">
        <f t="shared" si="9"/>
        <v>2.2200000000000002</v>
      </c>
      <c r="G93" s="152">
        <v>0.65</v>
      </c>
      <c r="H93" s="152">
        <v>28</v>
      </c>
      <c r="I93" s="156">
        <f>(References!T$4)-(References!T$3/2)</f>
        <v>30.45</v>
      </c>
      <c r="J93" s="152">
        <f t="shared" si="6"/>
        <v>8.343</v>
      </c>
      <c r="K93" s="153">
        <f t="shared" si="7"/>
        <v>2399.5295999999998</v>
      </c>
    </row>
    <row r="94" spans="1:11" ht="15" thickBot="1" x14ac:dyDescent="0.35">
      <c r="A94" s="151" t="s">
        <v>63</v>
      </c>
      <c r="B94" s="152" t="s">
        <v>48</v>
      </c>
      <c r="C94" s="155">
        <v>2.7143999999999999</v>
      </c>
      <c r="D94" s="152">
        <f>(References!C46*4)-(References!B46*1)-(References!A46*2)</f>
        <v>40.92</v>
      </c>
      <c r="E94" s="152">
        <f t="shared" si="8"/>
        <v>33</v>
      </c>
      <c r="F94" s="152">
        <f t="shared" si="9"/>
        <v>-0.55000000000000004</v>
      </c>
      <c r="G94" s="152">
        <v>0.65</v>
      </c>
      <c r="H94" s="152">
        <v>28</v>
      </c>
      <c r="I94" s="156">
        <f>(References!T$4)-(References!T$3/2)</f>
        <v>30.45</v>
      </c>
      <c r="J94" s="152">
        <f t="shared" si="6"/>
        <v>19.5425</v>
      </c>
      <c r="K94" s="153">
        <f t="shared" si="7"/>
        <v>3665.4171840000004</v>
      </c>
    </row>
    <row r="95" spans="1:11" ht="15" thickBot="1" x14ac:dyDescent="0.35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" thickBot="1" x14ac:dyDescent="0.35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" thickBot="1" x14ac:dyDescent="0.35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" thickBot="1" x14ac:dyDescent="0.35">
      <c r="A98" s="151" t="s">
        <v>64</v>
      </c>
      <c r="B98" s="152" t="s">
        <v>48</v>
      </c>
      <c r="C98" s="155">
        <v>2.7143999999999999</v>
      </c>
      <c r="D98" s="152">
        <f>(References!C50*4)-(References!B50*1)-(References!A50*2)</f>
        <v>9.6999999999999993</v>
      </c>
      <c r="E98" s="152">
        <f t="shared" si="8"/>
        <v>33</v>
      </c>
      <c r="F98" s="152">
        <f t="shared" si="9"/>
        <v>-0.55000000000000004</v>
      </c>
      <c r="G98" s="152">
        <v>0.65</v>
      </c>
      <c r="H98" s="152">
        <v>28</v>
      </c>
      <c r="I98" s="156">
        <f>(References!T$4)-(References!T$3/2)</f>
        <v>30.45</v>
      </c>
      <c r="J98" s="152">
        <f t="shared" si="6"/>
        <v>19.5425</v>
      </c>
      <c r="K98" s="153">
        <f t="shared" si="7"/>
        <v>868.87943999999993</v>
      </c>
    </row>
    <row r="99" spans="1:11" ht="15" thickBot="1" x14ac:dyDescent="0.35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" thickBot="1" x14ac:dyDescent="0.35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</row>
    <row r="101" spans="1:11" ht="15" thickBot="1" x14ac:dyDescent="0.35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" thickBot="1" x14ac:dyDescent="0.35">
      <c r="A102" s="45" t="s">
        <v>70</v>
      </c>
      <c r="B102" s="107" t="s">
        <v>48</v>
      </c>
      <c r="C102" s="34">
        <v>2.7143999999999999</v>
      </c>
      <c r="D102" s="107">
        <f>(References!C54*4)-(References!B54*1)-(References!A54*2)</f>
        <v>10.6</v>
      </c>
      <c r="E102" s="107">
        <f t="shared" si="8"/>
        <v>33</v>
      </c>
      <c r="F102" s="107">
        <f t="shared" si="9"/>
        <v>-0.55000000000000004</v>
      </c>
      <c r="G102" s="107">
        <v>0.65</v>
      </c>
      <c r="H102" s="107">
        <v>22.5</v>
      </c>
      <c r="I102" s="34">
        <f>(References!T$4)-(References!T$3/2)</f>
        <v>30.45</v>
      </c>
      <c r="J102" s="107">
        <f t="shared" si="6"/>
        <v>25.0425</v>
      </c>
      <c r="K102" s="108">
        <f t="shared" si="7"/>
        <v>949.49712</v>
      </c>
    </row>
    <row r="103" spans="1:11" ht="15" thickBot="1" x14ac:dyDescent="0.35">
      <c r="A103" s="45" t="s">
        <v>70</v>
      </c>
      <c r="B103" s="107" t="s">
        <v>48</v>
      </c>
      <c r="C103" s="34">
        <v>2.7143999999999999</v>
      </c>
      <c r="D103" s="107">
        <f>(References!C55*4)-(References!B55*1)-(References!A55*2)</f>
        <v>10.6</v>
      </c>
      <c r="E103" s="107">
        <f t="shared" si="8"/>
        <v>33</v>
      </c>
      <c r="F103" s="107">
        <f t="shared" si="9"/>
        <v>-0.55000000000000004</v>
      </c>
      <c r="G103" s="107">
        <v>0.65</v>
      </c>
      <c r="H103" s="107">
        <v>22.5</v>
      </c>
      <c r="I103" s="34">
        <f>(References!T$4)-(References!T$3/2)</f>
        <v>30.45</v>
      </c>
      <c r="J103" s="107">
        <f t="shared" si="6"/>
        <v>25.0425</v>
      </c>
      <c r="K103" s="108">
        <f t="shared" si="7"/>
        <v>949.49712</v>
      </c>
    </row>
    <row r="104" spans="1:11" ht="15" thickBot="1" x14ac:dyDescent="0.35">
      <c r="A104" s="45" t="s">
        <v>70</v>
      </c>
      <c r="B104" s="107" t="s">
        <v>48</v>
      </c>
      <c r="C104" s="34">
        <v>2.7143999999999999</v>
      </c>
      <c r="D104" s="107">
        <f>(References!C56*4)-(References!B56*1)-(References!A56*2)</f>
        <v>10.6</v>
      </c>
      <c r="E104" s="107">
        <f t="shared" si="8"/>
        <v>33</v>
      </c>
      <c r="F104" s="107">
        <f t="shared" si="9"/>
        <v>-0.55000000000000004</v>
      </c>
      <c r="G104" s="107">
        <v>0.65</v>
      </c>
      <c r="H104" s="107">
        <v>22.5</v>
      </c>
      <c r="I104" s="34">
        <f>(References!T$4)-(References!T$3/2)</f>
        <v>30.45</v>
      </c>
      <c r="J104" s="107">
        <f t="shared" si="6"/>
        <v>25.0425</v>
      </c>
      <c r="K104" s="108">
        <f t="shared" si="7"/>
        <v>949.49712</v>
      </c>
    </row>
    <row r="105" spans="1:11" ht="15" thickBot="1" x14ac:dyDescent="0.35">
      <c r="A105" s="45" t="s">
        <v>70</v>
      </c>
      <c r="B105" s="107" t="s">
        <v>48</v>
      </c>
      <c r="C105" s="34">
        <v>2.7143999999999999</v>
      </c>
      <c r="D105" s="107">
        <f>(References!C57*4)-(References!B57*1)-(References!A57*2)</f>
        <v>10.6</v>
      </c>
      <c r="E105" s="107">
        <f t="shared" si="8"/>
        <v>33</v>
      </c>
      <c r="F105" s="107">
        <f t="shared" si="9"/>
        <v>-0.55000000000000004</v>
      </c>
      <c r="G105" s="107">
        <v>0.65</v>
      </c>
      <c r="H105" s="107">
        <v>22.5</v>
      </c>
      <c r="I105" s="34">
        <f>(References!T$4)-(References!T$3/2)</f>
        <v>30.45</v>
      </c>
      <c r="J105" s="107">
        <f t="shared" si="6"/>
        <v>25.0425</v>
      </c>
      <c r="K105" s="108">
        <f t="shared" si="7"/>
        <v>949.49712</v>
      </c>
    </row>
    <row r="106" spans="1:11" ht="15" thickBot="1" x14ac:dyDescent="0.35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" thickBot="1" x14ac:dyDescent="0.35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" thickBot="1" x14ac:dyDescent="0.35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" thickBot="1" x14ac:dyDescent="0.35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" thickBot="1" x14ac:dyDescent="0.35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" thickBot="1" x14ac:dyDescent="0.35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" thickBot="1" x14ac:dyDescent="0.35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</row>
    <row r="113" spans="1:11" ht="15" thickBot="1" x14ac:dyDescent="0.35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1" ht="15" thickBot="1" x14ac:dyDescent="0.35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" thickBot="1" x14ac:dyDescent="0.35">
      <c r="A115" s="151" t="s">
        <v>79</v>
      </c>
      <c r="B115" s="152" t="s">
        <v>49</v>
      </c>
      <c r="C115" s="155">
        <v>2.7143999999999999</v>
      </c>
      <c r="D115" s="152">
        <f>(References!C67*4)-(References!B67*1)-(References!A67*2)</f>
        <v>19.2</v>
      </c>
      <c r="E115" s="152">
        <f t="shared" si="8"/>
        <v>22</v>
      </c>
      <c r="F115" s="152">
        <f t="shared" si="9"/>
        <v>-3.88</v>
      </c>
      <c r="G115" s="152">
        <v>0.65</v>
      </c>
      <c r="H115" s="152">
        <v>28</v>
      </c>
      <c r="I115" s="156">
        <f>(References!T$4)-(References!T$3/2)</f>
        <v>30.45</v>
      </c>
      <c r="J115" s="152">
        <f t="shared" si="6"/>
        <v>10.228</v>
      </c>
      <c r="K115" s="153">
        <f t="shared" si="7"/>
        <v>1146.5625599999998</v>
      </c>
    </row>
    <row r="116" spans="1:11" ht="15" thickBot="1" x14ac:dyDescent="0.35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" thickBot="1" x14ac:dyDescent="0.35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" thickBot="1" x14ac:dyDescent="0.35">
      <c r="A118" s="151" t="s">
        <v>90</v>
      </c>
      <c r="B118" s="152" t="s">
        <v>49</v>
      </c>
      <c r="C118" s="155">
        <v>2.7143999999999999</v>
      </c>
      <c r="D118" s="152">
        <f>(References!C70*4)-(References!B70*1)-(References!A70*2)</f>
        <v>24</v>
      </c>
      <c r="E118" s="152">
        <f t="shared" si="8"/>
        <v>22</v>
      </c>
      <c r="F118" s="152">
        <f t="shared" si="9"/>
        <v>-3.88</v>
      </c>
      <c r="G118" s="152">
        <v>0.65</v>
      </c>
      <c r="H118" s="152">
        <v>28</v>
      </c>
      <c r="I118" s="156">
        <f>(References!T$4)-(References!T$3/2)</f>
        <v>30.45</v>
      </c>
      <c r="J118" s="152">
        <f t="shared" si="6"/>
        <v>10.228</v>
      </c>
      <c r="K118" s="153">
        <f t="shared" si="7"/>
        <v>1433.2031999999999</v>
      </c>
    </row>
    <row r="119" spans="1:11" ht="15" thickBot="1" x14ac:dyDescent="0.35">
      <c r="A119" s="151" t="s">
        <v>80</v>
      </c>
      <c r="B119" s="152" t="s">
        <v>49</v>
      </c>
      <c r="C119" s="155">
        <v>2.7143999999999999</v>
      </c>
      <c r="D119" s="152">
        <f>(References!C71*4)-(References!B71*1)-(References!A71*2)</f>
        <v>48</v>
      </c>
      <c r="E119" s="152">
        <f t="shared" si="8"/>
        <v>22</v>
      </c>
      <c r="F119" s="152">
        <f t="shared" si="9"/>
        <v>-3.88</v>
      </c>
      <c r="G119" s="152">
        <v>0.65</v>
      </c>
      <c r="H119" s="152">
        <v>24</v>
      </c>
      <c r="I119" s="156">
        <f>(References!T$4)-(References!T$3/2)</f>
        <v>30.45</v>
      </c>
      <c r="J119" s="152">
        <f t="shared" si="6"/>
        <v>14.228</v>
      </c>
      <c r="K119" s="153">
        <f t="shared" si="7"/>
        <v>2866.4063999999998</v>
      </c>
    </row>
    <row r="120" spans="1:11" ht="15" thickBot="1" x14ac:dyDescent="0.35">
      <c r="A120" s="151" t="s">
        <v>81</v>
      </c>
      <c r="B120" s="152" t="s">
        <v>46</v>
      </c>
      <c r="C120" s="155">
        <v>2.7143999999999999</v>
      </c>
      <c r="D120" s="152">
        <f>(References!C72*4)-(References!B72*1)-(References!A72*2)</f>
        <v>61.6</v>
      </c>
      <c r="E120" s="152">
        <f t="shared" si="8"/>
        <v>25</v>
      </c>
      <c r="F120" s="152">
        <f t="shared" si="9"/>
        <v>-0.55000000000000004</v>
      </c>
      <c r="G120" s="152">
        <v>0.65</v>
      </c>
      <c r="H120" s="152">
        <v>24</v>
      </c>
      <c r="I120" s="156">
        <f>(References!T$4)-(References!T$3/2)</f>
        <v>30.45</v>
      </c>
      <c r="J120" s="152">
        <f t="shared" si="6"/>
        <v>18.342499999999998</v>
      </c>
      <c r="K120" s="153">
        <f t="shared" si="7"/>
        <v>4180.1760000000004</v>
      </c>
    </row>
    <row r="121" spans="1:11" ht="15" thickBot="1" x14ac:dyDescent="0.35">
      <c r="A121" s="151" t="s">
        <v>82</v>
      </c>
      <c r="B121" s="152" t="s">
        <v>47</v>
      </c>
      <c r="C121" s="155">
        <v>2.7143999999999999</v>
      </c>
      <c r="D121" s="152">
        <f>(References!C73*4)-(References!B73*1)-(References!A73*2)</f>
        <v>8.8800000000000008</v>
      </c>
      <c r="E121" s="152">
        <f t="shared" si="8"/>
        <v>13</v>
      </c>
      <c r="F121" s="152">
        <f t="shared" si="9"/>
        <v>2.2200000000000002</v>
      </c>
      <c r="G121" s="152">
        <v>0.65</v>
      </c>
      <c r="H121" s="152">
        <v>24</v>
      </c>
      <c r="I121" s="156">
        <f>(References!T$4)-(References!T$3/2)</f>
        <v>30.45</v>
      </c>
      <c r="J121" s="152">
        <f t="shared" si="6"/>
        <v>12.343</v>
      </c>
      <c r="K121" s="153">
        <f t="shared" si="7"/>
        <v>313.35033600000003</v>
      </c>
    </row>
    <row r="122" spans="1:11" ht="15" thickBot="1" x14ac:dyDescent="0.35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" thickBot="1" x14ac:dyDescent="0.35">
      <c r="A123" s="45" t="s">
        <v>70</v>
      </c>
      <c r="B123" s="107" t="s">
        <v>46</v>
      </c>
      <c r="C123" s="34">
        <v>2.7143999999999999</v>
      </c>
      <c r="D123" s="107">
        <f>(References!C75*4)-(References!B75*1)-(References!A75*2)</f>
        <v>10.6</v>
      </c>
      <c r="E123" s="107">
        <f t="shared" si="8"/>
        <v>25</v>
      </c>
      <c r="F123" s="107">
        <f t="shared" si="9"/>
        <v>-0.55000000000000004</v>
      </c>
      <c r="G123" s="107">
        <v>0.65</v>
      </c>
      <c r="H123" s="107">
        <v>22.5</v>
      </c>
      <c r="I123" s="34">
        <f>(References!T$4)-(References!T$3/2)</f>
        <v>30.45</v>
      </c>
      <c r="J123" s="107">
        <f t="shared" si="6"/>
        <v>19.842499999999998</v>
      </c>
      <c r="K123" s="108">
        <f t="shared" si="7"/>
        <v>719.31600000000003</v>
      </c>
    </row>
    <row r="124" spans="1:11" ht="15" thickBot="1" x14ac:dyDescent="0.35">
      <c r="A124" s="45" t="s">
        <v>70</v>
      </c>
      <c r="B124" s="107" t="s">
        <v>46</v>
      </c>
      <c r="C124" s="34">
        <v>2.7143999999999999</v>
      </c>
      <c r="D124" s="107">
        <f>(References!C76*4)-(References!B76*1)-(References!A76*2)</f>
        <v>10.6</v>
      </c>
      <c r="E124" s="107">
        <f t="shared" si="8"/>
        <v>25</v>
      </c>
      <c r="F124" s="107">
        <f t="shared" si="9"/>
        <v>-0.55000000000000004</v>
      </c>
      <c r="G124" s="107">
        <v>0.65</v>
      </c>
      <c r="H124" s="107">
        <v>22.5</v>
      </c>
      <c r="I124" s="34">
        <f>(References!T$4)-(References!T$3/2)</f>
        <v>30.45</v>
      </c>
      <c r="J124" s="107">
        <f t="shared" si="6"/>
        <v>19.842499999999998</v>
      </c>
      <c r="K124" s="108">
        <f t="shared" si="7"/>
        <v>719.31600000000003</v>
      </c>
    </row>
    <row r="125" spans="1:11" ht="15" thickBot="1" x14ac:dyDescent="0.35">
      <c r="A125" s="45" t="s">
        <v>70</v>
      </c>
      <c r="B125" s="107" t="s">
        <v>46</v>
      </c>
      <c r="C125" s="34">
        <v>2.7143999999999999</v>
      </c>
      <c r="D125" s="107">
        <f>(References!C77*4)-(References!B77*1)-(References!A77*2)</f>
        <v>10.6</v>
      </c>
      <c r="E125" s="107">
        <f t="shared" si="8"/>
        <v>25</v>
      </c>
      <c r="F125" s="107">
        <f t="shared" si="9"/>
        <v>-0.55000000000000004</v>
      </c>
      <c r="G125" s="107">
        <v>0.65</v>
      </c>
      <c r="H125" s="107">
        <v>22.5</v>
      </c>
      <c r="I125" s="34">
        <f>(References!T$4)-(References!T$3/2)</f>
        <v>30.45</v>
      </c>
      <c r="J125" s="107">
        <f t="shared" si="6"/>
        <v>19.842499999999998</v>
      </c>
      <c r="K125" s="108">
        <f t="shared" si="7"/>
        <v>719.31600000000003</v>
      </c>
    </row>
    <row r="126" spans="1:11" ht="15" thickBot="1" x14ac:dyDescent="0.35">
      <c r="A126" s="45" t="s">
        <v>70</v>
      </c>
      <c r="B126" s="107" t="s">
        <v>46</v>
      </c>
      <c r="C126" s="34">
        <v>2.7143999999999999</v>
      </c>
      <c r="D126" s="107">
        <f>(References!C78*4)-(References!B78*1)-(References!A78*2)</f>
        <v>10.6</v>
      </c>
      <c r="E126" s="107">
        <f t="shared" si="8"/>
        <v>25</v>
      </c>
      <c r="F126" s="107">
        <f t="shared" si="9"/>
        <v>-0.55000000000000004</v>
      </c>
      <c r="G126" s="107">
        <v>0.65</v>
      </c>
      <c r="H126" s="107">
        <v>22.5</v>
      </c>
      <c r="I126" s="34">
        <f>(References!T$4)-(References!T$3/2)</f>
        <v>30.45</v>
      </c>
      <c r="J126" s="107">
        <f t="shared" si="6"/>
        <v>19.842499999999998</v>
      </c>
      <c r="K126" s="108">
        <f t="shared" si="7"/>
        <v>719.31600000000003</v>
      </c>
    </row>
    <row r="127" spans="1:11" ht="15" thickBot="1" x14ac:dyDescent="0.35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" thickBot="1" x14ac:dyDescent="0.35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" thickBot="1" x14ac:dyDescent="0.35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</row>
    <row r="130" spans="1:11" ht="15" thickBot="1" x14ac:dyDescent="0.35">
      <c r="A130" s="157" t="s">
        <v>65</v>
      </c>
      <c r="B130" s="158" t="s">
        <v>46</v>
      </c>
      <c r="C130" s="159">
        <v>2.7143999999999999</v>
      </c>
      <c r="D130" s="158">
        <f>(References!C82*4)-(References!B82*1)-(References!A82*2)</f>
        <v>7.4</v>
      </c>
      <c r="E130" s="158">
        <f t="shared" si="8"/>
        <v>25</v>
      </c>
      <c r="F130" s="158">
        <f t="shared" si="9"/>
        <v>-0.55000000000000004</v>
      </c>
      <c r="G130" s="158">
        <v>0.65</v>
      </c>
      <c r="H130" s="158">
        <v>22.5</v>
      </c>
      <c r="I130" s="160">
        <f>(References!T$4)-(References!T$3/2)</f>
        <v>30.45</v>
      </c>
      <c r="J130" s="158">
        <f t="shared" si="6"/>
        <v>19.842499999999998</v>
      </c>
      <c r="K130" s="161">
        <f t="shared" si="7"/>
        <v>502.16399999999999</v>
      </c>
    </row>
    <row r="131" spans="1:11" ht="15" thickBot="1" x14ac:dyDescent="0.35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O167"/>
  <sheetViews>
    <sheetView workbookViewId="0">
      <selection activeCell="I14" sqref="H14:I26"/>
    </sheetView>
  </sheetViews>
  <sheetFormatPr defaultColWidth="9.109375" defaultRowHeight="14.4" x14ac:dyDescent="0.3"/>
  <cols>
    <col min="1" max="1" width="37" style="87" customWidth="1"/>
    <col min="2" max="5" width="9.109375" style="87"/>
    <col min="6" max="6" width="9.33203125" style="87" customWidth="1"/>
    <col min="7" max="16384" width="9.109375" style="86"/>
  </cols>
  <sheetData>
    <row r="1" spans="1:15" ht="23.4" x14ac:dyDescent="0.3">
      <c r="A1" s="277" t="s">
        <v>535</v>
      </c>
      <c r="B1" s="277"/>
      <c r="C1" s="277"/>
      <c r="D1" s="277"/>
      <c r="E1" s="277"/>
      <c r="F1" s="277"/>
      <c r="G1" s="111"/>
      <c r="H1" s="111"/>
    </row>
    <row r="2" spans="1:15" ht="24" thickBot="1" x14ac:dyDescent="0.5">
      <c r="A2" s="275" t="s">
        <v>160</v>
      </c>
      <c r="B2" s="275"/>
      <c r="C2" s="275"/>
      <c r="D2" s="275"/>
      <c r="E2" s="275"/>
      <c r="F2" s="275"/>
      <c r="G2" s="103"/>
      <c r="H2" s="103"/>
    </row>
    <row r="3" spans="1:15" ht="15" thickBot="1" x14ac:dyDescent="0.35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278" t="s">
        <v>539</v>
      </c>
      <c r="K3" s="278"/>
      <c r="L3" s="278"/>
      <c r="M3" s="278"/>
      <c r="N3" s="278"/>
      <c r="O3" s="278"/>
    </row>
    <row r="4" spans="1:15" ht="15" thickBot="1" x14ac:dyDescent="0.35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279"/>
      <c r="K4" s="279"/>
      <c r="L4" s="279"/>
      <c r="M4" s="279" t="s">
        <v>430</v>
      </c>
      <c r="N4" s="279"/>
      <c r="O4" s="279"/>
    </row>
    <row r="5" spans="1:15" ht="15" thickBot="1" x14ac:dyDescent="0.35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280" t="s">
        <v>160</v>
      </c>
      <c r="K5" s="280"/>
      <c r="L5" s="280"/>
      <c r="M5" s="280">
        <f>F63</f>
        <v>19883.609740799991</v>
      </c>
      <c r="N5" s="280"/>
      <c r="O5" s="280"/>
    </row>
    <row r="6" spans="1:15" ht="15" thickBot="1" x14ac:dyDescent="0.35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280" t="s">
        <v>41</v>
      </c>
      <c r="K6" s="280"/>
      <c r="L6" s="280"/>
      <c r="M6" s="280">
        <f>F117</f>
        <v>16958.066184539995</v>
      </c>
      <c r="N6" s="280"/>
      <c r="O6" s="280"/>
    </row>
    <row r="7" spans="1:15" ht="15" thickBot="1" x14ac:dyDescent="0.35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280" t="s">
        <v>59</v>
      </c>
      <c r="K7" s="280"/>
      <c r="L7" s="280"/>
      <c r="M7" s="280">
        <f>F167</f>
        <v>22702.400073599994</v>
      </c>
      <c r="N7" s="280"/>
      <c r="O7" s="280"/>
    </row>
    <row r="8" spans="1:15" ht="15" thickBot="1" x14ac:dyDescent="0.35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>B8*C8*D8*E8</f>
        <v>134.1690012</v>
      </c>
      <c r="J8" s="281" t="s">
        <v>540</v>
      </c>
      <c r="K8" s="281"/>
      <c r="L8" s="281"/>
      <c r="M8" s="294">
        <f>M5+M6+M7</f>
        <v>59544.075998939981</v>
      </c>
      <c r="N8" s="295"/>
      <c r="O8" s="296"/>
    </row>
    <row r="9" spans="1:15" ht="15" thickBot="1" x14ac:dyDescent="0.35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281"/>
      <c r="K9" s="281"/>
      <c r="L9" s="281"/>
      <c r="M9" s="297"/>
      <c r="N9" s="298"/>
      <c r="O9" s="299"/>
    </row>
    <row r="10" spans="1:15" ht="15" thickBot="1" x14ac:dyDescent="0.35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" thickBot="1" x14ac:dyDescent="0.35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" thickBot="1" x14ac:dyDescent="0.35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" thickBot="1" x14ac:dyDescent="0.35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" thickBot="1" x14ac:dyDescent="0.35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" thickBot="1" x14ac:dyDescent="0.35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" thickBot="1" x14ac:dyDescent="0.35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6" ht="15" thickBot="1" x14ac:dyDescent="0.35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6" ht="15" thickBot="1" x14ac:dyDescent="0.35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6" ht="15" thickBot="1" x14ac:dyDescent="0.35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6" ht="15" thickBot="1" x14ac:dyDescent="0.35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6" ht="15" thickBot="1" x14ac:dyDescent="0.35">
      <c r="A21" s="166" t="s">
        <v>254</v>
      </c>
      <c r="B21" s="167">
        <f>13*References!BA21</f>
        <v>1702.5865999999999</v>
      </c>
      <c r="C21" s="167">
        <v>0.75</v>
      </c>
      <c r="D21" s="167">
        <v>1.2</v>
      </c>
      <c r="E21" s="167">
        <v>0.94</v>
      </c>
      <c r="F21" s="168">
        <f t="shared" si="0"/>
        <v>1440.3882635999998</v>
      </c>
    </row>
    <row r="22" spans="1:6" ht="15" thickBot="1" x14ac:dyDescent="0.35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6" ht="15" thickBot="1" x14ac:dyDescent="0.35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6" ht="15" thickBot="1" x14ac:dyDescent="0.35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6" ht="15" thickBot="1" x14ac:dyDescent="0.35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6" ht="15" thickBot="1" x14ac:dyDescent="0.35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6" ht="15" thickBot="1" x14ac:dyDescent="0.35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6" ht="15" thickBot="1" x14ac:dyDescent="0.35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6" ht="15" thickBot="1" x14ac:dyDescent="0.35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6" ht="15" thickBot="1" x14ac:dyDescent="0.35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6" ht="15" thickBot="1" x14ac:dyDescent="0.35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6" ht="15" thickBot="1" x14ac:dyDescent="0.35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6" ht="15" thickBot="1" x14ac:dyDescent="0.35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6" ht="15" thickBot="1" x14ac:dyDescent="0.35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6" ht="15" thickBot="1" x14ac:dyDescent="0.35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6" ht="15" thickBot="1" x14ac:dyDescent="0.35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6" ht="15" thickBot="1" x14ac:dyDescent="0.35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6" ht="15" thickBot="1" x14ac:dyDescent="0.35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6" ht="15" thickBot="1" x14ac:dyDescent="0.35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6" ht="15" thickBot="1" x14ac:dyDescent="0.35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6" ht="15" thickBot="1" x14ac:dyDescent="0.35">
      <c r="A41" s="169" t="s">
        <v>507</v>
      </c>
      <c r="B41" s="167">
        <f>13*References!BA41</f>
        <v>8530.3269999999993</v>
      </c>
      <c r="C41" s="167">
        <v>1</v>
      </c>
      <c r="D41" s="167">
        <v>1.2</v>
      </c>
      <c r="E41" s="167">
        <v>0.94</v>
      </c>
      <c r="F41" s="168">
        <f t="shared" si="0"/>
        <v>9622.2088559999975</v>
      </c>
    </row>
    <row r="42" spans="1:6" ht="15" thickBot="1" x14ac:dyDescent="0.35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6" ht="15" thickBot="1" x14ac:dyDescent="0.35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6" ht="15" thickBot="1" x14ac:dyDescent="0.35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</row>
    <row r="45" spans="1:6" ht="15" thickBot="1" x14ac:dyDescent="0.35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6" ht="15" thickBot="1" x14ac:dyDescent="0.35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6" ht="15" thickBot="1" x14ac:dyDescent="0.35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6" ht="15" thickBot="1" x14ac:dyDescent="0.35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</row>
    <row r="49" spans="1:6" ht="15" thickBot="1" x14ac:dyDescent="0.35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6" ht="15" thickBot="1" x14ac:dyDescent="0.35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6" ht="15" thickBot="1" x14ac:dyDescent="0.35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6" ht="15" thickBot="1" x14ac:dyDescent="0.35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6" ht="15" thickBot="1" x14ac:dyDescent="0.35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6" ht="15" thickBot="1" x14ac:dyDescent="0.35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</row>
    <row r="55" spans="1:6" ht="15" thickBot="1" x14ac:dyDescent="0.35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6" ht="15" thickBot="1" x14ac:dyDescent="0.35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6" ht="15" thickBot="1" x14ac:dyDescent="0.35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6" ht="15" thickBot="1" x14ac:dyDescent="0.35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6" ht="15" thickBot="1" x14ac:dyDescent="0.35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6" ht="15" thickBot="1" x14ac:dyDescent="0.35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6" ht="15" thickBot="1" x14ac:dyDescent="0.35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6" ht="15" thickBot="1" x14ac:dyDescent="0.35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6" ht="15" thickBot="1" x14ac:dyDescent="0.35">
      <c r="E63" s="177" t="s">
        <v>333</v>
      </c>
      <c r="F63" s="177">
        <f>SUM(Table23[Qs (W)])</f>
        <v>19883.609740799991</v>
      </c>
    </row>
    <row r="65" spans="1:8" ht="24" thickBot="1" x14ac:dyDescent="0.5">
      <c r="A65" s="275" t="s">
        <v>41</v>
      </c>
      <c r="B65" s="275"/>
      <c r="C65" s="275"/>
      <c r="D65" s="275"/>
      <c r="E65" s="275"/>
      <c r="F65" s="275"/>
      <c r="G65" s="103"/>
      <c r="H65" s="103"/>
    </row>
    <row r="66" spans="1:8" ht="15" thickBot="1" x14ac:dyDescent="0.35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" thickBot="1" x14ac:dyDescent="0.35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" thickBot="1" x14ac:dyDescent="0.35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" thickBot="1" x14ac:dyDescent="0.35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" thickBot="1" x14ac:dyDescent="0.35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" thickBot="1" x14ac:dyDescent="0.35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" thickBot="1" x14ac:dyDescent="0.35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" thickBot="1" x14ac:dyDescent="0.35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" thickBot="1" x14ac:dyDescent="0.35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" thickBot="1" x14ac:dyDescent="0.35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" thickBot="1" x14ac:dyDescent="0.35">
      <c r="A76" s="166" t="s">
        <v>175</v>
      </c>
      <c r="B76" s="167">
        <f>13*References!BB13</f>
        <v>296.77699999999999</v>
      </c>
      <c r="C76" s="167">
        <v>0.75</v>
      </c>
      <c r="D76" s="167">
        <v>1.2</v>
      </c>
      <c r="E76" s="167">
        <v>0.94</v>
      </c>
      <c r="F76" s="168">
        <f t="shared" si="1"/>
        <v>251.07334199999997</v>
      </c>
    </row>
    <row r="77" spans="1:8" ht="15" thickBot="1" x14ac:dyDescent="0.35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" thickBot="1" x14ac:dyDescent="0.35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" thickBot="1" x14ac:dyDescent="0.35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" thickBot="1" x14ac:dyDescent="0.35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6" ht="15" thickBot="1" x14ac:dyDescent="0.35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6" ht="15" thickBot="1" x14ac:dyDescent="0.35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6" ht="15" thickBot="1" x14ac:dyDescent="0.35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6" ht="15" thickBot="1" x14ac:dyDescent="0.35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6" ht="15" thickBot="1" x14ac:dyDescent="0.35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6" ht="15" thickBot="1" x14ac:dyDescent="0.35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6" ht="15" thickBot="1" x14ac:dyDescent="0.35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6" ht="15" thickBot="1" x14ac:dyDescent="0.35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6" ht="15" thickBot="1" x14ac:dyDescent="0.35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6" ht="15" thickBot="1" x14ac:dyDescent="0.35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6" ht="15" thickBot="1" x14ac:dyDescent="0.35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6" ht="15" thickBot="1" x14ac:dyDescent="0.35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6" ht="15" thickBot="1" x14ac:dyDescent="0.35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6" ht="15" thickBot="1" x14ac:dyDescent="0.35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</row>
    <row r="95" spans="1:6" ht="15" thickBot="1" x14ac:dyDescent="0.35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6" ht="15" thickBot="1" x14ac:dyDescent="0.35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" thickBot="1" x14ac:dyDescent="0.35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" thickBot="1" x14ac:dyDescent="0.35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" thickBot="1" x14ac:dyDescent="0.35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" thickBot="1" x14ac:dyDescent="0.35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" thickBot="1" x14ac:dyDescent="0.35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" thickBot="1" x14ac:dyDescent="0.35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2"/>
    </row>
    <row r="103" spans="1:11" ht="15" thickBot="1" x14ac:dyDescent="0.35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" thickBot="1" x14ac:dyDescent="0.35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" thickBot="1" x14ac:dyDescent="0.35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" thickBot="1" x14ac:dyDescent="0.35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" thickBot="1" x14ac:dyDescent="0.35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" thickBot="1" x14ac:dyDescent="0.35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" thickBot="1" x14ac:dyDescent="0.35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" thickBot="1" x14ac:dyDescent="0.35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" thickBot="1" x14ac:dyDescent="0.35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" thickBot="1" x14ac:dyDescent="0.35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8" ht="15" thickBot="1" x14ac:dyDescent="0.35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8" ht="15" thickBot="1" x14ac:dyDescent="0.35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8" ht="15" thickBot="1" x14ac:dyDescent="0.35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8" ht="15" thickBot="1" x14ac:dyDescent="0.35">
      <c r="A116" s="170" t="s">
        <v>64</v>
      </c>
      <c r="B116" s="171">
        <f>13*References!BB53</f>
        <v>8903.9174899999998</v>
      </c>
      <c r="C116" s="171">
        <v>0.75</v>
      </c>
      <c r="D116" s="171">
        <v>1.2</v>
      </c>
      <c r="E116" s="171">
        <v>0.94</v>
      </c>
      <c r="F116" s="172">
        <f>B116*C116*D116*E116</f>
        <v>7532.7141965399987</v>
      </c>
    </row>
    <row r="117" spans="1:8" ht="15" thickBot="1" x14ac:dyDescent="0.35">
      <c r="E117" s="128" t="s">
        <v>333</v>
      </c>
      <c r="F117" s="128">
        <f>SUM(Table24[Qs (W)])</f>
        <v>16958.066184539995</v>
      </c>
    </row>
    <row r="119" spans="1:8" ht="23.4" x14ac:dyDescent="0.45">
      <c r="A119" s="276" t="s">
        <v>59</v>
      </c>
      <c r="B119" s="276"/>
      <c r="C119" s="276"/>
      <c r="D119" s="276"/>
      <c r="E119" s="276"/>
      <c r="F119" s="276"/>
      <c r="G119" s="106"/>
      <c r="H119" s="106"/>
    </row>
    <row r="120" spans="1:8" ht="15" thickBot="1" x14ac:dyDescent="0.35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8" ht="15" thickBot="1" x14ac:dyDescent="0.35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8" ht="15" thickBot="1" x14ac:dyDescent="0.35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8" ht="15" thickBot="1" x14ac:dyDescent="0.35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</row>
    <row r="124" spans="1:8" ht="15" thickBot="1" x14ac:dyDescent="0.35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</row>
    <row r="125" spans="1:8" ht="15" thickBot="1" x14ac:dyDescent="0.35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8" ht="15" thickBot="1" x14ac:dyDescent="0.35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8" ht="15" thickBot="1" x14ac:dyDescent="0.35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8" ht="15" thickBot="1" x14ac:dyDescent="0.35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" thickBot="1" x14ac:dyDescent="0.35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" thickBot="1" x14ac:dyDescent="0.35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" thickBot="1" x14ac:dyDescent="0.35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" thickBot="1" x14ac:dyDescent="0.35">
      <c r="A132" s="166" t="s">
        <v>175</v>
      </c>
      <c r="B132" s="167">
        <f>13*References!BC15</f>
        <v>296.77699999999999</v>
      </c>
      <c r="C132" s="167">
        <v>0.75</v>
      </c>
      <c r="D132" s="167">
        <v>1.2</v>
      </c>
      <c r="E132" s="167">
        <v>0.94</v>
      </c>
      <c r="F132" s="168">
        <f t="shared" si="2"/>
        <v>251.07334199999997</v>
      </c>
    </row>
    <row r="133" spans="1:6" ht="15" thickBot="1" x14ac:dyDescent="0.35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" thickBot="1" x14ac:dyDescent="0.35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" thickBot="1" x14ac:dyDescent="0.35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" thickBot="1" x14ac:dyDescent="0.35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" thickBot="1" x14ac:dyDescent="0.35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" thickBot="1" x14ac:dyDescent="0.35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" thickBot="1" x14ac:dyDescent="0.35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" thickBot="1" x14ac:dyDescent="0.35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" thickBot="1" x14ac:dyDescent="0.35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" thickBot="1" x14ac:dyDescent="0.35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" thickBot="1" x14ac:dyDescent="0.35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" thickBot="1" x14ac:dyDescent="0.35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6" ht="15" thickBot="1" x14ac:dyDescent="0.35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6" ht="15" thickBot="1" x14ac:dyDescent="0.35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6" ht="15" thickBot="1" x14ac:dyDescent="0.35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6" ht="15" thickBot="1" x14ac:dyDescent="0.35">
      <c r="A148" s="166" t="s">
        <v>308</v>
      </c>
      <c r="B148" s="167">
        <f>13*References!BC31</f>
        <v>305.27769999999998</v>
      </c>
      <c r="C148" s="167">
        <v>0.75</v>
      </c>
      <c r="D148" s="167">
        <v>1.2</v>
      </c>
      <c r="E148" s="167">
        <v>0.94</v>
      </c>
      <c r="F148" s="168">
        <f t="shared" si="2"/>
        <v>258.26493419999991</v>
      </c>
    </row>
    <row r="149" spans="1:6" ht="15" thickBot="1" x14ac:dyDescent="0.35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6" ht="15" thickBot="1" x14ac:dyDescent="0.35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6" ht="15" thickBot="1" x14ac:dyDescent="0.35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6" ht="15" thickBot="1" x14ac:dyDescent="0.35">
      <c r="A152" s="166" t="s">
        <v>312</v>
      </c>
      <c r="B152" s="167">
        <f>13*References!BC35</f>
        <v>144.1336</v>
      </c>
      <c r="C152" s="167">
        <v>1</v>
      </c>
      <c r="D152" s="167">
        <v>1.2</v>
      </c>
      <c r="E152" s="167">
        <v>0.94</v>
      </c>
      <c r="F152" s="168">
        <f t="shared" si="2"/>
        <v>162.5827008</v>
      </c>
    </row>
    <row r="153" spans="1:6" ht="15" thickBot="1" x14ac:dyDescent="0.35">
      <c r="A153" s="166" t="s">
        <v>313</v>
      </c>
      <c r="B153" s="167">
        <f>13*References!BC36</f>
        <v>107.575</v>
      </c>
      <c r="C153" s="167">
        <v>1</v>
      </c>
      <c r="D153" s="167">
        <v>1.2</v>
      </c>
      <c r="E153" s="167">
        <v>0.94</v>
      </c>
      <c r="F153" s="168">
        <f t="shared" si="2"/>
        <v>121.3446</v>
      </c>
    </row>
    <row r="154" spans="1:6" ht="15" thickBot="1" x14ac:dyDescent="0.35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6" ht="15" thickBot="1" x14ac:dyDescent="0.35">
      <c r="A155" s="166" t="s">
        <v>509</v>
      </c>
      <c r="B155" s="167">
        <f>13*References!BC38</f>
        <v>2391.2694000000001</v>
      </c>
      <c r="C155" s="167">
        <v>0.75</v>
      </c>
      <c r="D155" s="167">
        <v>1.2</v>
      </c>
      <c r="E155" s="167">
        <v>0.94</v>
      </c>
      <c r="F155" s="168">
        <f t="shared" si="2"/>
        <v>2023.0139124</v>
      </c>
    </row>
    <row r="156" spans="1:6" ht="15" thickBot="1" x14ac:dyDescent="0.35">
      <c r="A156" s="166" t="s">
        <v>316</v>
      </c>
      <c r="B156" s="167">
        <f>13*References!BC39</f>
        <v>765.18130000000008</v>
      </c>
      <c r="C156" s="167">
        <v>1</v>
      </c>
      <c r="D156" s="167">
        <v>1.2</v>
      </c>
      <c r="E156" s="167">
        <v>0.94</v>
      </c>
      <c r="F156" s="168">
        <f t="shared" si="2"/>
        <v>863.12450639999997</v>
      </c>
    </row>
    <row r="157" spans="1:6" ht="15" thickBot="1" x14ac:dyDescent="0.35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6" ht="15" thickBot="1" x14ac:dyDescent="0.35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6" ht="15" thickBot="1" x14ac:dyDescent="0.35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6" ht="15" thickBot="1" x14ac:dyDescent="0.35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</row>
    <row r="161" spans="1:6" ht="15" thickBot="1" x14ac:dyDescent="0.35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" thickBot="1" x14ac:dyDescent="0.35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" thickBot="1" x14ac:dyDescent="0.35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" thickBot="1" x14ac:dyDescent="0.35">
      <c r="A164" s="170" t="s">
        <v>510</v>
      </c>
      <c r="B164" s="167">
        <f>13*References!BC47</f>
        <v>10504.1001</v>
      </c>
      <c r="C164" s="171">
        <v>1</v>
      </c>
      <c r="D164" s="171">
        <v>1.2</v>
      </c>
      <c r="E164" s="171">
        <v>0.94</v>
      </c>
      <c r="F164" s="172">
        <f t="shared" si="2"/>
        <v>11848.624912799998</v>
      </c>
    </row>
    <row r="165" spans="1:6" s="148" customFormat="1" ht="15" thickBot="1" x14ac:dyDescent="0.35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8" customFormat="1" ht="15" thickBot="1" x14ac:dyDescent="0.35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" thickBot="1" x14ac:dyDescent="0.35">
      <c r="E167" s="128" t="s">
        <v>333</v>
      </c>
      <c r="F167" s="128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H14"/>
  <sheetViews>
    <sheetView workbookViewId="0">
      <selection activeCell="G13" sqref="G13"/>
    </sheetView>
  </sheetViews>
  <sheetFormatPr defaultRowHeight="14.4" x14ac:dyDescent="0.3"/>
  <cols>
    <col min="1" max="1" width="33.109375" customWidth="1"/>
    <col min="2" max="4" width="15.88671875" customWidth="1"/>
  </cols>
  <sheetData>
    <row r="1" spans="1:8" s="118" customFormat="1" ht="39" customHeight="1" thickBot="1" x14ac:dyDescent="0.5">
      <c r="A1" s="304" t="s">
        <v>547</v>
      </c>
      <c r="B1" s="304"/>
      <c r="C1" s="304"/>
      <c r="D1" s="304"/>
      <c r="E1" s="103"/>
      <c r="F1" s="103"/>
      <c r="G1" s="103"/>
      <c r="H1" s="103"/>
    </row>
    <row r="2" spans="1:8" ht="35.25" customHeight="1" thickBot="1" x14ac:dyDescent="0.35">
      <c r="A2" s="140"/>
      <c r="B2" s="141" t="s">
        <v>548</v>
      </c>
      <c r="C2" s="141" t="s">
        <v>549</v>
      </c>
      <c r="D2" s="141" t="s">
        <v>550</v>
      </c>
    </row>
    <row r="3" spans="1:8" ht="26.25" customHeight="1" thickBot="1" x14ac:dyDescent="0.35">
      <c r="A3" s="142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5">
      <c r="A4" s="142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5">
      <c r="A5" s="142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5">
      <c r="A6" s="142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5">
      <c r="A7" s="142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5">
      <c r="A8" s="142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5">
      <c r="A9" s="142" t="s">
        <v>504</v>
      </c>
      <c r="B9" s="82">
        <f>'VENTILATION LOAD'!P8</f>
        <v>42537.572</v>
      </c>
      <c r="C9" s="82">
        <f>'VENTILATION LOAD'!Q8</f>
        <v>83456.651898000026</v>
      </c>
      <c r="D9" s="82">
        <f t="shared" si="0"/>
        <v>125994.22389800003</v>
      </c>
    </row>
    <row r="10" spans="1:8" ht="26.25" customHeight="1" thickBot="1" x14ac:dyDescent="0.35">
      <c r="A10" s="142" t="s">
        <v>503</v>
      </c>
      <c r="B10" s="82">
        <f>'OCCUPANT LOAD'!O8</f>
        <v>19716.98</v>
      </c>
      <c r="C10" s="82">
        <f>'OCCUPANT LOAD'!P8</f>
        <v>10453.359999999999</v>
      </c>
      <c r="D10" s="82">
        <f t="shared" ref="D10:D12" si="1">B10+C10</f>
        <v>30170.339999999997</v>
      </c>
    </row>
    <row r="11" spans="1:8" ht="26.25" customHeight="1" thickBot="1" x14ac:dyDescent="0.35">
      <c r="A11" s="142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5">
      <c r="A12" s="142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5">
      <c r="A13" s="143" t="s">
        <v>540</v>
      </c>
      <c r="B13" s="144">
        <f>SUM(B3:B12)</f>
        <v>399922.54750221182</v>
      </c>
      <c r="C13" s="144">
        <f>SUM(C3:C12)</f>
        <v>141776.5775173794</v>
      </c>
      <c r="D13" s="145">
        <f>B13+C13</f>
        <v>541699.12501959119</v>
      </c>
    </row>
    <row r="14" spans="1:8" x14ac:dyDescent="0.3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>
    <tabColor rgb="FF7030A0"/>
  </sheetPr>
  <dimension ref="A1:BC106"/>
  <sheetViews>
    <sheetView zoomScale="70" zoomScaleNormal="70" workbookViewId="0">
      <selection activeCell="L6" sqref="L6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55" x14ac:dyDescent="0.3">
      <c r="A1" t="s">
        <v>94</v>
      </c>
      <c r="J1" t="s">
        <v>99</v>
      </c>
      <c r="L1">
        <v>2.8721999999999999</v>
      </c>
    </row>
    <row r="2" spans="1:55" x14ac:dyDescent="0.3">
      <c r="A2" t="s">
        <v>95</v>
      </c>
      <c r="J2" t="s">
        <v>100</v>
      </c>
      <c r="L2">
        <v>2.8210999999999999</v>
      </c>
      <c r="S2" s="5" t="s">
        <v>43</v>
      </c>
      <c r="T2" s="3"/>
      <c r="Y2" s="287" t="s">
        <v>297</v>
      </c>
      <c r="Z2" s="287"/>
      <c r="AB2" t="s">
        <v>298</v>
      </c>
      <c r="AD2" s="287" t="s">
        <v>318</v>
      </c>
      <c r="AE2" s="287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3">
      <c r="A3" s="287" t="s">
        <v>96</v>
      </c>
      <c r="B3" s="287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5" t="s">
        <v>53</v>
      </c>
      <c r="BB3" s="115" t="s">
        <v>53</v>
      </c>
      <c r="BC3" s="115" t="s">
        <v>53</v>
      </c>
    </row>
    <row r="4" spans="1:55" x14ac:dyDescent="0.3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6">
        <v>37.438600000000001</v>
      </c>
      <c r="BB4" s="116">
        <v>34.276899999999998</v>
      </c>
      <c r="BC4" s="116">
        <v>34.276899999999998</v>
      </c>
    </row>
    <row r="5" spans="1:55" x14ac:dyDescent="0.3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6">
        <v>9.6511999999999993</v>
      </c>
      <c r="BB5" s="116">
        <v>34.26</v>
      </c>
      <c r="BC5" s="116">
        <v>34.26</v>
      </c>
    </row>
    <row r="6" spans="1:55" x14ac:dyDescent="0.3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6">
        <v>7.8174999999999999</v>
      </c>
      <c r="BB6" s="116">
        <v>34.29</v>
      </c>
      <c r="BC6" s="116">
        <v>37.408700000000003</v>
      </c>
    </row>
    <row r="7" spans="1:55" x14ac:dyDescent="0.3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6">
        <v>16.3095</v>
      </c>
      <c r="BB7" s="116">
        <v>34.1175</v>
      </c>
      <c r="BC7" s="116">
        <v>37.408700000000003</v>
      </c>
    </row>
    <row r="8" spans="1:55" x14ac:dyDescent="0.3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6">
        <v>18.299099999999999</v>
      </c>
      <c r="BB8" s="116">
        <v>13.6738</v>
      </c>
      <c r="BC8" s="116">
        <v>34.26</v>
      </c>
    </row>
    <row r="9" spans="1:55" x14ac:dyDescent="0.3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6">
        <v>18.346399999999999</v>
      </c>
      <c r="BB9" s="116">
        <v>13.9206</v>
      </c>
      <c r="BC9" s="116">
        <v>34.26</v>
      </c>
    </row>
    <row r="10" spans="1:55" x14ac:dyDescent="0.3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6">
        <v>23.3886</v>
      </c>
      <c r="BB10" s="116">
        <v>13.875400000000001</v>
      </c>
      <c r="BC10" s="116">
        <v>10.1393</v>
      </c>
    </row>
    <row r="11" spans="1:55" x14ac:dyDescent="0.3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6">
        <v>5.61</v>
      </c>
      <c r="BB11" s="116">
        <v>30.712</v>
      </c>
      <c r="BC11" s="116">
        <v>13.9222</v>
      </c>
    </row>
    <row r="12" spans="1:5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6">
        <v>42.192500000000003</v>
      </c>
      <c r="BB12" s="116">
        <v>17.941299999999998</v>
      </c>
      <c r="BC12" s="116">
        <v>13.873799999999999</v>
      </c>
    </row>
    <row r="13" spans="1:55" x14ac:dyDescent="0.3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8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6">
        <v>19.637799999999999</v>
      </c>
      <c r="BB13" s="116">
        <v>22.829000000000001</v>
      </c>
      <c r="BC13" s="116">
        <v>30.712</v>
      </c>
    </row>
    <row r="14" spans="1:55" x14ac:dyDescent="0.3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6">
        <v>31.289300000000001</v>
      </c>
      <c r="BB14" s="116">
        <v>4.7869000000000002</v>
      </c>
      <c r="BC14" s="116">
        <v>17.941299999999998</v>
      </c>
    </row>
    <row r="15" spans="1:55" x14ac:dyDescent="0.3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6">
        <v>3.9771999999999998</v>
      </c>
      <c r="BB15" s="116">
        <v>2.4581</v>
      </c>
      <c r="BC15" s="116">
        <v>22.829000000000001</v>
      </c>
    </row>
    <row r="16" spans="1:5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6">
        <v>20.748699999999999</v>
      </c>
      <c r="BB16" s="116">
        <v>13.8735</v>
      </c>
      <c r="BC16" s="116">
        <v>4.7869000000000002</v>
      </c>
    </row>
    <row r="17" spans="1:55" x14ac:dyDescent="0.3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8">
        <f>3.7*4</f>
        <v>14.8</v>
      </c>
      <c r="AO17">
        <v>0</v>
      </c>
      <c r="AP17">
        <v>1.4</v>
      </c>
      <c r="AQ17" s="118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6">
        <v>17.9512</v>
      </c>
      <c r="BB17" s="116">
        <v>13.892799999999999</v>
      </c>
      <c r="BC17" s="116">
        <v>2.4581</v>
      </c>
    </row>
    <row r="18" spans="1:55" x14ac:dyDescent="0.3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6">
        <v>18.630800000000001</v>
      </c>
      <c r="BB18" s="116">
        <v>13.7066</v>
      </c>
      <c r="BC18" s="116">
        <v>13.8735</v>
      </c>
    </row>
    <row r="19" spans="1:55" x14ac:dyDescent="0.3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6">
        <v>17.137799999999999</v>
      </c>
      <c r="BB19" s="116">
        <v>11.052199999999999</v>
      </c>
      <c r="BC19" s="116">
        <v>13.892799999999999</v>
      </c>
    </row>
    <row r="20" spans="1:55" x14ac:dyDescent="0.3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6">
        <v>11.606199999999999</v>
      </c>
      <c r="BB20" s="116">
        <v>13.6813</v>
      </c>
      <c r="BC20" s="116">
        <v>10.1716</v>
      </c>
    </row>
    <row r="21" spans="1:55" x14ac:dyDescent="0.3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6">
        <v>130.9682</v>
      </c>
      <c r="BB21" s="116">
        <v>18.7319</v>
      </c>
      <c r="BC21" s="116">
        <v>15.8619</v>
      </c>
    </row>
    <row r="22" spans="1:55" x14ac:dyDescent="0.3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6">
        <v>32.86</v>
      </c>
      <c r="BB22" s="116">
        <v>25.372</v>
      </c>
      <c r="BC22" s="116">
        <v>15.8619</v>
      </c>
    </row>
    <row r="23" spans="1:55" x14ac:dyDescent="0.3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6">
        <v>12.6775</v>
      </c>
      <c r="BB23" s="116">
        <v>25.48</v>
      </c>
      <c r="BC23" s="116">
        <v>24.783000000000001</v>
      </c>
    </row>
    <row r="24" spans="1:55" x14ac:dyDescent="0.3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6">
        <v>14.3811</v>
      </c>
      <c r="BB24" s="116">
        <v>13.751200000000001</v>
      </c>
      <c r="BC24" s="116">
        <v>24.890899999999998</v>
      </c>
    </row>
    <row r="25" spans="1:55" x14ac:dyDescent="0.3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6">
        <v>14.3811</v>
      </c>
      <c r="BB25" s="116">
        <v>38.453699999999998</v>
      </c>
      <c r="BC25" s="116">
        <v>13.6813</v>
      </c>
    </row>
    <row r="26" spans="1:55" x14ac:dyDescent="0.3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6">
        <v>14.435600000000001</v>
      </c>
      <c r="BB26" s="116">
        <v>25.372</v>
      </c>
      <c r="BC26" s="116">
        <v>13.751200000000001</v>
      </c>
    </row>
    <row r="27" spans="1:55" x14ac:dyDescent="0.3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6">
        <v>14.435600000000001</v>
      </c>
      <c r="BB27" s="116">
        <v>25.48</v>
      </c>
      <c r="BC27" s="116">
        <v>16.011199999999999</v>
      </c>
    </row>
    <row r="28" spans="1:55" x14ac:dyDescent="0.3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6">
        <v>5.4874999999999998</v>
      </c>
      <c r="BB28" s="116">
        <v>13.751200000000001</v>
      </c>
      <c r="BC28" s="116">
        <v>16.011199999999999</v>
      </c>
    </row>
    <row r="29" spans="1:55" x14ac:dyDescent="0.3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6">
        <v>5.51</v>
      </c>
      <c r="BB29" s="116">
        <v>13.751200000000001</v>
      </c>
      <c r="BC29" s="116">
        <v>13.751200000000001</v>
      </c>
    </row>
    <row r="30" spans="1:5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6">
        <v>5.6363000000000003</v>
      </c>
      <c r="BB30" s="116">
        <v>21.361599999999999</v>
      </c>
      <c r="BC30" s="116">
        <v>13.751200000000001</v>
      </c>
    </row>
    <row r="31" spans="1:55" x14ac:dyDescent="0.3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6">
        <v>5.5202999999999998</v>
      </c>
      <c r="BB31" s="116">
        <v>31.438800000000001</v>
      </c>
      <c r="BC31" s="116">
        <v>23.482900000000001</v>
      </c>
    </row>
    <row r="32" spans="1:55" x14ac:dyDescent="0.3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6">
        <v>9.1492000000000004</v>
      </c>
      <c r="BB32" s="116">
        <v>34.986199999999997</v>
      </c>
      <c r="BC32" s="116">
        <v>10.757199999999999</v>
      </c>
    </row>
    <row r="33" spans="1:55" x14ac:dyDescent="0.3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6">
        <v>4.9522000000000004</v>
      </c>
      <c r="BB33" s="116">
        <v>5.4111000000000002</v>
      </c>
      <c r="BC33" s="116">
        <v>11.315</v>
      </c>
    </row>
    <row r="34" spans="1:55" x14ac:dyDescent="0.3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6">
        <v>25.253799999999998</v>
      </c>
      <c r="BB34" s="116">
        <v>25.7486</v>
      </c>
      <c r="BC34" s="116">
        <v>13.308299999999999</v>
      </c>
    </row>
    <row r="35" spans="1:55" x14ac:dyDescent="0.3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6">
        <v>14.3811</v>
      </c>
      <c r="BB35" s="116">
        <v>16.799399999999999</v>
      </c>
      <c r="BC35" s="116">
        <v>11.087199999999999</v>
      </c>
    </row>
    <row r="36" spans="1:55" x14ac:dyDescent="0.3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6">
        <v>14.3811</v>
      </c>
      <c r="BB36" s="116">
        <v>16.799900000000001</v>
      </c>
      <c r="BC36" s="116">
        <v>8.2750000000000004</v>
      </c>
    </row>
    <row r="37" spans="1:55" x14ac:dyDescent="0.3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6">
        <v>10.417999999999999</v>
      </c>
      <c r="BB37" s="116">
        <v>10.2258</v>
      </c>
      <c r="BC37" s="116">
        <v>13.467499999999999</v>
      </c>
    </row>
    <row r="38" spans="1:55" x14ac:dyDescent="0.3">
      <c r="A38" s="287" t="s">
        <v>98</v>
      </c>
      <c r="B38" s="287"/>
      <c r="C38" s="287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6">
        <v>9.9804999999999993</v>
      </c>
      <c r="BB38" s="116">
        <v>19.000699999999998</v>
      </c>
      <c r="BC38" s="116">
        <v>183.94380000000001</v>
      </c>
    </row>
    <row r="39" spans="1:55" x14ac:dyDescent="0.3">
      <c r="A39" s="287" t="s">
        <v>97</v>
      </c>
      <c r="B39" s="287"/>
      <c r="C39" s="287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8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6">
        <v>14.435600000000001</v>
      </c>
      <c r="BB39" s="116">
        <v>14.987500000000001</v>
      </c>
      <c r="BC39" s="116">
        <v>58.860100000000003</v>
      </c>
    </row>
    <row r="40" spans="1:55" x14ac:dyDescent="0.3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8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6">
        <v>14.435600000000001</v>
      </c>
      <c r="BB40" s="116">
        <v>21.6006</v>
      </c>
      <c r="BC40" s="116">
        <v>17.4452</v>
      </c>
    </row>
    <row r="41" spans="1:55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6">
        <v>656.17899999999997</v>
      </c>
      <c r="BB41" s="116">
        <v>23.600300000000001</v>
      </c>
      <c r="BC41" s="116">
        <v>17.480599999999999</v>
      </c>
    </row>
    <row r="42" spans="1:55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6">
        <v>8.4309999999999992</v>
      </c>
      <c r="BB42" s="116">
        <v>35.042499999999997</v>
      </c>
      <c r="BC42" s="116">
        <v>43.5914</v>
      </c>
    </row>
    <row r="43" spans="1:55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6">
        <v>8.3137000000000008</v>
      </c>
      <c r="BB43" s="116">
        <v>5.6912000000000003</v>
      </c>
      <c r="BC43" s="116">
        <v>10.900600000000001</v>
      </c>
    </row>
    <row r="44" spans="1:55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7">
        <v>0.8</v>
      </c>
      <c r="AX44" s="85">
        <v>1.2</v>
      </c>
      <c r="AY44" s="85">
        <v>1.2</v>
      </c>
      <c r="BA44" s="116">
        <v>8.4375</v>
      </c>
      <c r="BB44" s="116">
        <v>4.1337999999999999</v>
      </c>
      <c r="BC44" s="116">
        <v>10.783099999999999</v>
      </c>
    </row>
    <row r="45" spans="1:55" x14ac:dyDescent="0.3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7">
        <v>0.9</v>
      </c>
      <c r="AX45" s="85">
        <v>0.7</v>
      </c>
      <c r="AY45" s="85">
        <v>0.7</v>
      </c>
      <c r="BA45" s="116">
        <v>13.606999999999999</v>
      </c>
      <c r="BB45" s="116">
        <v>12.91</v>
      </c>
      <c r="BC45" s="116">
        <v>9.4162999999999997</v>
      </c>
    </row>
    <row r="46" spans="1:55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6">
        <v>17.259899999999998</v>
      </c>
      <c r="BB46" s="116">
        <v>7.4783999999999997</v>
      </c>
      <c r="BC46" s="116">
        <v>26.995799999999999</v>
      </c>
    </row>
    <row r="47" spans="1:55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6">
        <v>17.1267</v>
      </c>
      <c r="BB47" s="116">
        <v>17.520700000000001</v>
      </c>
      <c r="BC47" s="116">
        <v>808.0077</v>
      </c>
    </row>
    <row r="48" spans="1:55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6">
        <v>8.5710999999999995</v>
      </c>
      <c r="BB48" s="116">
        <v>2.8</v>
      </c>
    </row>
    <row r="49" spans="1:54" x14ac:dyDescent="0.3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6">
        <v>13.5984</v>
      </c>
      <c r="BB49" s="116">
        <v>2.8</v>
      </c>
    </row>
    <row r="50" spans="1:54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6">
        <v>17.0428</v>
      </c>
      <c r="BB50" s="116">
        <v>2.8</v>
      </c>
    </row>
    <row r="51" spans="1:54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6">
        <v>10.441700000000001</v>
      </c>
      <c r="BB51" s="116">
        <v>41.302100000000003</v>
      </c>
    </row>
    <row r="52" spans="1:54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6">
        <v>11.591900000000001</v>
      </c>
      <c r="BB52" s="116">
        <v>46.974200000000003</v>
      </c>
    </row>
    <row r="53" spans="1:54" x14ac:dyDescent="0.3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6">
        <v>19.076899999999998</v>
      </c>
      <c r="BB53" s="122">
        <v>684.91673000000003</v>
      </c>
    </row>
    <row r="54" spans="1:54" x14ac:dyDescent="0.3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6">
        <v>34.215200000000003</v>
      </c>
    </row>
    <row r="55" spans="1:54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6">
        <v>2.5941000000000001</v>
      </c>
    </row>
    <row r="56" spans="1:54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8">
        <v>0</v>
      </c>
      <c r="AH56" s="118">
        <v>0</v>
      </c>
      <c r="AI56" s="118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6">
        <v>1.9624999999999999</v>
      </c>
    </row>
    <row r="57" spans="1:54" x14ac:dyDescent="0.3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6">
        <v>5.7183999999999999</v>
      </c>
    </row>
    <row r="58" spans="1:54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6">
        <v>9.2249999999999996</v>
      </c>
    </row>
    <row r="59" spans="1:54" x14ac:dyDescent="0.3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6">
        <v>38.032499999999999</v>
      </c>
    </row>
    <row r="60" spans="1:54" x14ac:dyDescent="0.3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7">
        <v>2</v>
      </c>
      <c r="AX60" s="85">
        <v>0.9</v>
      </c>
      <c r="AY60" s="85">
        <v>1.6</v>
      </c>
      <c r="BA60" s="116">
        <v>50.888100000000001</v>
      </c>
    </row>
    <row r="61" spans="1:54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6">
        <v>27.005600000000001</v>
      </c>
    </row>
    <row r="62" spans="1:54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6">
        <v>181.69919999999999</v>
      </c>
    </row>
    <row r="63" spans="1:54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3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3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3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3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3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3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3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3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3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3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3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3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3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3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3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3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3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3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3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3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3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3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3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3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3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3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3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3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3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3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3">
      <c r="AK98">
        <v>0.8</v>
      </c>
      <c r="AL98">
        <v>0</v>
      </c>
      <c r="AM98">
        <f>2.88*4</f>
        <v>11.52</v>
      </c>
    </row>
    <row r="99" spans="37:43" x14ac:dyDescent="0.3">
      <c r="AK99">
        <v>0</v>
      </c>
      <c r="AL99">
        <v>2</v>
      </c>
      <c r="AM99">
        <f>2.25*4</f>
        <v>9</v>
      </c>
    </row>
    <row r="100" spans="37:43" x14ac:dyDescent="0.3">
      <c r="AK100">
        <v>0</v>
      </c>
      <c r="AL100">
        <v>1.4</v>
      </c>
      <c r="AM100">
        <f>4.55*4</f>
        <v>18.2</v>
      </c>
    </row>
    <row r="101" spans="37:43" x14ac:dyDescent="0.3">
      <c r="AK101">
        <v>0</v>
      </c>
      <c r="AL101">
        <v>1.6</v>
      </c>
      <c r="AM101">
        <f>2.88*4</f>
        <v>11.52</v>
      </c>
    </row>
    <row r="102" spans="37:43" x14ac:dyDescent="0.3">
      <c r="AK102">
        <v>0.8</v>
      </c>
      <c r="AL102">
        <v>1.8</v>
      </c>
      <c r="AM102">
        <f>6.28*4</f>
        <v>25.12</v>
      </c>
    </row>
    <row r="103" spans="37:43" x14ac:dyDescent="0.3">
      <c r="AK103">
        <v>0</v>
      </c>
      <c r="AL103">
        <v>1.2</v>
      </c>
      <c r="AM103">
        <f>1.55*4</f>
        <v>6.2</v>
      </c>
    </row>
    <row r="104" spans="37:43" x14ac:dyDescent="0.3">
      <c r="AK104">
        <v>0</v>
      </c>
      <c r="AL104">
        <v>1.2</v>
      </c>
      <c r="AM104">
        <f>1.55*4</f>
        <v>6.2</v>
      </c>
    </row>
    <row r="105" spans="37:43" x14ac:dyDescent="0.3">
      <c r="AK105">
        <v>0</v>
      </c>
      <c r="AL105">
        <v>1.2</v>
      </c>
      <c r="AM105">
        <f>6.05*4</f>
        <v>24.2</v>
      </c>
    </row>
    <row r="106" spans="37:43" x14ac:dyDescent="0.3">
      <c r="AK106">
        <v>0</v>
      </c>
      <c r="AL106">
        <v>3.4</v>
      </c>
      <c r="AM106">
        <f>16*4</f>
        <v>64</v>
      </c>
    </row>
  </sheetData>
  <autoFilter ref="A4:B36" xr:uid="{00000000-0009-0000-0000-00000B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M41"/>
  <sheetViews>
    <sheetView topLeftCell="A7" zoomScale="70" zoomScaleNormal="70" workbookViewId="0">
      <selection activeCell="G46" sqref="G46"/>
    </sheetView>
  </sheetViews>
  <sheetFormatPr defaultColWidth="9.109375" defaultRowHeight="15" x14ac:dyDescent="0.3"/>
  <cols>
    <col min="1" max="1" width="17.88671875" style="182" customWidth="1"/>
    <col min="2" max="2" width="35" style="182" customWidth="1"/>
    <col min="3" max="3" width="20.5546875" style="182" customWidth="1"/>
    <col min="4" max="4" width="13.33203125" style="183" customWidth="1"/>
    <col min="5" max="5" width="18.6640625" style="184" customWidth="1"/>
    <col min="6" max="6" width="17.88671875" style="182" customWidth="1"/>
    <col min="7" max="16384" width="9.109375" style="182"/>
  </cols>
  <sheetData>
    <row r="1" spans="1:13" ht="15.6" x14ac:dyDescent="0.3">
      <c r="A1" s="207" t="s">
        <v>0</v>
      </c>
      <c r="B1" s="207" t="s">
        <v>586</v>
      </c>
      <c r="C1" s="208" t="s">
        <v>556</v>
      </c>
      <c r="D1" s="209" t="s">
        <v>587</v>
      </c>
      <c r="E1" s="210" t="s">
        <v>588</v>
      </c>
      <c r="F1" s="207"/>
      <c r="G1" s="207"/>
      <c r="H1" s="207"/>
      <c r="I1" s="207"/>
      <c r="J1" s="207"/>
      <c r="K1" s="207"/>
      <c r="L1" s="207"/>
      <c r="M1" s="207"/>
    </row>
    <row r="2" spans="1:13" x14ac:dyDescent="0.3">
      <c r="A2" s="196" t="s">
        <v>589</v>
      </c>
      <c r="B2" s="196">
        <v>4.2506000000000004</v>
      </c>
      <c r="C2" s="197">
        <f t="shared" ref="C2:C12" si="0">B2*15.850372483753</f>
        <v>67.373593279440513</v>
      </c>
      <c r="D2" s="198">
        <v>2.5</v>
      </c>
      <c r="E2" s="199">
        <f>D2*25.4</f>
        <v>63.5</v>
      </c>
      <c r="F2" s="196"/>
      <c r="G2" s="196"/>
      <c r="H2" s="196"/>
      <c r="I2" s="196"/>
      <c r="J2" s="196"/>
      <c r="K2" s="196"/>
      <c r="L2" s="196"/>
      <c r="M2" s="196"/>
    </row>
    <row r="3" spans="1:13" x14ac:dyDescent="0.3">
      <c r="A3" s="196" t="s">
        <v>590</v>
      </c>
      <c r="B3" s="196">
        <v>0.89680000000000004</v>
      </c>
      <c r="C3" s="197">
        <f t="shared" si="0"/>
        <v>14.214614043429691</v>
      </c>
      <c r="D3" s="198">
        <v>1.25</v>
      </c>
      <c r="E3" s="199">
        <f t="shared" ref="E3:E34" si="1">D3*25.4</f>
        <v>31.75</v>
      </c>
      <c r="F3" s="196"/>
      <c r="G3" s="196"/>
      <c r="H3" s="196"/>
      <c r="I3" s="196"/>
      <c r="J3" s="196"/>
      <c r="K3" s="196"/>
      <c r="L3" s="196"/>
      <c r="M3" s="196"/>
    </row>
    <row r="4" spans="1:13" x14ac:dyDescent="0.3">
      <c r="A4" s="196" t="s">
        <v>72</v>
      </c>
      <c r="B4" s="196">
        <v>7.1400000000000005E-2</v>
      </c>
      <c r="C4" s="197">
        <f t="shared" si="0"/>
        <v>1.1317165953399644</v>
      </c>
      <c r="D4" s="198">
        <v>0.25</v>
      </c>
      <c r="E4" s="199">
        <f t="shared" si="1"/>
        <v>6.35</v>
      </c>
      <c r="F4" s="196"/>
      <c r="G4" s="196"/>
      <c r="H4" s="196"/>
      <c r="I4" s="196"/>
      <c r="J4" s="196"/>
      <c r="K4" s="196"/>
      <c r="L4" s="196"/>
      <c r="M4" s="196"/>
    </row>
    <row r="5" spans="1:13" x14ac:dyDescent="0.3">
      <c r="A5" s="196" t="s">
        <v>75</v>
      </c>
      <c r="B5" s="196">
        <v>7.1400000000000005E-2</v>
      </c>
      <c r="C5" s="197">
        <f t="shared" si="0"/>
        <v>1.1317165953399644</v>
      </c>
      <c r="D5" s="198">
        <v>0.25</v>
      </c>
      <c r="E5" s="199">
        <f t="shared" si="1"/>
        <v>6.35</v>
      </c>
      <c r="F5" s="196"/>
      <c r="G5" s="196"/>
      <c r="H5" s="196"/>
      <c r="I5" s="196"/>
      <c r="J5" s="196"/>
      <c r="K5" s="196"/>
      <c r="L5" s="196"/>
      <c r="M5" s="196"/>
    </row>
    <row r="6" spans="1:13" x14ac:dyDescent="0.3">
      <c r="A6" s="196" t="s">
        <v>76</v>
      </c>
      <c r="B6" s="196">
        <v>7.1400000000000005E-2</v>
      </c>
      <c r="C6" s="197">
        <f t="shared" si="0"/>
        <v>1.1317165953399644</v>
      </c>
      <c r="D6" s="198">
        <v>0.25</v>
      </c>
      <c r="E6" s="199">
        <f t="shared" si="1"/>
        <v>6.35</v>
      </c>
      <c r="F6" s="196"/>
      <c r="G6" s="196"/>
      <c r="H6" s="196"/>
      <c r="I6" s="196"/>
      <c r="J6" s="196"/>
      <c r="K6" s="196"/>
      <c r="L6" s="196"/>
      <c r="M6" s="196"/>
    </row>
    <row r="7" spans="1:13" x14ac:dyDescent="0.3">
      <c r="A7" s="200" t="s">
        <v>309</v>
      </c>
      <c r="B7" s="200">
        <v>7.1400000000000005E-2</v>
      </c>
      <c r="C7" s="197">
        <f t="shared" si="0"/>
        <v>1.1317165953399644</v>
      </c>
      <c r="D7" s="198">
        <v>0.25</v>
      </c>
      <c r="E7" s="199">
        <f t="shared" si="1"/>
        <v>6.35</v>
      </c>
    </row>
    <row r="8" spans="1:13" x14ac:dyDescent="0.3">
      <c r="A8" s="200" t="s">
        <v>310</v>
      </c>
      <c r="B8" s="200">
        <v>7.1400000000000005E-2</v>
      </c>
      <c r="C8" s="197">
        <f t="shared" si="0"/>
        <v>1.1317165953399644</v>
      </c>
      <c r="D8" s="198">
        <v>0.25</v>
      </c>
      <c r="E8" s="199">
        <f t="shared" si="1"/>
        <v>6.35</v>
      </c>
    </row>
    <row r="9" spans="1:13" x14ac:dyDescent="0.3">
      <c r="A9" s="200" t="s">
        <v>189</v>
      </c>
      <c r="B9" s="200">
        <v>0.107</v>
      </c>
      <c r="C9" s="197">
        <f t="shared" si="0"/>
        <v>1.6959898557615709</v>
      </c>
      <c r="D9" s="198">
        <v>0.375</v>
      </c>
      <c r="E9" s="199">
        <f t="shared" si="1"/>
        <v>9.5249999999999986</v>
      </c>
    </row>
    <row r="10" spans="1:13" x14ac:dyDescent="0.3">
      <c r="A10" s="200" t="s">
        <v>190</v>
      </c>
      <c r="B10" s="200">
        <v>0.107</v>
      </c>
      <c r="C10" s="197">
        <f t="shared" si="0"/>
        <v>1.6959898557615709</v>
      </c>
      <c r="D10" s="198">
        <v>0.375</v>
      </c>
      <c r="E10" s="199">
        <f t="shared" si="1"/>
        <v>9.5249999999999986</v>
      </c>
    </row>
    <row r="11" spans="1:13" x14ac:dyDescent="0.3">
      <c r="A11" s="200" t="s">
        <v>306</v>
      </c>
      <c r="B11" s="200">
        <v>0.107</v>
      </c>
      <c r="C11" s="197">
        <f t="shared" si="0"/>
        <v>1.6959898557615709</v>
      </c>
      <c r="D11" s="198">
        <v>0.375</v>
      </c>
      <c r="E11" s="199">
        <f t="shared" si="1"/>
        <v>9.5249999999999986</v>
      </c>
    </row>
    <row r="12" spans="1:13" x14ac:dyDescent="0.3">
      <c r="A12" s="200" t="s">
        <v>307</v>
      </c>
      <c r="B12" s="200">
        <v>0.107</v>
      </c>
      <c r="C12" s="197">
        <f t="shared" si="0"/>
        <v>1.6959898557615709</v>
      </c>
      <c r="D12" s="198">
        <v>0.375</v>
      </c>
      <c r="E12" s="199">
        <f t="shared" si="1"/>
        <v>9.5249999999999986</v>
      </c>
    </row>
    <row r="13" spans="1:13" x14ac:dyDescent="0.3">
      <c r="A13" s="200" t="s">
        <v>185</v>
      </c>
      <c r="B13" s="200">
        <v>0.1784</v>
      </c>
      <c r="C13" s="197">
        <f>B13*15.850372483753</f>
        <v>2.8277064511015353</v>
      </c>
      <c r="D13" s="198">
        <v>0.5</v>
      </c>
      <c r="E13" s="199">
        <f t="shared" si="1"/>
        <v>12.7</v>
      </c>
    </row>
    <row r="14" spans="1:13" x14ac:dyDescent="0.3">
      <c r="A14" s="200" t="s">
        <v>174</v>
      </c>
      <c r="B14" s="200">
        <v>0.14269999999999999</v>
      </c>
      <c r="C14" s="197">
        <f>B14*15.850372483753</f>
        <v>2.2618481534315529</v>
      </c>
      <c r="D14" s="198">
        <v>0.375</v>
      </c>
      <c r="E14" s="199">
        <f t="shared" si="1"/>
        <v>9.5249999999999986</v>
      </c>
    </row>
    <row r="15" spans="1:13" x14ac:dyDescent="0.3">
      <c r="A15" s="200" t="s">
        <v>173</v>
      </c>
      <c r="B15" s="200">
        <v>0.21410000000000001</v>
      </c>
      <c r="C15" s="197">
        <f>B15*15.850372483753</f>
        <v>3.3935647487715177</v>
      </c>
      <c r="D15" s="198">
        <v>0.5</v>
      </c>
      <c r="E15" s="199">
        <f t="shared" si="1"/>
        <v>12.7</v>
      </c>
    </row>
    <row r="16" spans="1:13" x14ac:dyDescent="0.3">
      <c r="A16" s="200" t="s">
        <v>183</v>
      </c>
      <c r="B16" s="200">
        <v>0.1784</v>
      </c>
      <c r="C16" s="197">
        <f>B16*15.850372483753</f>
        <v>2.8277064511015353</v>
      </c>
      <c r="D16" s="198">
        <v>0.5</v>
      </c>
      <c r="E16" s="199">
        <f t="shared" si="1"/>
        <v>12.7</v>
      </c>
    </row>
    <row r="17" spans="1:5" x14ac:dyDescent="0.3">
      <c r="A17" s="200" t="s">
        <v>182</v>
      </c>
      <c r="B17" s="200">
        <v>0.107</v>
      </c>
      <c r="C17" s="197">
        <f t="shared" ref="C17:C34" si="2">B17*15.850372483753</f>
        <v>1.6959898557615709</v>
      </c>
      <c r="D17" s="198">
        <v>0.375</v>
      </c>
      <c r="E17" s="199">
        <f t="shared" si="1"/>
        <v>9.5249999999999986</v>
      </c>
    </row>
    <row r="18" spans="1:5" x14ac:dyDescent="0.3">
      <c r="A18" s="200" t="s">
        <v>304</v>
      </c>
      <c r="B18" s="200">
        <v>0.107</v>
      </c>
      <c r="C18" s="197">
        <f t="shared" si="2"/>
        <v>1.6959898557615709</v>
      </c>
      <c r="D18" s="198">
        <v>0.375</v>
      </c>
      <c r="E18" s="199">
        <f t="shared" si="1"/>
        <v>9.5249999999999986</v>
      </c>
    </row>
    <row r="19" spans="1:5" x14ac:dyDescent="0.3">
      <c r="A19" s="200" t="s">
        <v>186</v>
      </c>
      <c r="B19" s="200">
        <v>0.107</v>
      </c>
      <c r="C19" s="197">
        <f t="shared" si="2"/>
        <v>1.6959898557615709</v>
      </c>
      <c r="D19" s="198">
        <v>0.375</v>
      </c>
      <c r="E19" s="199">
        <f t="shared" si="1"/>
        <v>9.5249999999999986</v>
      </c>
    </row>
    <row r="20" spans="1:5" x14ac:dyDescent="0.3">
      <c r="A20" s="200" t="s">
        <v>305</v>
      </c>
      <c r="B20" s="200">
        <v>0.107</v>
      </c>
      <c r="C20" s="197">
        <f t="shared" si="2"/>
        <v>1.6959898557615709</v>
      </c>
      <c r="D20" s="198">
        <v>0.375</v>
      </c>
      <c r="E20" s="199">
        <f t="shared" si="1"/>
        <v>9.5249999999999986</v>
      </c>
    </row>
    <row r="21" spans="1:5" x14ac:dyDescent="0.3">
      <c r="A21" s="200" t="s">
        <v>419</v>
      </c>
      <c r="B21" s="200">
        <v>7.1400000000000005E-2</v>
      </c>
      <c r="C21" s="197">
        <f t="shared" si="2"/>
        <v>1.1317165953399644</v>
      </c>
      <c r="D21" s="198">
        <v>0.25</v>
      </c>
      <c r="E21" s="199">
        <f t="shared" si="1"/>
        <v>6.35</v>
      </c>
    </row>
    <row r="22" spans="1:5" x14ac:dyDescent="0.3">
      <c r="A22" s="200" t="s">
        <v>418</v>
      </c>
      <c r="B22" s="200">
        <v>7.1400000000000005E-2</v>
      </c>
      <c r="C22" s="197">
        <f t="shared" si="2"/>
        <v>1.1317165953399644</v>
      </c>
      <c r="D22" s="198">
        <v>0.25</v>
      </c>
      <c r="E22" s="199">
        <f t="shared" si="1"/>
        <v>6.35</v>
      </c>
    </row>
    <row r="23" spans="1:5" x14ac:dyDescent="0.3">
      <c r="A23" s="305" t="s">
        <v>169</v>
      </c>
      <c r="B23" s="200">
        <v>0.107</v>
      </c>
      <c r="C23" s="197">
        <f t="shared" si="2"/>
        <v>1.6959898557615709</v>
      </c>
      <c r="D23" s="198">
        <v>0.375</v>
      </c>
      <c r="E23" s="199">
        <f t="shared" si="1"/>
        <v>9.5249999999999986</v>
      </c>
    </row>
    <row r="24" spans="1:5" x14ac:dyDescent="0.3">
      <c r="A24" s="305"/>
      <c r="B24" s="200">
        <v>0.107</v>
      </c>
      <c r="C24" s="197">
        <f t="shared" si="2"/>
        <v>1.6959898557615709</v>
      </c>
      <c r="D24" s="198">
        <v>0.375</v>
      </c>
      <c r="E24" s="199">
        <f t="shared" si="1"/>
        <v>9.5249999999999986</v>
      </c>
    </row>
    <row r="25" spans="1:5" x14ac:dyDescent="0.3">
      <c r="A25" s="200" t="s">
        <v>171</v>
      </c>
      <c r="B25" s="200">
        <v>0.107</v>
      </c>
      <c r="C25" s="197">
        <f t="shared" si="2"/>
        <v>1.6959898557615709</v>
      </c>
      <c r="D25" s="198">
        <v>0.375</v>
      </c>
      <c r="E25" s="199">
        <f t="shared" si="1"/>
        <v>9.5249999999999986</v>
      </c>
    </row>
    <row r="26" spans="1:5" x14ac:dyDescent="0.3">
      <c r="A26" s="200" t="s">
        <v>172</v>
      </c>
      <c r="B26" s="200">
        <v>0.107</v>
      </c>
      <c r="C26" s="197">
        <f t="shared" si="2"/>
        <v>1.6959898557615709</v>
      </c>
      <c r="D26" s="198">
        <v>0.375</v>
      </c>
      <c r="E26" s="199">
        <f t="shared" si="1"/>
        <v>9.5249999999999986</v>
      </c>
    </row>
    <row r="27" spans="1:5" x14ac:dyDescent="0.3">
      <c r="A27" s="305" t="s">
        <v>123</v>
      </c>
      <c r="B27" s="200">
        <v>0.107</v>
      </c>
      <c r="C27" s="197">
        <f t="shared" si="2"/>
        <v>1.6959898557615709</v>
      </c>
      <c r="D27" s="198">
        <v>0.375</v>
      </c>
      <c r="E27" s="199">
        <f t="shared" si="1"/>
        <v>9.5249999999999986</v>
      </c>
    </row>
    <row r="28" spans="1:5" x14ac:dyDescent="0.3">
      <c r="A28" s="305"/>
      <c r="B28" s="200">
        <v>0.107</v>
      </c>
      <c r="C28" s="197">
        <f t="shared" si="2"/>
        <v>1.6959898557615709</v>
      </c>
      <c r="D28" s="198">
        <v>0.375</v>
      </c>
      <c r="E28" s="199">
        <f t="shared" si="1"/>
        <v>9.5249999999999986</v>
      </c>
    </row>
    <row r="29" spans="1:5" x14ac:dyDescent="0.3">
      <c r="A29" s="306" t="s">
        <v>591</v>
      </c>
      <c r="B29" s="200">
        <v>0.107</v>
      </c>
      <c r="C29" s="197">
        <f t="shared" si="2"/>
        <v>1.6959898557615709</v>
      </c>
      <c r="D29" s="198">
        <v>0.375</v>
      </c>
      <c r="E29" s="199">
        <f t="shared" si="1"/>
        <v>9.5249999999999986</v>
      </c>
    </row>
    <row r="30" spans="1:5" x14ac:dyDescent="0.3">
      <c r="A30" s="306"/>
      <c r="B30" s="200">
        <v>0.107</v>
      </c>
      <c r="C30" s="197">
        <f t="shared" si="2"/>
        <v>1.6959898557615709</v>
      </c>
      <c r="D30" s="198">
        <v>0.375</v>
      </c>
      <c r="E30" s="199">
        <f t="shared" si="1"/>
        <v>9.5249999999999986</v>
      </c>
    </row>
    <row r="31" spans="1:5" x14ac:dyDescent="0.3">
      <c r="A31" s="306" t="s">
        <v>592</v>
      </c>
      <c r="B31" s="200">
        <v>0.107</v>
      </c>
      <c r="C31" s="197">
        <f t="shared" si="2"/>
        <v>1.6959898557615709</v>
      </c>
      <c r="D31" s="198">
        <v>0.375</v>
      </c>
      <c r="E31" s="199">
        <f t="shared" si="1"/>
        <v>9.5249999999999986</v>
      </c>
    </row>
    <row r="32" spans="1:5" x14ac:dyDescent="0.3">
      <c r="A32" s="306"/>
      <c r="B32" s="200">
        <v>0.107</v>
      </c>
      <c r="C32" s="197">
        <f t="shared" si="2"/>
        <v>1.6959898557615709</v>
      </c>
      <c r="D32" s="198">
        <v>0.375</v>
      </c>
      <c r="E32" s="199">
        <f t="shared" si="1"/>
        <v>9.5249999999999986</v>
      </c>
    </row>
    <row r="33" spans="1:5" x14ac:dyDescent="0.3">
      <c r="A33" s="200" t="s">
        <v>178</v>
      </c>
      <c r="B33" s="200">
        <v>0.107</v>
      </c>
      <c r="C33" s="197">
        <f t="shared" si="2"/>
        <v>1.6959898557615709</v>
      </c>
      <c r="D33" s="198">
        <v>0.375</v>
      </c>
      <c r="E33" s="199">
        <f t="shared" si="1"/>
        <v>9.5249999999999986</v>
      </c>
    </row>
    <row r="34" spans="1:5" x14ac:dyDescent="0.3">
      <c r="A34" s="200" t="s">
        <v>179</v>
      </c>
      <c r="B34" s="200">
        <v>0.107</v>
      </c>
      <c r="C34" s="197">
        <f t="shared" si="2"/>
        <v>1.6959898557615709</v>
      </c>
      <c r="D34" s="198">
        <v>0.375</v>
      </c>
      <c r="E34" s="199">
        <f t="shared" si="1"/>
        <v>9.5249999999999986</v>
      </c>
    </row>
    <row r="35" spans="1:5" x14ac:dyDescent="0.3">
      <c r="A35" s="196"/>
      <c r="B35" s="196"/>
      <c r="C35" s="197"/>
      <c r="D35" s="198"/>
      <c r="E35" s="199"/>
    </row>
    <row r="36" spans="1:5" x14ac:dyDescent="0.25">
      <c r="A36" s="196"/>
      <c r="B36" s="202"/>
      <c r="C36" s="197"/>
      <c r="D36" s="198"/>
      <c r="E36" s="199"/>
    </row>
    <row r="37" spans="1:5" x14ac:dyDescent="0.3">
      <c r="A37" s="196"/>
      <c r="B37" s="196"/>
      <c r="C37" s="196"/>
      <c r="D37" s="198"/>
      <c r="E37" s="199"/>
    </row>
    <row r="38" spans="1:5" x14ac:dyDescent="0.3">
      <c r="A38" s="196"/>
      <c r="B38" s="196"/>
      <c r="C38" s="196"/>
      <c r="D38" s="198"/>
      <c r="E38" s="199"/>
    </row>
    <row r="39" spans="1:5" x14ac:dyDescent="0.3">
      <c r="A39" s="196"/>
      <c r="B39" s="196"/>
      <c r="C39" s="196"/>
      <c r="D39" s="198"/>
      <c r="E39" s="199"/>
    </row>
    <row r="40" spans="1:5" x14ac:dyDescent="0.3">
      <c r="A40" s="196"/>
      <c r="B40" s="196"/>
      <c r="C40" s="196"/>
      <c r="D40" s="198"/>
      <c r="E40" s="199"/>
    </row>
    <row r="41" spans="1:5" x14ac:dyDescent="0.3">
      <c r="A41" s="196"/>
      <c r="B41" s="196"/>
      <c r="C41" s="196"/>
      <c r="D41" s="198"/>
      <c r="E41" s="199"/>
    </row>
  </sheetData>
  <mergeCells count="4">
    <mergeCell ref="A23:A24"/>
    <mergeCell ref="A27:A28"/>
    <mergeCell ref="A29:A30"/>
    <mergeCell ref="A31:A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M46"/>
  <sheetViews>
    <sheetView topLeftCell="A41" zoomScale="70" zoomScaleNormal="70" workbookViewId="0">
      <selection activeCell="B80" sqref="B80"/>
    </sheetView>
  </sheetViews>
  <sheetFormatPr defaultColWidth="9.109375" defaultRowHeight="14.4" x14ac:dyDescent="0.3"/>
  <cols>
    <col min="1" max="1" width="28.33203125" style="179" customWidth="1"/>
    <col min="2" max="2" width="14.33203125" style="179" customWidth="1"/>
    <col min="3" max="3" width="13.5546875" style="179" customWidth="1"/>
    <col min="4" max="4" width="13" style="180" customWidth="1"/>
    <col min="5" max="5" width="14" style="185" customWidth="1"/>
    <col min="6" max="16384" width="9.109375" style="179"/>
  </cols>
  <sheetData>
    <row r="1" spans="1:13" x14ac:dyDescent="0.3">
      <c r="A1" s="203" t="s">
        <v>19</v>
      </c>
      <c r="B1" s="203" t="s">
        <v>593</v>
      </c>
      <c r="C1" s="203" t="s">
        <v>556</v>
      </c>
      <c r="D1" s="204" t="s">
        <v>594</v>
      </c>
      <c r="E1" s="205" t="s">
        <v>595</v>
      </c>
      <c r="F1" s="90"/>
      <c r="G1" s="90"/>
      <c r="H1" s="90"/>
      <c r="I1" s="90"/>
      <c r="J1" s="90"/>
      <c r="K1" s="90"/>
      <c r="L1" s="90"/>
      <c r="M1" s="90"/>
    </row>
    <row r="2" spans="1:13" x14ac:dyDescent="0.3">
      <c r="A2" s="89" t="s">
        <v>596</v>
      </c>
      <c r="B2" s="89">
        <v>8.1199999999999992</v>
      </c>
      <c r="C2" s="89">
        <f>B2*15.850372483753</f>
        <v>128.70502456807435</v>
      </c>
      <c r="D2" s="191">
        <v>3.5</v>
      </c>
      <c r="E2" s="192">
        <f>25.4*D2</f>
        <v>88.899999999999991</v>
      </c>
      <c r="F2" s="91"/>
      <c r="G2" s="91"/>
      <c r="H2" s="91"/>
      <c r="I2" s="91"/>
      <c r="J2" s="91"/>
      <c r="K2" s="91"/>
      <c r="L2" s="91"/>
      <c r="M2" s="91"/>
    </row>
    <row r="3" spans="1:13" x14ac:dyDescent="0.3">
      <c r="A3" s="307" t="s">
        <v>597</v>
      </c>
      <c r="B3" s="89">
        <v>0.13020000000000001</v>
      </c>
      <c r="C3" s="89">
        <f t="shared" ref="C3:C9" si="0">B3*15.850372483753</f>
        <v>2.0637184973846407</v>
      </c>
      <c r="D3" s="191">
        <v>0.375</v>
      </c>
      <c r="E3" s="192">
        <f t="shared" ref="E3:E41" si="1">25.4*D3</f>
        <v>9.5249999999999986</v>
      </c>
      <c r="F3" s="91"/>
      <c r="G3" s="91"/>
      <c r="H3" s="91"/>
      <c r="I3" s="91"/>
      <c r="J3" s="91"/>
      <c r="K3" s="91"/>
      <c r="L3" s="91"/>
      <c r="M3" s="91"/>
    </row>
    <row r="4" spans="1:13" x14ac:dyDescent="0.3">
      <c r="A4" s="307"/>
      <c r="B4" s="89">
        <v>0.13020000000000001</v>
      </c>
      <c r="C4" s="89">
        <f t="shared" si="0"/>
        <v>2.0637184973846407</v>
      </c>
      <c r="D4" s="191">
        <v>0.375</v>
      </c>
      <c r="E4" s="192">
        <f t="shared" si="1"/>
        <v>9.5249999999999986</v>
      </c>
      <c r="F4" s="91"/>
      <c r="G4" s="91"/>
      <c r="H4" s="91"/>
      <c r="I4" s="91"/>
      <c r="J4" s="91"/>
      <c r="K4" s="91"/>
      <c r="L4" s="91"/>
      <c r="M4" s="91"/>
    </row>
    <row r="5" spans="1:13" x14ac:dyDescent="0.3">
      <c r="A5" s="307" t="s">
        <v>198</v>
      </c>
      <c r="B5" s="89">
        <v>6.9599999999999995E-2</v>
      </c>
      <c r="C5" s="89">
        <f t="shared" si="0"/>
        <v>1.1031859248692089</v>
      </c>
      <c r="D5" s="191">
        <v>0.25</v>
      </c>
      <c r="E5" s="192">
        <f t="shared" si="1"/>
        <v>6.35</v>
      </c>
      <c r="F5" s="91"/>
      <c r="G5" s="91"/>
      <c r="H5" s="91"/>
      <c r="I5" s="91"/>
      <c r="J5" s="91"/>
      <c r="K5" s="91"/>
      <c r="L5" s="91"/>
      <c r="M5" s="91"/>
    </row>
    <row r="6" spans="1:13" x14ac:dyDescent="0.3">
      <c r="A6" s="307"/>
      <c r="B6" s="89">
        <v>6.9599999999999995E-2</v>
      </c>
      <c r="C6" s="89">
        <f t="shared" si="0"/>
        <v>1.1031859248692089</v>
      </c>
      <c r="D6" s="191">
        <v>0.25</v>
      </c>
      <c r="E6" s="192">
        <f t="shared" si="1"/>
        <v>6.35</v>
      </c>
      <c r="F6" s="91"/>
      <c r="G6" s="91"/>
      <c r="H6" s="91"/>
      <c r="I6" s="91"/>
      <c r="J6" s="91"/>
      <c r="K6" s="91"/>
      <c r="L6" s="91"/>
      <c r="M6" s="91"/>
    </row>
    <row r="7" spans="1:13" x14ac:dyDescent="0.3">
      <c r="A7" s="307" t="s">
        <v>131</v>
      </c>
      <c r="B7" s="89">
        <v>0.26040000000000002</v>
      </c>
      <c r="C7" s="89">
        <f t="shared" si="0"/>
        <v>4.1274369947692815</v>
      </c>
      <c r="D7" s="191">
        <v>0.75</v>
      </c>
      <c r="E7" s="192">
        <f t="shared" si="1"/>
        <v>19.049999999999997</v>
      </c>
    </row>
    <row r="8" spans="1:13" x14ac:dyDescent="0.3">
      <c r="A8" s="307"/>
      <c r="B8" s="89">
        <v>0.26040000000000002</v>
      </c>
      <c r="C8" s="89">
        <f t="shared" si="0"/>
        <v>4.1274369947692815</v>
      </c>
      <c r="D8" s="191">
        <v>0.75</v>
      </c>
      <c r="E8" s="192">
        <f t="shared" si="1"/>
        <v>19.049999999999997</v>
      </c>
    </row>
    <row r="9" spans="1:13" x14ac:dyDescent="0.3">
      <c r="A9" s="89" t="s">
        <v>193</v>
      </c>
      <c r="B9" s="89">
        <v>0.26040000000000002</v>
      </c>
      <c r="C9" s="89">
        <f t="shared" si="0"/>
        <v>4.1274369947692815</v>
      </c>
      <c r="D9" s="191">
        <v>0.75</v>
      </c>
      <c r="E9" s="192">
        <f t="shared" si="1"/>
        <v>19.049999999999997</v>
      </c>
    </row>
    <row r="10" spans="1:13" x14ac:dyDescent="0.3">
      <c r="A10" s="89" t="s">
        <v>194</v>
      </c>
      <c r="B10" s="89">
        <v>0.26040000000000002</v>
      </c>
      <c r="C10" s="89">
        <f>B10*15.850372483753</f>
        <v>4.1274369947692815</v>
      </c>
      <c r="D10" s="191">
        <v>0.75</v>
      </c>
      <c r="E10" s="192">
        <f t="shared" si="1"/>
        <v>19.049999999999997</v>
      </c>
    </row>
    <row r="11" spans="1:13" x14ac:dyDescent="0.3">
      <c r="A11" s="89" t="s">
        <v>229</v>
      </c>
      <c r="B11" s="89">
        <v>0.1113</v>
      </c>
      <c r="C11" s="89">
        <f>B11*15.850372483753</f>
        <v>1.7641464574417089</v>
      </c>
      <c r="D11" s="191">
        <v>0.375</v>
      </c>
      <c r="E11" s="192">
        <f t="shared" si="1"/>
        <v>9.5249999999999986</v>
      </c>
    </row>
    <row r="12" spans="1:13" x14ac:dyDescent="0.3">
      <c r="A12" s="89" t="s">
        <v>203</v>
      </c>
      <c r="B12" s="89">
        <v>5.57E-2</v>
      </c>
      <c r="C12" s="89">
        <f>B12*15.850372483753</f>
        <v>0.88286574734504208</v>
      </c>
      <c r="D12" s="191">
        <v>0.25</v>
      </c>
      <c r="E12" s="192">
        <f t="shared" si="1"/>
        <v>6.35</v>
      </c>
    </row>
    <row r="13" spans="1:13" x14ac:dyDescent="0.3">
      <c r="A13" s="89" t="s">
        <v>187</v>
      </c>
      <c r="B13" s="89">
        <v>0.34720000000000001</v>
      </c>
      <c r="C13" s="89">
        <f t="shared" ref="C13:C40" si="2">B13*15.850372483753</f>
        <v>5.5032493263590423</v>
      </c>
      <c r="D13" s="191">
        <v>0.75</v>
      </c>
      <c r="E13" s="192">
        <f t="shared" si="1"/>
        <v>19.049999999999997</v>
      </c>
    </row>
    <row r="14" spans="1:13" x14ac:dyDescent="0.3">
      <c r="A14" s="89" t="s">
        <v>188</v>
      </c>
      <c r="B14" s="89">
        <v>0.34720000000000001</v>
      </c>
      <c r="C14" s="89">
        <f t="shared" si="2"/>
        <v>5.5032493263590423</v>
      </c>
      <c r="D14" s="191">
        <v>0.75</v>
      </c>
      <c r="E14" s="192">
        <f t="shared" si="1"/>
        <v>19.049999999999997</v>
      </c>
    </row>
    <row r="15" spans="1:13" x14ac:dyDescent="0.3">
      <c r="A15" s="89" t="s">
        <v>182</v>
      </c>
      <c r="B15" s="89">
        <v>0.1736</v>
      </c>
      <c r="C15" s="89">
        <f>B15*15.850372483753</f>
        <v>2.7516246631795211</v>
      </c>
      <c r="D15" s="191">
        <v>0.5</v>
      </c>
      <c r="E15" s="192">
        <f t="shared" si="1"/>
        <v>12.7</v>
      </c>
    </row>
    <row r="16" spans="1:13" x14ac:dyDescent="0.3">
      <c r="A16" s="89" t="s">
        <v>186</v>
      </c>
      <c r="B16" s="89">
        <v>0.1736</v>
      </c>
      <c r="C16" s="89">
        <f t="shared" si="2"/>
        <v>2.7516246631795211</v>
      </c>
      <c r="D16" s="191">
        <v>0.5</v>
      </c>
      <c r="E16" s="192">
        <f t="shared" si="1"/>
        <v>12.7</v>
      </c>
    </row>
    <row r="17" spans="1:5" x14ac:dyDescent="0.3">
      <c r="A17" s="89" t="s">
        <v>189</v>
      </c>
      <c r="B17" s="89">
        <v>0.1736</v>
      </c>
      <c r="C17" s="89">
        <f t="shared" si="2"/>
        <v>2.7516246631795211</v>
      </c>
      <c r="D17" s="191">
        <v>0.5</v>
      </c>
      <c r="E17" s="192">
        <f t="shared" si="1"/>
        <v>12.7</v>
      </c>
    </row>
    <row r="18" spans="1:5" x14ac:dyDescent="0.3">
      <c r="A18" s="89" t="s">
        <v>190</v>
      </c>
      <c r="B18" s="89">
        <v>0.1736</v>
      </c>
      <c r="C18" s="89">
        <f t="shared" si="2"/>
        <v>2.7516246631795211</v>
      </c>
      <c r="D18" s="191">
        <v>0.5</v>
      </c>
      <c r="E18" s="192">
        <f t="shared" si="1"/>
        <v>12.7</v>
      </c>
    </row>
    <row r="19" spans="1:5" x14ac:dyDescent="0.3">
      <c r="A19" s="307" t="s">
        <v>124</v>
      </c>
      <c r="B19" s="89">
        <v>0.217</v>
      </c>
      <c r="C19" s="89">
        <f t="shared" si="2"/>
        <v>3.4395308289744011</v>
      </c>
      <c r="D19" s="191">
        <v>0.5</v>
      </c>
      <c r="E19" s="192">
        <f t="shared" si="1"/>
        <v>12.7</v>
      </c>
    </row>
    <row r="20" spans="1:5" x14ac:dyDescent="0.3">
      <c r="A20" s="307"/>
      <c r="B20" s="89">
        <v>0.217</v>
      </c>
      <c r="C20" s="89">
        <f t="shared" si="2"/>
        <v>3.4395308289744011</v>
      </c>
      <c r="D20" s="191">
        <v>0.5</v>
      </c>
      <c r="E20" s="192">
        <f t="shared" si="1"/>
        <v>12.7</v>
      </c>
    </row>
    <row r="21" spans="1:5" x14ac:dyDescent="0.3">
      <c r="A21" s="307" t="s">
        <v>125</v>
      </c>
      <c r="B21" s="89">
        <v>0.217</v>
      </c>
      <c r="C21" s="89">
        <f t="shared" si="2"/>
        <v>3.4395308289744011</v>
      </c>
      <c r="D21" s="191">
        <v>0.5</v>
      </c>
      <c r="E21" s="192">
        <f t="shared" si="1"/>
        <v>12.7</v>
      </c>
    </row>
    <row r="22" spans="1:5" x14ac:dyDescent="0.3">
      <c r="A22" s="307"/>
      <c r="B22" s="89">
        <v>0.217</v>
      </c>
      <c r="C22" s="89">
        <f t="shared" si="2"/>
        <v>3.4395308289744011</v>
      </c>
      <c r="D22" s="191">
        <v>0.5</v>
      </c>
      <c r="E22" s="192">
        <f t="shared" si="1"/>
        <v>12.7</v>
      </c>
    </row>
    <row r="23" spans="1:5" x14ac:dyDescent="0.3">
      <c r="A23" s="89" t="s">
        <v>178</v>
      </c>
      <c r="B23" s="89">
        <v>0.1736</v>
      </c>
      <c r="C23" s="89">
        <f t="shared" si="2"/>
        <v>2.7516246631795211</v>
      </c>
      <c r="D23" s="191">
        <v>0.5</v>
      </c>
      <c r="E23" s="192">
        <f t="shared" si="1"/>
        <v>12.7</v>
      </c>
    </row>
    <row r="24" spans="1:5" x14ac:dyDescent="0.3">
      <c r="A24" s="89" t="s">
        <v>179</v>
      </c>
      <c r="B24" s="89">
        <v>0.1736</v>
      </c>
      <c r="C24" s="89">
        <f t="shared" si="2"/>
        <v>2.7516246631795211</v>
      </c>
      <c r="D24" s="191">
        <v>0.5</v>
      </c>
      <c r="E24" s="192">
        <f t="shared" si="1"/>
        <v>12.7</v>
      </c>
    </row>
    <row r="25" spans="1:5" x14ac:dyDescent="0.3">
      <c r="A25" s="89" t="s">
        <v>173</v>
      </c>
      <c r="B25" s="89">
        <v>0.434</v>
      </c>
      <c r="C25" s="89">
        <f t="shared" si="2"/>
        <v>6.8790616579488022</v>
      </c>
      <c r="D25" s="191">
        <v>1</v>
      </c>
      <c r="E25" s="192">
        <f t="shared" si="1"/>
        <v>25.4</v>
      </c>
    </row>
    <row r="26" spans="1:5" x14ac:dyDescent="0.3">
      <c r="A26" s="89" t="s">
        <v>174</v>
      </c>
      <c r="B26" s="89">
        <v>0.26040000000000002</v>
      </c>
      <c r="C26" s="89">
        <f t="shared" si="2"/>
        <v>4.1274369947692815</v>
      </c>
      <c r="D26" s="191">
        <v>0.75</v>
      </c>
      <c r="E26" s="192">
        <f t="shared" si="1"/>
        <v>19.049999999999997</v>
      </c>
    </row>
    <row r="27" spans="1:5" x14ac:dyDescent="0.3">
      <c r="A27" s="307" t="s">
        <v>123</v>
      </c>
      <c r="B27" s="89">
        <v>0.217</v>
      </c>
      <c r="C27" s="89">
        <f t="shared" si="2"/>
        <v>3.4395308289744011</v>
      </c>
      <c r="D27" s="191">
        <v>0.5</v>
      </c>
      <c r="E27" s="192">
        <f t="shared" si="1"/>
        <v>12.7</v>
      </c>
    </row>
    <row r="28" spans="1:5" x14ac:dyDescent="0.3">
      <c r="A28" s="307"/>
      <c r="B28" s="89">
        <v>0.217</v>
      </c>
      <c r="C28" s="89">
        <f t="shared" si="2"/>
        <v>3.4395308289744011</v>
      </c>
      <c r="D28" s="191">
        <v>0.5</v>
      </c>
      <c r="E28" s="192">
        <f t="shared" si="1"/>
        <v>12.7</v>
      </c>
    </row>
    <row r="29" spans="1:5" x14ac:dyDescent="0.3">
      <c r="A29" s="307" t="s">
        <v>169</v>
      </c>
      <c r="B29" s="89">
        <v>0.217</v>
      </c>
      <c r="C29" s="89">
        <f t="shared" si="2"/>
        <v>3.4395308289744011</v>
      </c>
      <c r="D29" s="191">
        <v>0.5</v>
      </c>
      <c r="E29" s="192">
        <f t="shared" si="1"/>
        <v>12.7</v>
      </c>
    </row>
    <row r="30" spans="1:5" x14ac:dyDescent="0.3">
      <c r="A30" s="307"/>
      <c r="B30" s="89">
        <v>0.217</v>
      </c>
      <c r="C30" s="89">
        <f t="shared" si="2"/>
        <v>3.4395308289744011</v>
      </c>
      <c r="D30" s="191">
        <v>0.5</v>
      </c>
      <c r="E30" s="192">
        <f t="shared" si="1"/>
        <v>12.7</v>
      </c>
    </row>
    <row r="31" spans="1:5" x14ac:dyDescent="0.3">
      <c r="A31" s="89" t="s">
        <v>171</v>
      </c>
      <c r="B31" s="89">
        <v>0.1736</v>
      </c>
      <c r="C31" s="89">
        <f t="shared" si="2"/>
        <v>2.7516246631795211</v>
      </c>
      <c r="D31" s="191">
        <v>0.5</v>
      </c>
      <c r="E31" s="192">
        <f t="shared" si="1"/>
        <v>12.7</v>
      </c>
    </row>
    <row r="32" spans="1:5" x14ac:dyDescent="0.3">
      <c r="A32" s="89" t="s">
        <v>172</v>
      </c>
      <c r="B32" s="89">
        <v>0.1736</v>
      </c>
      <c r="C32" s="89">
        <f>B32*15.850372483753</f>
        <v>2.7516246631795211</v>
      </c>
      <c r="D32" s="191">
        <v>0.5</v>
      </c>
      <c r="E32" s="192">
        <f t="shared" si="1"/>
        <v>12.7</v>
      </c>
    </row>
    <row r="33" spans="1:5" x14ac:dyDescent="0.3">
      <c r="A33" s="89" t="s">
        <v>598</v>
      </c>
      <c r="B33" s="89">
        <v>0.1736</v>
      </c>
      <c r="C33" s="89">
        <f>B33*15.850372483753</f>
        <v>2.7516246631795211</v>
      </c>
      <c r="D33" s="191">
        <v>0.5</v>
      </c>
      <c r="E33" s="192">
        <f t="shared" si="1"/>
        <v>12.7</v>
      </c>
    </row>
    <row r="34" spans="1:5" x14ac:dyDescent="0.3">
      <c r="A34" s="307" t="s">
        <v>142</v>
      </c>
      <c r="B34" s="89">
        <v>0.13020000000000001</v>
      </c>
      <c r="C34" s="89">
        <f t="shared" si="2"/>
        <v>2.0637184973846407</v>
      </c>
      <c r="D34" s="191">
        <v>0.375</v>
      </c>
      <c r="E34" s="192">
        <f t="shared" si="1"/>
        <v>9.5249999999999986</v>
      </c>
    </row>
    <row r="35" spans="1:5" x14ac:dyDescent="0.3">
      <c r="A35" s="307"/>
      <c r="B35" s="89">
        <v>0.13020000000000001</v>
      </c>
      <c r="C35" s="89">
        <f t="shared" si="2"/>
        <v>2.0637184973846407</v>
      </c>
      <c r="D35" s="191">
        <v>0.375</v>
      </c>
      <c r="E35" s="192">
        <f t="shared" si="1"/>
        <v>9.5249999999999986</v>
      </c>
    </row>
    <row r="36" spans="1:5" x14ac:dyDescent="0.3">
      <c r="A36" s="307" t="s">
        <v>141</v>
      </c>
      <c r="B36" s="89">
        <v>0.26040000000000002</v>
      </c>
      <c r="C36" s="89">
        <f t="shared" si="2"/>
        <v>4.1274369947692815</v>
      </c>
      <c r="D36" s="191">
        <v>0.75</v>
      </c>
      <c r="E36" s="192">
        <f t="shared" si="1"/>
        <v>19.049999999999997</v>
      </c>
    </row>
    <row r="37" spans="1:5" x14ac:dyDescent="0.3">
      <c r="A37" s="307"/>
      <c r="B37" s="89">
        <v>0.26040000000000002</v>
      </c>
      <c r="C37" s="89">
        <f t="shared" si="2"/>
        <v>4.1274369947692815</v>
      </c>
      <c r="D37" s="191">
        <v>0.75</v>
      </c>
      <c r="E37" s="192">
        <f t="shared" si="1"/>
        <v>19.049999999999997</v>
      </c>
    </row>
    <row r="38" spans="1:5" x14ac:dyDescent="0.3">
      <c r="A38" s="307" t="s">
        <v>140</v>
      </c>
      <c r="B38" s="89">
        <v>0.17319999999999999</v>
      </c>
      <c r="C38" s="89">
        <f t="shared" si="2"/>
        <v>2.7452845141860194</v>
      </c>
      <c r="D38" s="191">
        <v>0.5</v>
      </c>
      <c r="E38" s="192">
        <f t="shared" si="1"/>
        <v>12.7</v>
      </c>
    </row>
    <row r="39" spans="1:5" x14ac:dyDescent="0.3">
      <c r="A39" s="307"/>
      <c r="B39" s="89">
        <v>0.17319999999999999</v>
      </c>
      <c r="C39" s="89">
        <f t="shared" si="2"/>
        <v>2.7452845141860194</v>
      </c>
      <c r="D39" s="191">
        <v>0.5</v>
      </c>
      <c r="E39" s="192">
        <f t="shared" si="1"/>
        <v>12.7</v>
      </c>
    </row>
    <row r="40" spans="1:5" x14ac:dyDescent="0.3">
      <c r="A40" s="89" t="s">
        <v>183</v>
      </c>
      <c r="B40" s="89">
        <v>0.34720000000000001</v>
      </c>
      <c r="C40" s="89">
        <f t="shared" si="2"/>
        <v>5.5032493263590423</v>
      </c>
      <c r="D40" s="191">
        <v>0.75</v>
      </c>
      <c r="E40" s="192">
        <f t="shared" si="1"/>
        <v>19.049999999999997</v>
      </c>
    </row>
    <row r="41" spans="1:5" x14ac:dyDescent="0.3">
      <c r="A41" s="89" t="s">
        <v>185</v>
      </c>
      <c r="B41" s="89">
        <v>0.34720000000000001</v>
      </c>
      <c r="C41" s="89">
        <f>B41*15.850372483753</f>
        <v>5.5032493263590423</v>
      </c>
      <c r="D41" s="191">
        <v>0.75</v>
      </c>
      <c r="E41" s="192">
        <f t="shared" si="1"/>
        <v>19.049999999999997</v>
      </c>
    </row>
    <row r="42" spans="1:5" x14ac:dyDescent="0.3">
      <c r="B42" s="186"/>
      <c r="D42" s="187"/>
    </row>
    <row r="43" spans="1:5" x14ac:dyDescent="0.3">
      <c r="B43" s="186"/>
      <c r="D43" s="187"/>
    </row>
    <row r="44" spans="1:5" x14ac:dyDescent="0.3">
      <c r="B44" s="186"/>
      <c r="D44" s="187"/>
    </row>
    <row r="45" spans="1:5" x14ac:dyDescent="0.3">
      <c r="B45" s="186"/>
    </row>
    <row r="46" spans="1:5" x14ac:dyDescent="0.3">
      <c r="B46" s="186"/>
    </row>
  </sheetData>
  <mergeCells count="10">
    <mergeCell ref="A29:A30"/>
    <mergeCell ref="A34:A35"/>
    <mergeCell ref="A36:A37"/>
    <mergeCell ref="A38:A39"/>
    <mergeCell ref="A3:A4"/>
    <mergeCell ref="A5:A6"/>
    <mergeCell ref="A7:A8"/>
    <mergeCell ref="A19:A20"/>
    <mergeCell ref="A21:A22"/>
    <mergeCell ref="A27:A28"/>
  </mergeCells>
  <pageMargins left="0.7" right="0.7" top="0.75" bottom="0.75" header="0.3" footer="0.3"/>
  <pageSetup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</sheetPr>
  <dimension ref="A1:M262"/>
  <sheetViews>
    <sheetView topLeftCell="A19" zoomScale="70" zoomScaleNormal="70" workbookViewId="0">
      <selection activeCell="B23" sqref="B23"/>
    </sheetView>
  </sheetViews>
  <sheetFormatPr defaultColWidth="9.109375" defaultRowHeight="14.4" x14ac:dyDescent="0.3"/>
  <cols>
    <col min="1" max="1" width="23" style="178" customWidth="1"/>
    <col min="2" max="2" width="13" style="178" customWidth="1"/>
    <col min="3" max="3" width="15.6640625" style="178" customWidth="1"/>
    <col min="4" max="4" width="15.5546875" style="188" customWidth="1"/>
    <col min="5" max="5" width="15.88671875" style="189" customWidth="1"/>
    <col min="6" max="16384" width="9.109375" style="178"/>
  </cols>
  <sheetData>
    <row r="1" spans="1:13" x14ac:dyDescent="0.3">
      <c r="A1" s="203" t="s">
        <v>0</v>
      </c>
      <c r="B1" s="203" t="s">
        <v>593</v>
      </c>
      <c r="C1" s="203" t="s">
        <v>556</v>
      </c>
      <c r="D1" s="204" t="s">
        <v>594</v>
      </c>
      <c r="E1" s="206" t="s">
        <v>588</v>
      </c>
      <c r="F1" s="203"/>
      <c r="G1" s="203"/>
      <c r="H1" s="203"/>
      <c r="I1" s="203"/>
      <c r="J1" s="203"/>
      <c r="K1" s="203"/>
      <c r="L1" s="203"/>
      <c r="M1" s="203"/>
    </row>
    <row r="2" spans="1:13" x14ac:dyDescent="0.3">
      <c r="A2" s="89" t="s">
        <v>599</v>
      </c>
      <c r="B2" s="89">
        <v>6.78</v>
      </c>
      <c r="C2" s="89">
        <f>B2*15.850372483753</f>
        <v>107.46552543984535</v>
      </c>
      <c r="D2" s="191">
        <v>3</v>
      </c>
      <c r="E2" s="193">
        <f>25.4*D2</f>
        <v>76.199999999999989</v>
      </c>
      <c r="F2" s="89"/>
      <c r="G2" s="89"/>
      <c r="H2" s="89"/>
      <c r="I2" s="89"/>
      <c r="J2" s="89"/>
      <c r="K2" s="89"/>
      <c r="L2" s="89"/>
      <c r="M2" s="89"/>
    </row>
    <row r="3" spans="1:13" x14ac:dyDescent="0.3">
      <c r="A3" s="89" t="s">
        <v>493</v>
      </c>
      <c r="B3" s="89">
        <v>0.1061</v>
      </c>
      <c r="C3" s="89">
        <f>B3*15.850372483753</f>
        <v>1.6817245205261933</v>
      </c>
      <c r="D3" s="191">
        <v>0.375</v>
      </c>
      <c r="E3" s="193">
        <f t="shared" ref="E3:E48" si="0">25.4*D3</f>
        <v>9.5249999999999986</v>
      </c>
      <c r="F3" s="89"/>
      <c r="G3" s="89"/>
      <c r="H3" s="89"/>
      <c r="I3" s="89"/>
      <c r="J3" s="89"/>
      <c r="K3" s="89"/>
      <c r="L3" s="89"/>
      <c r="M3" s="89"/>
    </row>
    <row r="4" spans="1:13" x14ac:dyDescent="0.3">
      <c r="A4" s="89" t="s">
        <v>35</v>
      </c>
      <c r="B4" s="89">
        <v>7.0800000000000002E-2</v>
      </c>
      <c r="C4" s="89">
        <f>B4*15.850372483753</f>
        <v>1.1222063718497124</v>
      </c>
      <c r="D4" s="191">
        <v>0.25</v>
      </c>
      <c r="E4" s="193">
        <f t="shared" si="0"/>
        <v>6.35</v>
      </c>
      <c r="F4" s="89"/>
      <c r="G4" s="89"/>
      <c r="H4" s="89"/>
      <c r="I4" s="89"/>
      <c r="J4" s="89"/>
      <c r="K4" s="89"/>
      <c r="L4" s="89"/>
      <c r="M4" s="89"/>
    </row>
    <row r="5" spans="1:13" x14ac:dyDescent="0.3">
      <c r="A5" s="89" t="s">
        <v>600</v>
      </c>
      <c r="B5" s="89">
        <v>7.0800000000000002E-2</v>
      </c>
      <c r="C5" s="89">
        <f t="shared" ref="C5:C22" si="1">B5*15.850372483753</f>
        <v>1.1222063718497124</v>
      </c>
      <c r="D5" s="191">
        <v>0.25</v>
      </c>
      <c r="E5" s="193">
        <f t="shared" si="0"/>
        <v>6.35</v>
      </c>
      <c r="F5" s="89"/>
      <c r="G5" s="89"/>
      <c r="H5" s="89"/>
      <c r="I5" s="89"/>
      <c r="J5" s="89"/>
      <c r="K5" s="89"/>
      <c r="L5" s="89"/>
      <c r="M5" s="89"/>
    </row>
    <row r="6" spans="1:13" x14ac:dyDescent="0.3">
      <c r="A6" s="89" t="s">
        <v>601</v>
      </c>
      <c r="B6" s="89">
        <v>7.0800000000000002E-2</v>
      </c>
      <c r="C6" s="89">
        <f t="shared" si="1"/>
        <v>1.1222063718497124</v>
      </c>
      <c r="D6" s="191">
        <v>0.25</v>
      </c>
      <c r="E6" s="193">
        <f t="shared" si="0"/>
        <v>6.35</v>
      </c>
      <c r="F6" s="89"/>
      <c r="G6" s="89"/>
      <c r="H6" s="89"/>
      <c r="I6" s="89"/>
      <c r="J6" s="89"/>
      <c r="K6" s="89"/>
      <c r="L6" s="89"/>
      <c r="M6" s="89"/>
    </row>
    <row r="7" spans="1:13" x14ac:dyDescent="0.3">
      <c r="A7" s="307" t="s">
        <v>602</v>
      </c>
      <c r="B7" s="89">
        <v>8.2277777780000005E-2</v>
      </c>
      <c r="C7" s="89">
        <f t="shared" si="1"/>
        <v>1.3041334249484562</v>
      </c>
      <c r="D7" s="191">
        <v>0.375</v>
      </c>
      <c r="E7" s="193">
        <f t="shared" si="0"/>
        <v>9.5249999999999986</v>
      </c>
    </row>
    <row r="8" spans="1:13" x14ac:dyDescent="0.3">
      <c r="A8" s="307"/>
      <c r="B8" s="89">
        <v>8.2277777780000005E-2</v>
      </c>
      <c r="C8" s="89">
        <f t="shared" si="1"/>
        <v>1.3041334249484562</v>
      </c>
      <c r="D8" s="191">
        <v>0.375</v>
      </c>
      <c r="E8" s="193">
        <f t="shared" si="0"/>
        <v>9.5249999999999986</v>
      </c>
    </row>
    <row r="9" spans="1:13" x14ac:dyDescent="0.3">
      <c r="A9" s="307"/>
      <c r="B9" s="89">
        <v>8.2277777780000005E-2</v>
      </c>
      <c r="C9" s="89">
        <f t="shared" si="1"/>
        <v>1.3041334249484562</v>
      </c>
      <c r="D9" s="191">
        <v>0.375</v>
      </c>
      <c r="E9" s="193">
        <f t="shared" si="0"/>
        <v>9.5249999999999986</v>
      </c>
    </row>
    <row r="10" spans="1:13" x14ac:dyDescent="0.3">
      <c r="A10" s="307"/>
      <c r="B10" s="89">
        <v>8.2277777780000005E-2</v>
      </c>
      <c r="C10" s="89">
        <f t="shared" si="1"/>
        <v>1.3041334249484562</v>
      </c>
      <c r="D10" s="191">
        <v>0.375</v>
      </c>
      <c r="E10" s="193">
        <f t="shared" si="0"/>
        <v>9.5249999999999986</v>
      </c>
    </row>
    <row r="11" spans="1:13" x14ac:dyDescent="0.3">
      <c r="A11" s="307"/>
      <c r="B11" s="89">
        <v>8.2277777780000005E-2</v>
      </c>
      <c r="C11" s="89">
        <f t="shared" si="1"/>
        <v>1.3041334249484562</v>
      </c>
      <c r="D11" s="191">
        <v>0.375</v>
      </c>
      <c r="E11" s="193">
        <f t="shared" si="0"/>
        <v>9.5249999999999986</v>
      </c>
    </row>
    <row r="12" spans="1:13" x14ac:dyDescent="0.3">
      <c r="A12" s="307"/>
      <c r="B12" s="89">
        <v>8.2277777780000005E-2</v>
      </c>
      <c r="C12" s="89">
        <f t="shared" si="1"/>
        <v>1.3041334249484562</v>
      </c>
      <c r="D12" s="191">
        <v>0.375</v>
      </c>
      <c r="E12" s="193">
        <f t="shared" si="0"/>
        <v>9.5249999999999986</v>
      </c>
    </row>
    <row r="13" spans="1:13" x14ac:dyDescent="0.3">
      <c r="A13" s="307"/>
      <c r="B13" s="89">
        <v>8.2277777780000005E-2</v>
      </c>
      <c r="C13" s="89">
        <f t="shared" si="1"/>
        <v>1.3041334249484562</v>
      </c>
      <c r="D13" s="191">
        <v>0.375</v>
      </c>
      <c r="E13" s="193">
        <f t="shared" si="0"/>
        <v>9.5249999999999986</v>
      </c>
    </row>
    <row r="14" spans="1:13" x14ac:dyDescent="0.3">
      <c r="A14" s="307"/>
      <c r="B14" s="89">
        <v>8.2277777780000005E-2</v>
      </c>
      <c r="C14" s="89">
        <f t="shared" si="1"/>
        <v>1.3041334249484562</v>
      </c>
      <c r="D14" s="191">
        <v>0.375</v>
      </c>
      <c r="E14" s="193">
        <f t="shared" si="0"/>
        <v>9.5249999999999986</v>
      </c>
    </row>
    <row r="15" spans="1:13" x14ac:dyDescent="0.3">
      <c r="A15" s="307"/>
      <c r="B15" s="89">
        <v>8.2277777780000005E-2</v>
      </c>
      <c r="C15" s="89">
        <f t="shared" si="1"/>
        <v>1.3041334249484562</v>
      </c>
      <c r="D15" s="191">
        <v>0.375</v>
      </c>
      <c r="E15" s="193">
        <f t="shared" si="0"/>
        <v>9.5249999999999986</v>
      </c>
    </row>
    <row r="16" spans="1:13" x14ac:dyDescent="0.3">
      <c r="A16" s="307" t="s">
        <v>385</v>
      </c>
      <c r="B16" s="89">
        <v>7.0749999999999993E-2</v>
      </c>
      <c r="C16" s="89">
        <f t="shared" si="1"/>
        <v>1.1214138532255247</v>
      </c>
      <c r="D16" s="191">
        <v>0.25</v>
      </c>
      <c r="E16" s="193">
        <f t="shared" si="0"/>
        <v>6.35</v>
      </c>
    </row>
    <row r="17" spans="1:5" x14ac:dyDescent="0.3">
      <c r="A17" s="307"/>
      <c r="B17" s="89">
        <v>7.0749999999999993E-2</v>
      </c>
      <c r="C17" s="89">
        <f t="shared" si="1"/>
        <v>1.1214138532255247</v>
      </c>
      <c r="D17" s="191">
        <v>0.25</v>
      </c>
      <c r="E17" s="193">
        <f t="shared" si="0"/>
        <v>6.35</v>
      </c>
    </row>
    <row r="18" spans="1:5" x14ac:dyDescent="0.3">
      <c r="A18" s="89" t="s">
        <v>603</v>
      </c>
      <c r="B18" s="89">
        <v>0.1061</v>
      </c>
      <c r="C18" s="89">
        <f t="shared" si="1"/>
        <v>1.6817245205261933</v>
      </c>
      <c r="D18" s="191">
        <v>0.375</v>
      </c>
      <c r="E18" s="193">
        <f t="shared" si="0"/>
        <v>9.5249999999999986</v>
      </c>
    </row>
    <row r="19" spans="1:5" x14ac:dyDescent="0.3">
      <c r="A19" s="307" t="s">
        <v>115</v>
      </c>
      <c r="B19" s="89">
        <v>5.305E-2</v>
      </c>
      <c r="C19" s="89">
        <f t="shared" si="1"/>
        <v>0.84086226026309663</v>
      </c>
      <c r="D19" s="191">
        <v>0.25</v>
      </c>
      <c r="E19" s="193">
        <f t="shared" si="0"/>
        <v>6.35</v>
      </c>
    </row>
    <row r="20" spans="1:5" x14ac:dyDescent="0.3">
      <c r="A20" s="307"/>
      <c r="B20" s="89">
        <v>5.305E-2</v>
      </c>
      <c r="C20" s="89">
        <f t="shared" si="1"/>
        <v>0.84086226026309663</v>
      </c>
      <c r="D20" s="191">
        <v>0.25</v>
      </c>
      <c r="E20" s="193">
        <f t="shared" si="0"/>
        <v>6.35</v>
      </c>
    </row>
    <row r="21" spans="1:5" x14ac:dyDescent="0.3">
      <c r="A21" s="89" t="s">
        <v>492</v>
      </c>
      <c r="B21" s="89">
        <v>7.0800000000000002E-2</v>
      </c>
      <c r="C21" s="89">
        <f t="shared" si="1"/>
        <v>1.1222063718497124</v>
      </c>
      <c r="D21" s="191">
        <v>0.25</v>
      </c>
      <c r="E21" s="193">
        <f t="shared" si="0"/>
        <v>6.35</v>
      </c>
    </row>
    <row r="22" spans="1:5" x14ac:dyDescent="0.3">
      <c r="A22" s="89" t="s">
        <v>383</v>
      </c>
      <c r="B22" s="89">
        <v>0.15429999999999999</v>
      </c>
      <c r="C22" s="89">
        <f t="shared" si="1"/>
        <v>2.4457124742430878</v>
      </c>
      <c r="D22" s="191">
        <v>0.5</v>
      </c>
      <c r="E22" s="193">
        <f t="shared" si="0"/>
        <v>12.7</v>
      </c>
    </row>
    <row r="23" spans="1:5" x14ac:dyDescent="0.3">
      <c r="A23" s="89" t="s">
        <v>369</v>
      </c>
      <c r="B23" s="89">
        <v>7.0800000000000002E-2</v>
      </c>
      <c r="C23" s="89">
        <f>B23*15.850372483753</f>
        <v>1.1222063718497124</v>
      </c>
      <c r="D23" s="191">
        <v>0.25</v>
      </c>
      <c r="E23" s="193">
        <f t="shared" si="0"/>
        <v>6.35</v>
      </c>
    </row>
    <row r="24" spans="1:5" x14ac:dyDescent="0.3">
      <c r="A24" s="89" t="s">
        <v>370</v>
      </c>
      <c r="B24" s="89">
        <v>7.0800000000000002E-2</v>
      </c>
      <c r="C24" s="89">
        <f t="shared" ref="C24:C48" si="2">B24*15.850372483753</f>
        <v>1.1222063718497124</v>
      </c>
      <c r="D24" s="191">
        <v>0.25</v>
      </c>
      <c r="E24" s="193">
        <f t="shared" si="0"/>
        <v>6.35</v>
      </c>
    </row>
    <row r="25" spans="1:5" x14ac:dyDescent="0.3">
      <c r="A25" s="89" t="s">
        <v>362</v>
      </c>
      <c r="B25" s="89">
        <v>7.0800000000000002E-2</v>
      </c>
      <c r="C25" s="89">
        <f t="shared" si="2"/>
        <v>1.1222063718497124</v>
      </c>
      <c r="D25" s="191">
        <v>0.25</v>
      </c>
      <c r="E25" s="193">
        <f t="shared" si="0"/>
        <v>6.35</v>
      </c>
    </row>
    <row r="26" spans="1:5" x14ac:dyDescent="0.3">
      <c r="A26" s="89" t="s">
        <v>363</v>
      </c>
      <c r="B26" s="89">
        <v>7.0800000000000002E-2</v>
      </c>
      <c r="C26" s="89">
        <f t="shared" si="2"/>
        <v>1.1222063718497124</v>
      </c>
      <c r="D26" s="191">
        <v>0.25</v>
      </c>
      <c r="E26" s="193">
        <f t="shared" si="0"/>
        <v>6.35</v>
      </c>
    </row>
    <row r="27" spans="1:5" x14ac:dyDescent="0.3">
      <c r="A27" s="89" t="s">
        <v>604</v>
      </c>
      <c r="B27" s="89">
        <v>7.0800000000000002E-2</v>
      </c>
      <c r="C27" s="89">
        <f t="shared" si="2"/>
        <v>1.1222063718497124</v>
      </c>
      <c r="D27" s="191">
        <v>0.25</v>
      </c>
      <c r="E27" s="193">
        <f t="shared" si="0"/>
        <v>6.35</v>
      </c>
    </row>
    <row r="28" spans="1:5" x14ac:dyDescent="0.3">
      <c r="A28" s="89" t="s">
        <v>605</v>
      </c>
      <c r="B28" s="89">
        <v>7.0800000000000002E-2</v>
      </c>
      <c r="C28" s="89">
        <f t="shared" si="2"/>
        <v>1.1222063718497124</v>
      </c>
      <c r="D28" s="191">
        <v>0.25</v>
      </c>
      <c r="E28" s="193">
        <f t="shared" si="0"/>
        <v>6.35</v>
      </c>
    </row>
    <row r="29" spans="1:5" x14ac:dyDescent="0.3">
      <c r="A29" s="89" t="s">
        <v>606</v>
      </c>
      <c r="B29" s="89">
        <v>7.0800000000000002E-2</v>
      </c>
      <c r="C29" s="89">
        <f t="shared" si="2"/>
        <v>1.1222063718497124</v>
      </c>
      <c r="D29" s="191">
        <v>0.25</v>
      </c>
      <c r="E29" s="193">
        <f t="shared" si="0"/>
        <v>6.35</v>
      </c>
    </row>
    <row r="30" spans="1:5" x14ac:dyDescent="0.3">
      <c r="A30" s="89" t="s">
        <v>607</v>
      </c>
      <c r="B30" s="89">
        <v>7.0800000000000002E-2</v>
      </c>
      <c r="C30" s="89">
        <f t="shared" si="2"/>
        <v>1.1222063718497124</v>
      </c>
      <c r="D30" s="191">
        <v>0.25</v>
      </c>
      <c r="E30" s="193">
        <f t="shared" si="0"/>
        <v>6.35</v>
      </c>
    </row>
    <row r="31" spans="1:5" x14ac:dyDescent="0.3">
      <c r="A31" s="89" t="s">
        <v>360</v>
      </c>
      <c r="B31" s="89">
        <v>7.0800000000000002E-2</v>
      </c>
      <c r="C31" s="89">
        <f t="shared" si="2"/>
        <v>1.1222063718497124</v>
      </c>
      <c r="D31" s="191">
        <v>0.25</v>
      </c>
      <c r="E31" s="193">
        <f t="shared" si="0"/>
        <v>6.35</v>
      </c>
    </row>
    <row r="32" spans="1:5" x14ac:dyDescent="0.3">
      <c r="A32" s="89" t="s">
        <v>361</v>
      </c>
      <c r="B32" s="89">
        <v>7.0800000000000002E-2</v>
      </c>
      <c r="C32" s="89">
        <f t="shared" si="2"/>
        <v>1.1222063718497124</v>
      </c>
      <c r="D32" s="191">
        <v>0.25</v>
      </c>
      <c r="E32" s="193">
        <f t="shared" si="0"/>
        <v>6.35</v>
      </c>
    </row>
    <row r="33" spans="1:5" x14ac:dyDescent="0.3">
      <c r="A33" s="89" t="s">
        <v>76</v>
      </c>
      <c r="B33" s="89">
        <v>7.0800000000000002E-2</v>
      </c>
      <c r="C33" s="89">
        <f t="shared" si="2"/>
        <v>1.1222063718497124</v>
      </c>
      <c r="D33" s="191">
        <v>0.25</v>
      </c>
      <c r="E33" s="193">
        <f t="shared" si="0"/>
        <v>6.35</v>
      </c>
    </row>
    <row r="34" spans="1:5" x14ac:dyDescent="0.3">
      <c r="A34" s="89" t="s">
        <v>75</v>
      </c>
      <c r="B34" s="89">
        <v>7.0800000000000002E-2</v>
      </c>
      <c r="C34" s="89">
        <f t="shared" si="2"/>
        <v>1.1222063718497124</v>
      </c>
      <c r="D34" s="191">
        <v>0.25</v>
      </c>
      <c r="E34" s="193">
        <f t="shared" si="0"/>
        <v>6.35</v>
      </c>
    </row>
    <row r="35" spans="1:5" x14ac:dyDescent="0.3">
      <c r="A35" s="89" t="s">
        <v>72</v>
      </c>
      <c r="B35" s="89">
        <v>7.0800000000000002E-2</v>
      </c>
      <c r="C35" s="89">
        <f t="shared" si="2"/>
        <v>1.1222063718497124</v>
      </c>
      <c r="D35" s="191">
        <v>0.25</v>
      </c>
      <c r="E35" s="193">
        <f t="shared" si="0"/>
        <v>6.35</v>
      </c>
    </row>
    <row r="36" spans="1:5" x14ac:dyDescent="0.3">
      <c r="A36" s="89" t="s">
        <v>601</v>
      </c>
      <c r="B36" s="89">
        <v>7.0800000000000002E-2</v>
      </c>
      <c r="C36" s="89">
        <f t="shared" si="2"/>
        <v>1.1222063718497124</v>
      </c>
      <c r="D36" s="191">
        <v>0.25</v>
      </c>
      <c r="E36" s="193">
        <f t="shared" si="0"/>
        <v>6.35</v>
      </c>
    </row>
    <row r="37" spans="1:5" x14ac:dyDescent="0.3">
      <c r="A37" s="89" t="s">
        <v>600</v>
      </c>
      <c r="B37" s="89">
        <v>7.0800000000000002E-2</v>
      </c>
      <c r="C37" s="89">
        <f t="shared" si="2"/>
        <v>1.1222063718497124</v>
      </c>
      <c r="D37" s="191">
        <v>0.25</v>
      </c>
      <c r="E37" s="193">
        <f t="shared" si="0"/>
        <v>6.35</v>
      </c>
    </row>
    <row r="38" spans="1:5" x14ac:dyDescent="0.3">
      <c r="A38" s="89" t="s">
        <v>347</v>
      </c>
      <c r="B38" s="89">
        <v>7.0800000000000002E-2</v>
      </c>
      <c r="C38" s="89">
        <f t="shared" si="2"/>
        <v>1.1222063718497124</v>
      </c>
      <c r="D38" s="191">
        <v>0.25</v>
      </c>
      <c r="E38" s="193">
        <f t="shared" si="0"/>
        <v>6.35</v>
      </c>
    </row>
    <row r="39" spans="1:5" x14ac:dyDescent="0.3">
      <c r="A39" s="307" t="s">
        <v>488</v>
      </c>
      <c r="B39" s="89">
        <v>3.5400000000000001E-2</v>
      </c>
      <c r="C39" s="89">
        <f t="shared" si="2"/>
        <v>0.5611031859248562</v>
      </c>
      <c r="D39" s="191">
        <v>0.125</v>
      </c>
      <c r="E39" s="193">
        <f t="shared" si="0"/>
        <v>3.1749999999999998</v>
      </c>
    </row>
    <row r="40" spans="1:5" x14ac:dyDescent="0.3">
      <c r="A40" s="307"/>
      <c r="B40" s="89">
        <v>3.5400000000000001E-2</v>
      </c>
      <c r="C40" s="89">
        <f t="shared" si="2"/>
        <v>0.5611031859248562</v>
      </c>
      <c r="D40" s="191">
        <v>0.125</v>
      </c>
      <c r="E40" s="193">
        <f t="shared" si="0"/>
        <v>3.1749999999999998</v>
      </c>
    </row>
    <row r="41" spans="1:5" x14ac:dyDescent="0.3">
      <c r="A41" s="89" t="s">
        <v>489</v>
      </c>
      <c r="B41" s="89">
        <v>7.0800000000000002E-2</v>
      </c>
      <c r="C41" s="89">
        <f t="shared" si="2"/>
        <v>1.1222063718497124</v>
      </c>
      <c r="D41" s="191">
        <v>0.25</v>
      </c>
      <c r="E41" s="193">
        <f t="shared" si="0"/>
        <v>6.35</v>
      </c>
    </row>
    <row r="42" spans="1:5" x14ac:dyDescent="0.3">
      <c r="A42" s="178" t="s">
        <v>608</v>
      </c>
      <c r="B42" s="178">
        <v>6.1699999999999998E-2</v>
      </c>
      <c r="C42" s="178">
        <f t="shared" si="2"/>
        <v>0.9779679822475601</v>
      </c>
      <c r="D42" s="188">
        <v>0.25</v>
      </c>
      <c r="E42" s="189">
        <f t="shared" si="0"/>
        <v>6.35</v>
      </c>
    </row>
    <row r="43" spans="1:5" x14ac:dyDescent="0.3">
      <c r="A43" s="301" t="s">
        <v>491</v>
      </c>
      <c r="B43" s="178">
        <v>3.5400000000000001E-2</v>
      </c>
      <c r="C43" s="178">
        <f t="shared" si="2"/>
        <v>0.5611031859248562</v>
      </c>
      <c r="D43" s="188">
        <v>0.125</v>
      </c>
      <c r="E43" s="189">
        <f t="shared" si="0"/>
        <v>3.1749999999999998</v>
      </c>
    </row>
    <row r="44" spans="1:5" x14ac:dyDescent="0.3">
      <c r="A44" s="301"/>
      <c r="B44" s="178">
        <v>3.5400000000000001E-2</v>
      </c>
      <c r="C44" s="178">
        <f t="shared" si="2"/>
        <v>0.5611031859248562</v>
      </c>
      <c r="D44" s="188">
        <v>0.125</v>
      </c>
      <c r="E44" s="189">
        <f t="shared" si="0"/>
        <v>3.1749999999999998</v>
      </c>
    </row>
    <row r="45" spans="1:5" x14ac:dyDescent="0.3">
      <c r="A45" s="178" t="s">
        <v>444</v>
      </c>
      <c r="B45" s="178">
        <v>7.0800000000000002E-2</v>
      </c>
      <c r="C45" s="178">
        <f t="shared" si="2"/>
        <v>1.1222063718497124</v>
      </c>
      <c r="D45" s="188">
        <v>0.25</v>
      </c>
      <c r="E45" s="189">
        <f t="shared" si="0"/>
        <v>6.35</v>
      </c>
    </row>
    <row r="46" spans="1:5" x14ac:dyDescent="0.3">
      <c r="A46" s="178" t="s">
        <v>443</v>
      </c>
      <c r="B46" s="178">
        <v>7.0800000000000002E-2</v>
      </c>
      <c r="C46" s="178">
        <f t="shared" si="2"/>
        <v>1.1222063718497124</v>
      </c>
      <c r="D46" s="188">
        <v>0.25</v>
      </c>
      <c r="E46" s="189">
        <f t="shared" si="0"/>
        <v>6.35</v>
      </c>
    </row>
    <row r="47" spans="1:5" x14ac:dyDescent="0.3">
      <c r="A47" s="178" t="s">
        <v>345</v>
      </c>
      <c r="B47" s="178">
        <v>0.1061</v>
      </c>
      <c r="C47" s="178">
        <f t="shared" si="2"/>
        <v>1.6817245205261933</v>
      </c>
      <c r="D47" s="188">
        <v>0.375</v>
      </c>
      <c r="E47" s="189">
        <f t="shared" si="0"/>
        <v>9.5249999999999986</v>
      </c>
    </row>
    <row r="48" spans="1:5" x14ac:dyDescent="0.3">
      <c r="A48" s="178" t="s">
        <v>609</v>
      </c>
      <c r="B48" s="178">
        <v>7.0800000000000002E-2</v>
      </c>
      <c r="C48" s="178">
        <f t="shared" si="2"/>
        <v>1.1222063718497124</v>
      </c>
      <c r="D48" s="188">
        <v>0.25</v>
      </c>
      <c r="E48" s="189">
        <f t="shared" si="0"/>
        <v>6.35</v>
      </c>
    </row>
    <row r="49" spans="1:5" x14ac:dyDescent="0.3">
      <c r="A49" s="178" t="s">
        <v>610</v>
      </c>
      <c r="B49" s="178">
        <v>3.3460999999999999</v>
      </c>
      <c r="C49" s="178">
        <f>B49*15.850372483753</f>
        <v>53.036931367885913</v>
      </c>
      <c r="D49" s="188">
        <v>2.5</v>
      </c>
      <c r="E49" s="189">
        <f>25.4*D49</f>
        <v>63.5</v>
      </c>
    </row>
    <row r="171" spans="3:5" x14ac:dyDescent="0.3">
      <c r="C171" s="178">
        <f t="shared" ref="C171:C234" si="3">B171*15.850372483753</f>
        <v>0</v>
      </c>
      <c r="D171" s="178"/>
      <c r="E171" s="178"/>
    </row>
    <row r="172" spans="3:5" x14ac:dyDescent="0.3">
      <c r="C172" s="178">
        <f t="shared" si="3"/>
        <v>0</v>
      </c>
      <c r="D172" s="178"/>
      <c r="E172" s="178"/>
    </row>
    <row r="173" spans="3:5" x14ac:dyDescent="0.3">
      <c r="C173" s="178">
        <f t="shared" si="3"/>
        <v>0</v>
      </c>
      <c r="D173" s="178"/>
      <c r="E173" s="178"/>
    </row>
    <row r="174" spans="3:5" x14ac:dyDescent="0.3">
      <c r="C174" s="178">
        <f t="shared" si="3"/>
        <v>0</v>
      </c>
      <c r="D174" s="178"/>
      <c r="E174" s="178"/>
    </row>
    <row r="175" spans="3:5" x14ac:dyDescent="0.3">
      <c r="C175" s="178">
        <f t="shared" si="3"/>
        <v>0</v>
      </c>
      <c r="D175" s="178"/>
      <c r="E175" s="178"/>
    </row>
    <row r="176" spans="3:5" x14ac:dyDescent="0.3">
      <c r="C176" s="178">
        <f t="shared" si="3"/>
        <v>0</v>
      </c>
      <c r="D176" s="178"/>
      <c r="E176" s="178"/>
    </row>
    <row r="177" spans="3:3" s="178" customFormat="1" x14ac:dyDescent="0.3">
      <c r="C177" s="178">
        <f t="shared" si="3"/>
        <v>0</v>
      </c>
    </row>
    <row r="178" spans="3:3" s="178" customFormat="1" x14ac:dyDescent="0.3">
      <c r="C178" s="178">
        <f t="shared" si="3"/>
        <v>0</v>
      </c>
    </row>
    <row r="179" spans="3:3" s="178" customFormat="1" x14ac:dyDescent="0.3">
      <c r="C179" s="178">
        <f t="shared" si="3"/>
        <v>0</v>
      </c>
    </row>
    <row r="180" spans="3:3" s="178" customFormat="1" x14ac:dyDescent="0.3">
      <c r="C180" s="178">
        <f t="shared" si="3"/>
        <v>0</v>
      </c>
    </row>
    <row r="181" spans="3:3" s="178" customFormat="1" x14ac:dyDescent="0.3">
      <c r="C181" s="178">
        <f t="shared" si="3"/>
        <v>0</v>
      </c>
    </row>
    <row r="182" spans="3:3" s="178" customFormat="1" x14ac:dyDescent="0.3">
      <c r="C182" s="178">
        <f t="shared" si="3"/>
        <v>0</v>
      </c>
    </row>
    <row r="183" spans="3:3" s="178" customFormat="1" x14ac:dyDescent="0.3">
      <c r="C183" s="178">
        <f t="shared" si="3"/>
        <v>0</v>
      </c>
    </row>
    <row r="184" spans="3:3" s="178" customFormat="1" x14ac:dyDescent="0.3">
      <c r="C184" s="178">
        <f t="shared" si="3"/>
        <v>0</v>
      </c>
    </row>
    <row r="185" spans="3:3" s="178" customFormat="1" x14ac:dyDescent="0.3">
      <c r="C185" s="178">
        <f t="shared" si="3"/>
        <v>0</v>
      </c>
    </row>
    <row r="186" spans="3:3" s="178" customFormat="1" x14ac:dyDescent="0.3">
      <c r="C186" s="178">
        <f t="shared" si="3"/>
        <v>0</v>
      </c>
    </row>
    <row r="187" spans="3:3" s="178" customFormat="1" x14ac:dyDescent="0.3">
      <c r="C187" s="178">
        <f t="shared" si="3"/>
        <v>0</v>
      </c>
    </row>
    <row r="188" spans="3:3" s="178" customFormat="1" x14ac:dyDescent="0.3">
      <c r="C188" s="178">
        <f t="shared" si="3"/>
        <v>0</v>
      </c>
    </row>
    <row r="189" spans="3:3" s="178" customFormat="1" x14ac:dyDescent="0.3">
      <c r="C189" s="178">
        <f t="shared" si="3"/>
        <v>0</v>
      </c>
    </row>
    <row r="190" spans="3:3" s="178" customFormat="1" x14ac:dyDescent="0.3">
      <c r="C190" s="178">
        <f t="shared" si="3"/>
        <v>0</v>
      </c>
    </row>
    <row r="191" spans="3:3" s="178" customFormat="1" x14ac:dyDescent="0.3">
      <c r="C191" s="178">
        <f t="shared" si="3"/>
        <v>0</v>
      </c>
    </row>
    <row r="192" spans="3:3" s="178" customFormat="1" x14ac:dyDescent="0.3">
      <c r="C192" s="178">
        <f t="shared" si="3"/>
        <v>0</v>
      </c>
    </row>
    <row r="193" spans="3:3" s="178" customFormat="1" x14ac:dyDescent="0.3">
      <c r="C193" s="178">
        <f t="shared" si="3"/>
        <v>0</v>
      </c>
    </row>
    <row r="194" spans="3:3" s="178" customFormat="1" x14ac:dyDescent="0.3">
      <c r="C194" s="178">
        <f t="shared" si="3"/>
        <v>0</v>
      </c>
    </row>
    <row r="195" spans="3:3" s="178" customFormat="1" x14ac:dyDescent="0.3">
      <c r="C195" s="178">
        <f t="shared" si="3"/>
        <v>0</v>
      </c>
    </row>
    <row r="196" spans="3:3" s="178" customFormat="1" x14ac:dyDescent="0.3">
      <c r="C196" s="178">
        <f t="shared" si="3"/>
        <v>0</v>
      </c>
    </row>
    <row r="197" spans="3:3" s="178" customFormat="1" x14ac:dyDescent="0.3">
      <c r="C197" s="178">
        <f t="shared" si="3"/>
        <v>0</v>
      </c>
    </row>
    <row r="198" spans="3:3" s="178" customFormat="1" x14ac:dyDescent="0.3">
      <c r="C198" s="178">
        <f t="shared" si="3"/>
        <v>0</v>
      </c>
    </row>
    <row r="199" spans="3:3" s="178" customFormat="1" x14ac:dyDescent="0.3">
      <c r="C199" s="178">
        <f t="shared" si="3"/>
        <v>0</v>
      </c>
    </row>
    <row r="200" spans="3:3" s="178" customFormat="1" x14ac:dyDescent="0.3">
      <c r="C200" s="178">
        <f t="shared" si="3"/>
        <v>0</v>
      </c>
    </row>
    <row r="201" spans="3:3" s="178" customFormat="1" x14ac:dyDescent="0.3">
      <c r="C201" s="178">
        <f t="shared" si="3"/>
        <v>0</v>
      </c>
    </row>
    <row r="202" spans="3:3" s="178" customFormat="1" x14ac:dyDescent="0.3">
      <c r="C202" s="178">
        <f t="shared" si="3"/>
        <v>0</v>
      </c>
    </row>
    <row r="203" spans="3:3" s="178" customFormat="1" x14ac:dyDescent="0.3">
      <c r="C203" s="178">
        <f t="shared" si="3"/>
        <v>0</v>
      </c>
    </row>
    <row r="204" spans="3:3" s="178" customFormat="1" x14ac:dyDescent="0.3">
      <c r="C204" s="178">
        <f t="shared" si="3"/>
        <v>0</v>
      </c>
    </row>
    <row r="205" spans="3:3" s="178" customFormat="1" x14ac:dyDescent="0.3">
      <c r="C205" s="178">
        <f t="shared" si="3"/>
        <v>0</v>
      </c>
    </row>
    <row r="206" spans="3:3" s="178" customFormat="1" x14ac:dyDescent="0.3">
      <c r="C206" s="178">
        <f t="shared" si="3"/>
        <v>0</v>
      </c>
    </row>
    <row r="207" spans="3:3" s="178" customFormat="1" x14ac:dyDescent="0.3">
      <c r="C207" s="178">
        <f t="shared" si="3"/>
        <v>0</v>
      </c>
    </row>
    <row r="208" spans="3:3" s="178" customFormat="1" x14ac:dyDescent="0.3">
      <c r="C208" s="178">
        <f t="shared" si="3"/>
        <v>0</v>
      </c>
    </row>
    <row r="209" spans="3:3" s="178" customFormat="1" x14ac:dyDescent="0.3">
      <c r="C209" s="178">
        <f t="shared" si="3"/>
        <v>0</v>
      </c>
    </row>
    <row r="210" spans="3:3" s="178" customFormat="1" x14ac:dyDescent="0.3">
      <c r="C210" s="178">
        <f t="shared" si="3"/>
        <v>0</v>
      </c>
    </row>
    <row r="211" spans="3:3" s="178" customFormat="1" x14ac:dyDescent="0.3">
      <c r="C211" s="178">
        <f t="shared" si="3"/>
        <v>0</v>
      </c>
    </row>
    <row r="212" spans="3:3" s="178" customFormat="1" x14ac:dyDescent="0.3">
      <c r="C212" s="178">
        <f t="shared" si="3"/>
        <v>0</v>
      </c>
    </row>
    <row r="213" spans="3:3" s="178" customFormat="1" x14ac:dyDescent="0.3">
      <c r="C213" s="178">
        <f t="shared" si="3"/>
        <v>0</v>
      </c>
    </row>
    <row r="214" spans="3:3" s="178" customFormat="1" x14ac:dyDescent="0.3">
      <c r="C214" s="178">
        <f t="shared" si="3"/>
        <v>0</v>
      </c>
    </row>
    <row r="215" spans="3:3" s="178" customFormat="1" x14ac:dyDescent="0.3">
      <c r="C215" s="178">
        <f t="shared" si="3"/>
        <v>0</v>
      </c>
    </row>
    <row r="216" spans="3:3" s="178" customFormat="1" x14ac:dyDescent="0.3">
      <c r="C216" s="178">
        <f t="shared" si="3"/>
        <v>0</v>
      </c>
    </row>
    <row r="217" spans="3:3" s="178" customFormat="1" x14ac:dyDescent="0.3">
      <c r="C217" s="178">
        <f t="shared" si="3"/>
        <v>0</v>
      </c>
    </row>
    <row r="218" spans="3:3" s="178" customFormat="1" x14ac:dyDescent="0.3">
      <c r="C218" s="178">
        <f t="shared" si="3"/>
        <v>0</v>
      </c>
    </row>
    <row r="219" spans="3:3" s="178" customFormat="1" x14ac:dyDescent="0.3">
      <c r="C219" s="178">
        <f t="shared" si="3"/>
        <v>0</v>
      </c>
    </row>
    <row r="220" spans="3:3" s="178" customFormat="1" x14ac:dyDescent="0.3">
      <c r="C220" s="178">
        <f t="shared" si="3"/>
        <v>0</v>
      </c>
    </row>
    <row r="221" spans="3:3" s="178" customFormat="1" x14ac:dyDescent="0.3">
      <c r="C221" s="178">
        <f t="shared" si="3"/>
        <v>0</v>
      </c>
    </row>
    <row r="222" spans="3:3" s="178" customFormat="1" x14ac:dyDescent="0.3">
      <c r="C222" s="178">
        <f t="shared" si="3"/>
        <v>0</v>
      </c>
    </row>
    <row r="223" spans="3:3" s="178" customFormat="1" x14ac:dyDescent="0.3">
      <c r="C223" s="178">
        <f t="shared" si="3"/>
        <v>0</v>
      </c>
    </row>
    <row r="224" spans="3:3" s="178" customFormat="1" x14ac:dyDescent="0.3">
      <c r="C224" s="178">
        <f t="shared" si="3"/>
        <v>0</v>
      </c>
    </row>
    <row r="225" spans="3:3" s="178" customFormat="1" x14ac:dyDescent="0.3">
      <c r="C225" s="178">
        <f t="shared" si="3"/>
        <v>0</v>
      </c>
    </row>
    <row r="226" spans="3:3" s="178" customFormat="1" x14ac:dyDescent="0.3">
      <c r="C226" s="178">
        <f t="shared" si="3"/>
        <v>0</v>
      </c>
    </row>
    <row r="227" spans="3:3" s="178" customFormat="1" x14ac:dyDescent="0.3">
      <c r="C227" s="178">
        <f t="shared" si="3"/>
        <v>0</v>
      </c>
    </row>
    <row r="228" spans="3:3" s="178" customFormat="1" x14ac:dyDescent="0.3">
      <c r="C228" s="178">
        <f t="shared" si="3"/>
        <v>0</v>
      </c>
    </row>
    <row r="229" spans="3:3" s="178" customFormat="1" x14ac:dyDescent="0.3">
      <c r="C229" s="178">
        <f t="shared" si="3"/>
        <v>0</v>
      </c>
    </row>
    <row r="230" spans="3:3" s="178" customFormat="1" x14ac:dyDescent="0.3">
      <c r="C230" s="178">
        <f t="shared" si="3"/>
        <v>0</v>
      </c>
    </row>
    <row r="231" spans="3:3" s="178" customFormat="1" x14ac:dyDescent="0.3">
      <c r="C231" s="178">
        <f t="shared" si="3"/>
        <v>0</v>
      </c>
    </row>
    <row r="232" spans="3:3" s="178" customFormat="1" x14ac:dyDescent="0.3">
      <c r="C232" s="178">
        <f t="shared" si="3"/>
        <v>0</v>
      </c>
    </row>
    <row r="233" spans="3:3" s="178" customFormat="1" x14ac:dyDescent="0.3">
      <c r="C233" s="178">
        <f t="shared" si="3"/>
        <v>0</v>
      </c>
    </row>
    <row r="234" spans="3:3" s="178" customFormat="1" x14ac:dyDescent="0.3">
      <c r="C234" s="178">
        <f t="shared" si="3"/>
        <v>0</v>
      </c>
    </row>
    <row r="235" spans="3:3" s="178" customFormat="1" x14ac:dyDescent="0.3">
      <c r="C235" s="178">
        <f t="shared" ref="C235:C262" si="4">B235*15.850372483753</f>
        <v>0</v>
      </c>
    </row>
    <row r="236" spans="3:3" s="178" customFormat="1" x14ac:dyDescent="0.3">
      <c r="C236" s="178">
        <f t="shared" si="4"/>
        <v>0</v>
      </c>
    </row>
    <row r="237" spans="3:3" s="178" customFormat="1" x14ac:dyDescent="0.3">
      <c r="C237" s="178">
        <f t="shared" si="4"/>
        <v>0</v>
      </c>
    </row>
    <row r="238" spans="3:3" s="178" customFormat="1" x14ac:dyDescent="0.3">
      <c r="C238" s="178">
        <f t="shared" si="4"/>
        <v>0</v>
      </c>
    </row>
    <row r="239" spans="3:3" s="178" customFormat="1" x14ac:dyDescent="0.3">
      <c r="C239" s="178">
        <f t="shared" si="4"/>
        <v>0</v>
      </c>
    </row>
    <row r="240" spans="3:3" s="178" customFormat="1" x14ac:dyDescent="0.3">
      <c r="C240" s="178">
        <f t="shared" si="4"/>
        <v>0</v>
      </c>
    </row>
    <row r="241" spans="3:3" s="178" customFormat="1" x14ac:dyDescent="0.3">
      <c r="C241" s="178">
        <f t="shared" si="4"/>
        <v>0</v>
      </c>
    </row>
    <row r="242" spans="3:3" s="178" customFormat="1" x14ac:dyDescent="0.3">
      <c r="C242" s="178">
        <f t="shared" si="4"/>
        <v>0</v>
      </c>
    </row>
    <row r="243" spans="3:3" s="178" customFormat="1" x14ac:dyDescent="0.3">
      <c r="C243" s="178">
        <f t="shared" si="4"/>
        <v>0</v>
      </c>
    </row>
    <row r="244" spans="3:3" s="178" customFormat="1" x14ac:dyDescent="0.3">
      <c r="C244" s="178">
        <f t="shared" si="4"/>
        <v>0</v>
      </c>
    </row>
    <row r="245" spans="3:3" s="178" customFormat="1" x14ac:dyDescent="0.3">
      <c r="C245" s="178">
        <f t="shared" si="4"/>
        <v>0</v>
      </c>
    </row>
    <row r="246" spans="3:3" s="178" customFormat="1" x14ac:dyDescent="0.3">
      <c r="C246" s="178">
        <f t="shared" si="4"/>
        <v>0</v>
      </c>
    </row>
    <row r="247" spans="3:3" s="178" customFormat="1" x14ac:dyDescent="0.3">
      <c r="C247" s="178">
        <f t="shared" si="4"/>
        <v>0</v>
      </c>
    </row>
    <row r="248" spans="3:3" s="178" customFormat="1" x14ac:dyDescent="0.3">
      <c r="C248" s="178">
        <f t="shared" si="4"/>
        <v>0</v>
      </c>
    </row>
    <row r="249" spans="3:3" s="178" customFormat="1" x14ac:dyDescent="0.3">
      <c r="C249" s="178">
        <f t="shared" si="4"/>
        <v>0</v>
      </c>
    </row>
    <row r="250" spans="3:3" s="178" customFormat="1" x14ac:dyDescent="0.3">
      <c r="C250" s="178">
        <f t="shared" si="4"/>
        <v>0</v>
      </c>
    </row>
    <row r="251" spans="3:3" s="178" customFormat="1" x14ac:dyDescent="0.3">
      <c r="C251" s="178">
        <f t="shared" si="4"/>
        <v>0</v>
      </c>
    </row>
    <row r="252" spans="3:3" s="178" customFormat="1" x14ac:dyDescent="0.3">
      <c r="C252" s="178">
        <f t="shared" si="4"/>
        <v>0</v>
      </c>
    </row>
    <row r="253" spans="3:3" s="178" customFormat="1" x14ac:dyDescent="0.3">
      <c r="C253" s="178">
        <f t="shared" si="4"/>
        <v>0</v>
      </c>
    </row>
    <row r="254" spans="3:3" s="178" customFormat="1" x14ac:dyDescent="0.3">
      <c r="C254" s="178">
        <f t="shared" si="4"/>
        <v>0</v>
      </c>
    </row>
    <row r="255" spans="3:3" s="178" customFormat="1" x14ac:dyDescent="0.3">
      <c r="C255" s="178">
        <f t="shared" si="4"/>
        <v>0</v>
      </c>
    </row>
    <row r="256" spans="3:3" s="178" customFormat="1" x14ac:dyDescent="0.3">
      <c r="C256" s="178">
        <f t="shared" si="4"/>
        <v>0</v>
      </c>
    </row>
    <row r="257" spans="3:3" s="178" customFormat="1" x14ac:dyDescent="0.3">
      <c r="C257" s="178">
        <f t="shared" si="4"/>
        <v>0</v>
      </c>
    </row>
    <row r="258" spans="3:3" s="178" customFormat="1" x14ac:dyDescent="0.3">
      <c r="C258" s="178">
        <f t="shared" si="4"/>
        <v>0</v>
      </c>
    </row>
    <row r="259" spans="3:3" s="178" customFormat="1" x14ac:dyDescent="0.3">
      <c r="C259" s="178">
        <f t="shared" si="4"/>
        <v>0</v>
      </c>
    </row>
    <row r="260" spans="3:3" s="178" customFormat="1" x14ac:dyDescent="0.3">
      <c r="C260" s="178">
        <f t="shared" si="4"/>
        <v>0</v>
      </c>
    </row>
    <row r="261" spans="3:3" s="178" customFormat="1" x14ac:dyDescent="0.3">
      <c r="C261" s="178">
        <f t="shared" si="4"/>
        <v>0</v>
      </c>
    </row>
    <row r="262" spans="3:3" s="178" customFormat="1" x14ac:dyDescent="0.3">
      <c r="C262" s="178">
        <f t="shared" si="4"/>
        <v>0</v>
      </c>
    </row>
  </sheetData>
  <mergeCells count="5">
    <mergeCell ref="A7:A15"/>
    <mergeCell ref="A16:A17"/>
    <mergeCell ref="A19:A20"/>
    <mergeCell ref="A39:A40"/>
    <mergeCell ref="A43:A4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M41"/>
  <sheetViews>
    <sheetView zoomScale="70" zoomScaleNormal="70" workbookViewId="0">
      <selection activeCell="B23" sqref="B23"/>
    </sheetView>
  </sheetViews>
  <sheetFormatPr defaultColWidth="9.109375" defaultRowHeight="14.4" x14ac:dyDescent="0.3"/>
  <cols>
    <col min="1" max="1" width="15.109375" style="179" customWidth="1"/>
    <col min="2" max="2" width="12" style="179" customWidth="1"/>
    <col min="3" max="3" width="12.44140625" style="180" customWidth="1"/>
    <col min="4" max="4" width="20.5546875" style="179" customWidth="1"/>
    <col min="5" max="5" width="24.33203125" style="179" customWidth="1"/>
    <col min="6" max="6" width="25.5546875" style="179" customWidth="1"/>
    <col min="7" max="7" width="29.6640625" style="179" customWidth="1"/>
    <col min="8" max="8" width="14.6640625" style="179" customWidth="1"/>
    <col min="9" max="9" width="15.33203125" style="179" hidden="1" customWidth="1"/>
    <col min="10" max="10" width="15.33203125" style="179" customWidth="1"/>
    <col min="11" max="11" width="24.44140625" style="179" customWidth="1"/>
    <col min="12" max="12" width="25.109375" style="179" customWidth="1"/>
    <col min="13" max="13" width="17" style="179" customWidth="1"/>
    <col min="14" max="16384" width="9.109375" style="179"/>
  </cols>
  <sheetData>
    <row r="1" spans="1:13" x14ac:dyDescent="0.3">
      <c r="A1" s="203"/>
      <c r="B1" s="203" t="s">
        <v>20</v>
      </c>
      <c r="C1" s="203" t="s">
        <v>556</v>
      </c>
      <c r="D1" s="204" t="s">
        <v>557</v>
      </c>
      <c r="E1" s="206" t="s">
        <v>558</v>
      </c>
      <c r="F1" s="206" t="s">
        <v>611</v>
      </c>
      <c r="G1" s="203" t="s">
        <v>559</v>
      </c>
      <c r="H1" s="203" t="s">
        <v>560</v>
      </c>
      <c r="I1" s="203" t="s">
        <v>561</v>
      </c>
      <c r="J1" s="203" t="s">
        <v>612</v>
      </c>
      <c r="K1" s="203" t="s">
        <v>562</v>
      </c>
      <c r="L1" s="203" t="s">
        <v>613</v>
      </c>
      <c r="M1" s="203" t="s">
        <v>563</v>
      </c>
    </row>
    <row r="2" spans="1:13" x14ac:dyDescent="0.3">
      <c r="A2" s="89" t="s">
        <v>564</v>
      </c>
      <c r="B2" s="194">
        <v>19.148900000000001</v>
      </c>
      <c r="C2" s="194">
        <f>B2*15.850372483753</f>
        <v>303.51719765413787</v>
      </c>
      <c r="D2" s="191">
        <v>5</v>
      </c>
      <c r="E2" s="193">
        <f>(D2*25.4)/1000</f>
        <v>0.127</v>
      </c>
      <c r="F2" s="193">
        <v>5.0469999999999997</v>
      </c>
      <c r="G2" s="89">
        <f>(F2*25.4)/1000</f>
        <v>0.12819379999999997</v>
      </c>
      <c r="H2" s="89">
        <v>4.87</v>
      </c>
      <c r="I2" s="89">
        <v>1.641</v>
      </c>
      <c r="J2" s="89">
        <f>H2/3.281</f>
        <v>1.4843035659859798</v>
      </c>
      <c r="K2" s="89">
        <f>(I2/100)*2989.06689999997*3.281</f>
        <v>160.93497866694739</v>
      </c>
      <c r="L2" s="89">
        <v>2</v>
      </c>
      <c r="M2" s="91">
        <f>K2*L2</f>
        <v>321.86995733389477</v>
      </c>
    </row>
    <row r="3" spans="1:13" x14ac:dyDescent="0.3">
      <c r="A3" s="89" t="s">
        <v>565</v>
      </c>
      <c r="B3" s="194">
        <v>19.148900000000001</v>
      </c>
      <c r="C3" s="194">
        <f t="shared" ref="C3:C23" si="0">B3*15.850372483753</f>
        <v>303.51719765413787</v>
      </c>
      <c r="D3" s="191">
        <v>5</v>
      </c>
      <c r="E3" s="193">
        <f t="shared" ref="E3:E24" si="1">(D3*25.4)/1000</f>
        <v>0.127</v>
      </c>
      <c r="F3" s="193">
        <v>5.0469999999999997</v>
      </c>
      <c r="G3" s="89">
        <f t="shared" ref="G3:G23" si="2">(F3*25.4)/1000</f>
        <v>0.12819379999999997</v>
      </c>
      <c r="H3" s="89">
        <v>4.87</v>
      </c>
      <c r="I3" s="89">
        <v>1.641</v>
      </c>
      <c r="J3" s="89">
        <f t="shared" ref="J3:J23" si="3">H3/3.281</f>
        <v>1.4843035659859798</v>
      </c>
      <c r="K3" s="89">
        <f t="shared" ref="K3:K23" si="4">(I3/100)*2989.06689999997*3.281</f>
        <v>160.93497866694739</v>
      </c>
      <c r="L3" s="89">
        <v>2</v>
      </c>
      <c r="M3" s="91">
        <f t="shared" ref="M3:M23" si="5">K3*L3</f>
        <v>321.86995733389477</v>
      </c>
    </row>
    <row r="4" spans="1:13" x14ac:dyDescent="0.3">
      <c r="A4" s="89" t="s">
        <v>566</v>
      </c>
      <c r="B4" s="89">
        <v>14.898300000000001</v>
      </c>
      <c r="C4" s="194">
        <f t="shared" si="0"/>
        <v>236.14360437469733</v>
      </c>
      <c r="D4" s="191">
        <v>4</v>
      </c>
      <c r="E4" s="193">
        <f t="shared" si="1"/>
        <v>0.1016</v>
      </c>
      <c r="F4" s="89">
        <v>4.0259999999999998</v>
      </c>
      <c r="G4" s="89">
        <f t="shared" si="2"/>
        <v>0.10226039999999999</v>
      </c>
      <c r="H4" s="89">
        <v>5.95</v>
      </c>
      <c r="I4" s="89">
        <v>3.157</v>
      </c>
      <c r="J4" s="89">
        <f t="shared" si="3"/>
        <v>1.8134715025906736</v>
      </c>
      <c r="K4" s="89">
        <f t="shared" si="4"/>
        <v>309.61104671026987</v>
      </c>
      <c r="L4" s="89">
        <v>4</v>
      </c>
      <c r="M4" s="91">
        <f t="shared" si="5"/>
        <v>1238.4441868410795</v>
      </c>
    </row>
    <row r="5" spans="1:13" x14ac:dyDescent="0.3">
      <c r="A5" s="89" t="s">
        <v>567</v>
      </c>
      <c r="B5" s="89">
        <v>6.78</v>
      </c>
      <c r="C5" s="194">
        <f t="shared" si="0"/>
        <v>107.46552543984535</v>
      </c>
      <c r="D5" s="191">
        <v>3</v>
      </c>
      <c r="E5" s="193">
        <f t="shared" si="1"/>
        <v>7.619999999999999E-2</v>
      </c>
      <c r="F5" s="193">
        <v>3.0680000000000001</v>
      </c>
      <c r="G5" s="89">
        <f t="shared" si="2"/>
        <v>7.7927200000000002E-2</v>
      </c>
      <c r="H5" s="89">
        <v>4.66</v>
      </c>
      <c r="I5" s="89">
        <v>2.7930000000000001</v>
      </c>
      <c r="J5" s="89">
        <f t="shared" si="3"/>
        <v>1.420298689423956</v>
      </c>
      <c r="K5" s="89">
        <f t="shared" si="4"/>
        <v>273.91309897427425</v>
      </c>
      <c r="L5" s="89">
        <v>4</v>
      </c>
      <c r="M5" s="91">
        <f t="shared" si="5"/>
        <v>1095.652395897097</v>
      </c>
    </row>
    <row r="6" spans="1:13" x14ac:dyDescent="0.3">
      <c r="A6" s="89" t="s">
        <v>568</v>
      </c>
      <c r="B6" s="89">
        <v>6.78</v>
      </c>
      <c r="C6" s="194">
        <f t="shared" si="0"/>
        <v>107.46552543984535</v>
      </c>
      <c r="D6" s="191">
        <v>3</v>
      </c>
      <c r="E6" s="193">
        <f t="shared" si="1"/>
        <v>7.619999999999999E-2</v>
      </c>
      <c r="F6" s="193">
        <v>3.0680000000000001</v>
      </c>
      <c r="G6" s="89">
        <f t="shared" si="2"/>
        <v>7.7927200000000002E-2</v>
      </c>
      <c r="H6" s="89">
        <v>4.66</v>
      </c>
      <c r="I6" s="89">
        <v>2.7930000000000001</v>
      </c>
      <c r="J6" s="89">
        <f t="shared" si="3"/>
        <v>1.420298689423956</v>
      </c>
      <c r="K6" s="89">
        <f t="shared" si="4"/>
        <v>273.91309897427425</v>
      </c>
      <c r="L6" s="89">
        <f>6.15+0.45</f>
        <v>6.6000000000000005</v>
      </c>
      <c r="M6" s="91">
        <f t="shared" si="5"/>
        <v>1807.8264532302103</v>
      </c>
    </row>
    <row r="7" spans="1:13" x14ac:dyDescent="0.3">
      <c r="A7" s="89" t="s">
        <v>569</v>
      </c>
      <c r="B7" s="89">
        <v>6.6</v>
      </c>
      <c r="C7" s="194">
        <f t="shared" si="0"/>
        <v>104.6124583927698</v>
      </c>
      <c r="D7" s="191">
        <v>3</v>
      </c>
      <c r="E7" s="193">
        <f t="shared" si="1"/>
        <v>7.619999999999999E-2</v>
      </c>
      <c r="F7" s="189">
        <v>3.0680000000000001</v>
      </c>
      <c r="G7" s="181">
        <f t="shared" si="2"/>
        <v>7.7927200000000002E-2</v>
      </c>
      <c r="H7" s="181">
        <v>4.54</v>
      </c>
      <c r="I7" s="181">
        <v>2.6560000000000001</v>
      </c>
      <c r="J7" s="181">
        <f t="shared" si="3"/>
        <v>1.3837244742456567</v>
      </c>
      <c r="K7" s="181">
        <f t="shared" si="4"/>
        <v>260.47733293078136</v>
      </c>
      <c r="L7" s="181">
        <v>0.45</v>
      </c>
      <c r="M7" s="179">
        <f t="shared" si="5"/>
        <v>117.21479981885162</v>
      </c>
    </row>
    <row r="8" spans="1:13" x14ac:dyDescent="0.3">
      <c r="A8" s="89" t="s">
        <v>570</v>
      </c>
      <c r="B8" s="89">
        <v>6.6</v>
      </c>
      <c r="C8" s="194">
        <f t="shared" si="0"/>
        <v>104.6124583927698</v>
      </c>
      <c r="D8" s="191">
        <v>3</v>
      </c>
      <c r="E8" s="193">
        <f t="shared" si="1"/>
        <v>7.619999999999999E-2</v>
      </c>
      <c r="F8" s="189">
        <v>3.0680000000000001</v>
      </c>
      <c r="G8" s="181">
        <f t="shared" si="2"/>
        <v>7.7927200000000002E-2</v>
      </c>
      <c r="H8" s="181">
        <v>4.49</v>
      </c>
      <c r="I8" s="181">
        <v>2.6030000000000002</v>
      </c>
      <c r="J8" s="181">
        <f t="shared" si="3"/>
        <v>1.3684852179213653</v>
      </c>
      <c r="K8" s="181">
        <f t="shared" si="4"/>
        <v>255.27955482636443</v>
      </c>
      <c r="L8" s="181">
        <v>2.85</v>
      </c>
      <c r="M8" s="179">
        <f t="shared" si="5"/>
        <v>727.54673125513864</v>
      </c>
    </row>
    <row r="9" spans="1:13" x14ac:dyDescent="0.3">
      <c r="A9" s="89" t="s">
        <v>571</v>
      </c>
      <c r="B9" s="89">
        <v>6.46</v>
      </c>
      <c r="C9" s="194">
        <f t="shared" si="0"/>
        <v>102.39340624504439</v>
      </c>
      <c r="D9" s="191">
        <v>3</v>
      </c>
      <c r="E9" s="193">
        <f t="shared" si="1"/>
        <v>7.619999999999999E-2</v>
      </c>
      <c r="F9" s="189">
        <v>3.0680000000000001</v>
      </c>
      <c r="G9" s="181">
        <f t="shared" si="2"/>
        <v>7.7927200000000002E-2</v>
      </c>
      <c r="H9" s="181">
        <v>4.4400000000000004</v>
      </c>
      <c r="I9" s="181">
        <v>2.552</v>
      </c>
      <c r="J9" s="181">
        <f t="shared" si="3"/>
        <v>1.3532459615970742</v>
      </c>
      <c r="K9" s="181">
        <f t="shared" si="4"/>
        <v>250.27791929192551</v>
      </c>
      <c r="L9" s="181">
        <f>2.75+1.8</f>
        <v>4.55</v>
      </c>
      <c r="M9" s="179">
        <f t="shared" si="5"/>
        <v>1138.7645327782611</v>
      </c>
    </row>
    <row r="10" spans="1:13" x14ac:dyDescent="0.3">
      <c r="A10" s="89" t="s">
        <v>572</v>
      </c>
      <c r="B10" s="89">
        <v>5.68</v>
      </c>
      <c r="C10" s="194">
        <f t="shared" si="0"/>
        <v>90.030115707717044</v>
      </c>
      <c r="D10" s="191">
        <v>3</v>
      </c>
      <c r="E10" s="193">
        <f t="shared" si="1"/>
        <v>7.619999999999999E-2</v>
      </c>
      <c r="F10" s="189">
        <v>3.0680000000000001</v>
      </c>
      <c r="G10" s="181">
        <f t="shared" si="2"/>
        <v>7.7927200000000002E-2</v>
      </c>
      <c r="H10" s="181">
        <v>3.91</v>
      </c>
      <c r="I10" s="181">
        <v>2.008</v>
      </c>
      <c r="J10" s="181">
        <f t="shared" si="3"/>
        <v>1.1917098445595855</v>
      </c>
      <c r="K10" s="181">
        <f t="shared" si="4"/>
        <v>196.92714025791003</v>
      </c>
      <c r="L10" s="181">
        <v>2.7</v>
      </c>
      <c r="M10" s="179">
        <f t="shared" si="5"/>
        <v>531.70327869635707</v>
      </c>
    </row>
    <row r="11" spans="1:13" x14ac:dyDescent="0.3">
      <c r="A11" s="89" t="s">
        <v>573</v>
      </c>
      <c r="B11" s="89">
        <v>4.96</v>
      </c>
      <c r="C11" s="194">
        <f t="shared" si="0"/>
        <v>78.61784751941488</v>
      </c>
      <c r="D11" s="191">
        <v>3</v>
      </c>
      <c r="E11" s="193">
        <f t="shared" si="1"/>
        <v>7.619999999999999E-2</v>
      </c>
      <c r="F11" s="189">
        <v>3.0680000000000001</v>
      </c>
      <c r="G11" s="181">
        <f t="shared" si="2"/>
        <v>7.7927200000000002E-2</v>
      </c>
      <c r="H11" s="181">
        <v>3.41</v>
      </c>
      <c r="I11" s="181">
        <v>1.5620000000000001</v>
      </c>
      <c r="J11" s="181">
        <f t="shared" si="3"/>
        <v>1.0393172813166718</v>
      </c>
      <c r="K11" s="181">
        <f t="shared" si="4"/>
        <v>153.18734715281647</v>
      </c>
      <c r="L11" s="181">
        <v>5.0999999999999996</v>
      </c>
      <c r="M11" s="179">
        <f t="shared" si="5"/>
        <v>781.25547047936391</v>
      </c>
    </row>
    <row r="12" spans="1:13" x14ac:dyDescent="0.3">
      <c r="A12" s="89" t="s">
        <v>574</v>
      </c>
      <c r="B12" s="89">
        <v>4.82</v>
      </c>
      <c r="C12" s="194">
        <f>B12*15.850372483753</f>
        <v>76.398795371689474</v>
      </c>
      <c r="D12" s="191">
        <v>3</v>
      </c>
      <c r="E12" s="193">
        <f t="shared" si="1"/>
        <v>7.619999999999999E-2</v>
      </c>
      <c r="F12" s="189">
        <v>3.0680000000000001</v>
      </c>
      <c r="G12" s="181">
        <f t="shared" si="2"/>
        <v>7.7927200000000002E-2</v>
      </c>
      <c r="H12" s="181">
        <v>3.32</v>
      </c>
      <c r="I12" s="181">
        <v>1.482</v>
      </c>
      <c r="J12" s="181">
        <f t="shared" si="3"/>
        <v>1.0118866199329473</v>
      </c>
      <c r="K12" s="181">
        <f t="shared" si="4"/>
        <v>145.34164435369652</v>
      </c>
      <c r="L12" s="181">
        <v>1.2</v>
      </c>
      <c r="M12" s="179">
        <f t="shared" si="5"/>
        <v>174.40997322443582</v>
      </c>
    </row>
    <row r="13" spans="1:13" x14ac:dyDescent="0.3">
      <c r="A13" s="89" t="s">
        <v>575</v>
      </c>
      <c r="B13" s="89">
        <v>4.68</v>
      </c>
      <c r="C13" s="194">
        <f t="shared" si="0"/>
        <v>74.179743223964039</v>
      </c>
      <c r="D13" s="191">
        <v>3</v>
      </c>
      <c r="E13" s="193">
        <f t="shared" si="1"/>
        <v>7.619999999999999E-2</v>
      </c>
      <c r="F13" s="189">
        <v>3.0680000000000001</v>
      </c>
      <c r="G13" s="181">
        <f t="shared" si="2"/>
        <v>7.7927200000000002E-2</v>
      </c>
      <c r="H13" s="181">
        <v>3.22</v>
      </c>
      <c r="I13" s="181">
        <v>1.401</v>
      </c>
      <c r="J13" s="181">
        <f t="shared" si="3"/>
        <v>0.98140810728436456</v>
      </c>
      <c r="K13" s="181">
        <f t="shared" si="4"/>
        <v>137.39787026958763</v>
      </c>
      <c r="L13" s="181">
        <v>6.4</v>
      </c>
      <c r="M13" s="179">
        <f t="shared" si="5"/>
        <v>879.34636972536089</v>
      </c>
    </row>
    <row r="14" spans="1:13" x14ac:dyDescent="0.3">
      <c r="A14" s="89" t="s">
        <v>576</v>
      </c>
      <c r="B14" s="89">
        <v>4.57</v>
      </c>
      <c r="C14" s="194">
        <f>B14*15.850372483753</f>
        <v>72.436202250751222</v>
      </c>
      <c r="D14" s="191">
        <v>3</v>
      </c>
      <c r="E14" s="193">
        <f t="shared" si="1"/>
        <v>7.619999999999999E-2</v>
      </c>
      <c r="F14" s="189">
        <v>3.0680000000000001</v>
      </c>
      <c r="G14" s="181">
        <f t="shared" si="2"/>
        <v>7.7927200000000002E-2</v>
      </c>
      <c r="H14" s="181">
        <v>3.14</v>
      </c>
      <c r="I14" s="181">
        <v>1.343</v>
      </c>
      <c r="J14" s="181">
        <f t="shared" si="3"/>
        <v>0.95702529716549833</v>
      </c>
      <c r="K14" s="181">
        <f t="shared" si="4"/>
        <v>131.70973574022565</v>
      </c>
      <c r="L14" s="181">
        <v>1.25</v>
      </c>
      <c r="M14" s="179">
        <f t="shared" si="5"/>
        <v>164.63716967528205</v>
      </c>
    </row>
    <row r="15" spans="1:13" x14ac:dyDescent="0.3">
      <c r="A15" s="89" t="s">
        <v>577</v>
      </c>
      <c r="B15" s="89">
        <v>4.47</v>
      </c>
      <c r="C15" s="194">
        <f t="shared" si="0"/>
        <v>70.851165002375907</v>
      </c>
      <c r="D15" s="191">
        <v>3</v>
      </c>
      <c r="E15" s="193">
        <f t="shared" si="1"/>
        <v>7.619999999999999E-2</v>
      </c>
      <c r="F15" s="189">
        <v>3.0680000000000001</v>
      </c>
      <c r="G15" s="181">
        <f t="shared" si="2"/>
        <v>7.7927200000000002E-2</v>
      </c>
      <c r="H15" s="181">
        <v>3.07</v>
      </c>
      <c r="I15" s="181">
        <v>1.2889999999999999</v>
      </c>
      <c r="J15" s="181">
        <f t="shared" si="3"/>
        <v>0.93569033831149029</v>
      </c>
      <c r="K15" s="181">
        <f t="shared" si="4"/>
        <v>126.41388635081971</v>
      </c>
      <c r="L15" s="181">
        <v>2.75</v>
      </c>
      <c r="M15" s="179">
        <f t="shared" si="5"/>
        <v>347.6381874647542</v>
      </c>
    </row>
    <row r="16" spans="1:13" x14ac:dyDescent="0.3">
      <c r="A16" s="89" t="s">
        <v>578</v>
      </c>
      <c r="B16" s="89">
        <v>4.25</v>
      </c>
      <c r="C16" s="194">
        <f t="shared" si="0"/>
        <v>67.364083055950246</v>
      </c>
      <c r="D16" s="191">
        <v>3</v>
      </c>
      <c r="E16" s="193">
        <f t="shared" si="1"/>
        <v>7.619999999999999E-2</v>
      </c>
      <c r="F16" s="189">
        <v>3.0680000000000001</v>
      </c>
      <c r="G16" s="181">
        <f t="shared" si="2"/>
        <v>7.7927200000000002E-2</v>
      </c>
      <c r="H16" s="181">
        <v>2.92</v>
      </c>
      <c r="I16" s="181">
        <v>1.175</v>
      </c>
      <c r="J16" s="181">
        <f t="shared" si="3"/>
        <v>0.88997256933861624</v>
      </c>
      <c r="K16" s="181">
        <f t="shared" si="4"/>
        <v>115.23375986207384</v>
      </c>
      <c r="L16" s="181">
        <v>6.15</v>
      </c>
      <c r="M16" s="179">
        <f t="shared" si="5"/>
        <v>708.68762315175411</v>
      </c>
    </row>
    <row r="17" spans="1:13" x14ac:dyDescent="0.3">
      <c r="A17" s="89" t="s">
        <v>579</v>
      </c>
      <c r="B17" s="89">
        <v>4.18</v>
      </c>
      <c r="C17" s="194">
        <f>B17*15.850372483753</f>
        <v>66.254556982087536</v>
      </c>
      <c r="D17" s="191">
        <v>3</v>
      </c>
      <c r="E17" s="193">
        <f t="shared" si="1"/>
        <v>7.619999999999999E-2</v>
      </c>
      <c r="F17" s="189">
        <v>3.0680000000000001</v>
      </c>
      <c r="G17" s="181">
        <f t="shared" si="2"/>
        <v>7.7927200000000002E-2</v>
      </c>
      <c r="H17" s="181">
        <v>2.88</v>
      </c>
      <c r="I17" s="181">
        <v>1.1399999999999999</v>
      </c>
      <c r="J17" s="181">
        <f t="shared" si="3"/>
        <v>0.87778116427918307</v>
      </c>
      <c r="K17" s="181">
        <f t="shared" si="4"/>
        <v>111.80126488745887</v>
      </c>
      <c r="L17" s="181">
        <v>3.25</v>
      </c>
      <c r="M17" s="179">
        <f t="shared" si="5"/>
        <v>363.35411088424132</v>
      </c>
    </row>
    <row r="18" spans="1:13" x14ac:dyDescent="0.3">
      <c r="A18" s="89" t="s">
        <v>580</v>
      </c>
      <c r="B18" s="89">
        <v>4.0999999999999996</v>
      </c>
      <c r="C18" s="194">
        <f t="shared" si="0"/>
        <v>64.986527183387295</v>
      </c>
      <c r="D18" s="191">
        <v>3</v>
      </c>
      <c r="E18" s="193">
        <f t="shared" si="1"/>
        <v>7.619999999999999E-2</v>
      </c>
      <c r="F18" s="189">
        <v>3.0680000000000001</v>
      </c>
      <c r="G18" s="181">
        <f t="shared" si="2"/>
        <v>7.7927200000000002E-2</v>
      </c>
      <c r="H18" s="181">
        <v>2.82</v>
      </c>
      <c r="I18" s="181">
        <v>1.1000000000000001</v>
      </c>
      <c r="J18" s="181">
        <f t="shared" si="3"/>
        <v>0.85949405669003343</v>
      </c>
      <c r="K18" s="181">
        <f t="shared" si="4"/>
        <v>107.87841348789894</v>
      </c>
      <c r="L18" s="181">
        <v>0.75</v>
      </c>
      <c r="M18" s="179">
        <f t="shared" si="5"/>
        <v>80.908810115924211</v>
      </c>
    </row>
    <row r="19" spans="1:13" x14ac:dyDescent="0.3">
      <c r="A19" s="89" t="s">
        <v>581</v>
      </c>
      <c r="B19" s="89">
        <v>3.96</v>
      </c>
      <c r="C19" s="194">
        <f t="shared" si="0"/>
        <v>62.767475035661882</v>
      </c>
      <c r="D19" s="191">
        <v>3</v>
      </c>
      <c r="E19" s="193">
        <f t="shared" si="1"/>
        <v>7.619999999999999E-2</v>
      </c>
      <c r="F19" s="189">
        <v>3.0680000000000001</v>
      </c>
      <c r="G19" s="181">
        <f t="shared" si="2"/>
        <v>7.7927200000000002E-2</v>
      </c>
      <c r="H19" s="181">
        <v>2.72</v>
      </c>
      <c r="I19" s="181">
        <v>1.032</v>
      </c>
      <c r="J19" s="181">
        <f t="shared" si="3"/>
        <v>0.82901554404145084</v>
      </c>
      <c r="K19" s="181">
        <f t="shared" si="4"/>
        <v>101.209566108647</v>
      </c>
      <c r="L19" s="181">
        <v>3.3</v>
      </c>
      <c r="M19" s="179">
        <f t="shared" si="5"/>
        <v>333.99156815853507</v>
      </c>
    </row>
    <row r="20" spans="1:13" x14ac:dyDescent="0.3">
      <c r="A20" s="89" t="s">
        <v>582</v>
      </c>
      <c r="B20" s="89">
        <v>3.82</v>
      </c>
      <c r="C20" s="194">
        <f t="shared" si="0"/>
        <v>60.548422887936461</v>
      </c>
      <c r="D20" s="191">
        <v>3</v>
      </c>
      <c r="E20" s="193">
        <f t="shared" si="1"/>
        <v>7.619999999999999E-2</v>
      </c>
      <c r="F20" s="189">
        <v>3.0680000000000001</v>
      </c>
      <c r="G20" s="181">
        <f t="shared" si="2"/>
        <v>7.7927200000000002E-2</v>
      </c>
      <c r="H20" s="181">
        <v>2.63</v>
      </c>
      <c r="I20" s="181">
        <v>0.96599999999999997</v>
      </c>
      <c r="J20" s="181">
        <f t="shared" si="3"/>
        <v>0.80158488265772621</v>
      </c>
      <c r="K20" s="181">
        <f t="shared" si="4"/>
        <v>94.736861299373047</v>
      </c>
      <c r="L20" s="181">
        <v>8.5500000000000007</v>
      </c>
      <c r="M20" s="179">
        <f t="shared" si="5"/>
        <v>810.00016410963963</v>
      </c>
    </row>
    <row r="21" spans="1:13" x14ac:dyDescent="0.3">
      <c r="A21" s="89" t="s">
        <v>583</v>
      </c>
      <c r="B21" s="89">
        <v>3.61</v>
      </c>
      <c r="C21" s="194">
        <f t="shared" si="0"/>
        <v>57.21984466634833</v>
      </c>
      <c r="D21" s="191">
        <v>3</v>
      </c>
      <c r="E21" s="193">
        <f t="shared" si="1"/>
        <v>7.619999999999999E-2</v>
      </c>
      <c r="F21" s="189">
        <v>3.0680000000000001</v>
      </c>
      <c r="G21" s="181">
        <f t="shared" si="2"/>
        <v>7.7927200000000002E-2</v>
      </c>
      <c r="H21" s="181">
        <v>2.48</v>
      </c>
      <c r="I21" s="181">
        <v>0.871</v>
      </c>
      <c r="J21" s="181">
        <f t="shared" si="3"/>
        <v>0.75586711368485215</v>
      </c>
      <c r="K21" s="181">
        <f t="shared" si="4"/>
        <v>85.420089225418138</v>
      </c>
      <c r="L21" s="181">
        <v>3.35</v>
      </c>
      <c r="M21" s="179">
        <f t="shared" si="5"/>
        <v>286.15729890515075</v>
      </c>
    </row>
    <row r="22" spans="1:13" x14ac:dyDescent="0.3">
      <c r="A22" s="89" t="s">
        <v>584</v>
      </c>
      <c r="B22" s="89">
        <v>3.5</v>
      </c>
      <c r="C22" s="194">
        <f>B22*15.850372483753</f>
        <v>55.476303693135499</v>
      </c>
      <c r="D22" s="191">
        <v>3</v>
      </c>
      <c r="E22" s="193">
        <f t="shared" si="1"/>
        <v>7.619999999999999E-2</v>
      </c>
      <c r="F22" s="189">
        <v>3.0680000000000001</v>
      </c>
      <c r="G22" s="181">
        <f t="shared" si="2"/>
        <v>7.7927200000000002E-2</v>
      </c>
      <c r="H22" s="181">
        <v>2.41</v>
      </c>
      <c r="I22" s="181">
        <v>0.82299999999999995</v>
      </c>
      <c r="J22" s="181">
        <f t="shared" si="3"/>
        <v>0.73453215483084422</v>
      </c>
      <c r="K22" s="181">
        <f t="shared" si="4"/>
        <v>80.712667545946189</v>
      </c>
      <c r="L22" s="181">
        <v>6.05</v>
      </c>
      <c r="M22" s="179">
        <f t="shared" si="5"/>
        <v>488.31163865297441</v>
      </c>
    </row>
    <row r="23" spans="1:13" x14ac:dyDescent="0.3">
      <c r="A23" s="89" t="s">
        <v>585</v>
      </c>
      <c r="B23" s="89">
        <v>3.43</v>
      </c>
      <c r="C23" s="194">
        <f t="shared" si="0"/>
        <v>54.366777619272796</v>
      </c>
      <c r="D23" s="191">
        <v>3</v>
      </c>
      <c r="E23" s="193">
        <f t="shared" si="1"/>
        <v>7.619999999999999E-2</v>
      </c>
      <c r="F23" s="189">
        <v>3.0680000000000001</v>
      </c>
      <c r="G23" s="181">
        <f t="shared" si="2"/>
        <v>7.7927200000000002E-2</v>
      </c>
      <c r="H23" s="181">
        <v>2.36</v>
      </c>
      <c r="I23" s="181">
        <v>0.79300000000000004</v>
      </c>
      <c r="J23" s="181">
        <f t="shared" si="3"/>
        <v>0.71929289850655276</v>
      </c>
      <c r="K23" s="181">
        <f t="shared" si="4"/>
        <v>77.770528996276212</v>
      </c>
      <c r="L23" s="181">
        <f>8.65+1.5</f>
        <v>10.15</v>
      </c>
      <c r="M23" s="179">
        <f t="shared" si="5"/>
        <v>789.37086931220358</v>
      </c>
    </row>
    <row r="24" spans="1:13" x14ac:dyDescent="0.3">
      <c r="A24" s="89"/>
      <c r="B24" s="89"/>
      <c r="C24" s="194"/>
      <c r="D24" s="191"/>
      <c r="E24" s="193">
        <f t="shared" si="1"/>
        <v>0</v>
      </c>
      <c r="F24" s="189"/>
      <c r="G24" s="181"/>
      <c r="H24" s="181"/>
      <c r="I24" s="181"/>
      <c r="J24" s="181"/>
      <c r="K24" s="181"/>
      <c r="L24" s="181"/>
      <c r="M24" s="190">
        <f>SUM(M2:M23)</f>
        <v>13508.961547044406</v>
      </c>
    </row>
    <row r="25" spans="1:13" x14ac:dyDescent="0.3">
      <c r="A25" s="91"/>
      <c r="B25" s="91"/>
      <c r="C25" s="195"/>
      <c r="D25" s="91"/>
      <c r="E25" s="91"/>
    </row>
    <row r="26" spans="1:13" x14ac:dyDescent="0.3">
      <c r="A26" s="91"/>
      <c r="B26" s="91"/>
      <c r="C26" s="195"/>
      <c r="D26" s="91"/>
      <c r="E26" s="91"/>
    </row>
    <row r="27" spans="1:13" x14ac:dyDescent="0.3">
      <c r="A27" s="91"/>
      <c r="B27" s="91"/>
      <c r="C27" s="195"/>
      <c r="D27" s="91"/>
      <c r="E27" s="91"/>
    </row>
    <row r="28" spans="1:13" x14ac:dyDescent="0.3">
      <c r="A28" s="91"/>
      <c r="B28" s="91"/>
      <c r="C28" s="195"/>
      <c r="D28" s="91"/>
      <c r="E28" s="91"/>
    </row>
    <row r="29" spans="1:13" x14ac:dyDescent="0.3">
      <c r="A29" s="91"/>
      <c r="B29" s="91"/>
      <c r="C29" s="195"/>
      <c r="D29" s="91"/>
      <c r="E29" s="91"/>
    </row>
    <row r="30" spans="1:13" x14ac:dyDescent="0.3">
      <c r="A30" s="91"/>
      <c r="B30" s="91"/>
      <c r="C30" s="195"/>
      <c r="D30" s="91"/>
      <c r="E30" s="91"/>
    </row>
    <row r="31" spans="1:13" x14ac:dyDescent="0.3">
      <c r="A31" s="91"/>
      <c r="B31" s="91"/>
      <c r="C31" s="195"/>
      <c r="D31" s="91"/>
      <c r="E31" s="91"/>
    </row>
    <row r="32" spans="1:13" x14ac:dyDescent="0.3">
      <c r="A32" s="91"/>
      <c r="B32" s="91"/>
      <c r="C32" s="195"/>
      <c r="D32" s="91"/>
      <c r="E32" s="91"/>
    </row>
    <row r="33" spans="1:5" x14ac:dyDescent="0.3">
      <c r="A33" s="91"/>
      <c r="B33" s="91"/>
      <c r="C33" s="195"/>
      <c r="D33" s="91"/>
      <c r="E33" s="91"/>
    </row>
    <row r="34" spans="1:5" x14ac:dyDescent="0.3">
      <c r="A34" s="91"/>
      <c r="B34" s="91"/>
      <c r="C34" s="195"/>
      <c r="D34" s="91"/>
      <c r="E34" s="91"/>
    </row>
    <row r="35" spans="1:5" x14ac:dyDescent="0.3">
      <c r="A35" s="91"/>
      <c r="B35" s="91"/>
      <c r="C35" s="195"/>
      <c r="D35" s="91"/>
      <c r="E35" s="91"/>
    </row>
    <row r="36" spans="1:5" x14ac:dyDescent="0.3">
      <c r="A36" s="91"/>
      <c r="B36" s="91"/>
      <c r="C36" s="195"/>
      <c r="D36" s="91"/>
      <c r="E36" s="91"/>
    </row>
    <row r="37" spans="1:5" x14ac:dyDescent="0.3">
      <c r="A37" s="91"/>
      <c r="B37" s="91"/>
      <c r="C37" s="195"/>
      <c r="D37" s="91"/>
      <c r="E37" s="91"/>
    </row>
    <row r="38" spans="1:5" x14ac:dyDescent="0.3">
      <c r="A38" s="91"/>
      <c r="B38" s="91"/>
      <c r="C38" s="195"/>
      <c r="D38" s="91"/>
      <c r="E38" s="91"/>
    </row>
    <row r="39" spans="1:5" x14ac:dyDescent="0.3">
      <c r="A39" s="91"/>
      <c r="B39" s="91"/>
      <c r="C39" s="195"/>
      <c r="D39" s="91"/>
      <c r="E39" s="91"/>
    </row>
    <row r="40" spans="1:5" x14ac:dyDescent="0.3">
      <c r="A40" s="91"/>
      <c r="B40" s="91"/>
      <c r="C40" s="195"/>
      <c r="D40" s="91"/>
      <c r="E40" s="91"/>
    </row>
    <row r="41" spans="1:5" x14ac:dyDescent="0.3">
      <c r="A41" s="91"/>
      <c r="B41" s="91"/>
      <c r="C41" s="195"/>
      <c r="D41" s="91"/>
      <c r="E41" s="91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59999389629810485"/>
  </sheetPr>
  <dimension ref="A1:J154"/>
  <sheetViews>
    <sheetView topLeftCell="A52" workbookViewId="0">
      <selection activeCell="J16" sqref="J16"/>
    </sheetView>
  </sheetViews>
  <sheetFormatPr defaultColWidth="8.6640625" defaultRowHeight="15" x14ac:dyDescent="0.3"/>
  <cols>
    <col min="1" max="1" width="38.5546875" style="201" customWidth="1"/>
    <col min="2" max="2" width="19" style="201" customWidth="1"/>
    <col min="3" max="3" width="10.44140625" style="201" customWidth="1"/>
    <col min="4" max="4" width="16.88671875" style="201" customWidth="1"/>
    <col min="5" max="5" width="20" style="201" customWidth="1"/>
    <col min="6" max="6" width="22.44140625" style="201" customWidth="1"/>
    <col min="7" max="7" width="13.109375" style="201" customWidth="1"/>
    <col min="8" max="8" width="19.6640625" style="201" customWidth="1"/>
    <col min="9" max="9" width="8.6640625" style="201"/>
    <col min="10" max="10" width="10" style="201" customWidth="1"/>
    <col min="11" max="16384" width="8.6640625" style="201"/>
  </cols>
  <sheetData>
    <row r="1" spans="1:8" ht="15.6" x14ac:dyDescent="0.3">
      <c r="A1" s="309" t="s">
        <v>630</v>
      </c>
      <c r="B1" s="310"/>
      <c r="C1" s="310"/>
      <c r="D1" s="310"/>
      <c r="E1" s="310"/>
      <c r="F1" s="310"/>
      <c r="G1" s="310"/>
      <c r="H1" s="311"/>
    </row>
    <row r="2" spans="1:8" ht="15.6" x14ac:dyDescent="0.3">
      <c r="A2" s="215" t="s">
        <v>0</v>
      </c>
      <c r="B2" s="215" t="s">
        <v>168</v>
      </c>
      <c r="C2" s="215" t="s">
        <v>53</v>
      </c>
      <c r="D2" s="215" t="s">
        <v>626</v>
      </c>
      <c r="E2" s="215" t="s">
        <v>627</v>
      </c>
      <c r="F2" s="215" t="s">
        <v>628</v>
      </c>
      <c r="G2" s="215" t="s">
        <v>614</v>
      </c>
      <c r="H2" s="215" t="s">
        <v>615</v>
      </c>
    </row>
    <row r="3" spans="1:8" x14ac:dyDescent="0.3">
      <c r="A3" s="212" t="s">
        <v>602</v>
      </c>
      <c r="B3" s="216">
        <v>726.79679999999996</v>
      </c>
      <c r="C3" s="212">
        <f xml:space="preserve"> B3 /4</f>
        <v>181.69919999999999</v>
      </c>
      <c r="D3" s="212">
        <v>59.082813860000002</v>
      </c>
      <c r="E3" s="212">
        <f t="shared" ref="E3:E10" si="0">(C3*D3/C$11)</f>
        <v>40.238628874189153</v>
      </c>
      <c r="F3" s="212">
        <f>E3/3.5167</f>
        <v>11.442155678388589</v>
      </c>
      <c r="G3" s="212">
        <v>12</v>
      </c>
      <c r="H3" s="212">
        <f t="shared" ref="H3:H10" si="1">G3*3.5167</f>
        <v>42.200400000000002</v>
      </c>
    </row>
    <row r="4" spans="1:8" x14ac:dyDescent="0.3">
      <c r="A4" s="212" t="s">
        <v>432</v>
      </c>
      <c r="B4" s="216">
        <v>31.27</v>
      </c>
      <c r="C4" s="212">
        <v>7.8174999999999999</v>
      </c>
      <c r="D4" s="212">
        <v>59.082813860000002</v>
      </c>
      <c r="E4" s="212">
        <f t="shared" si="0"/>
        <v>1.7312430721983019</v>
      </c>
      <c r="F4" s="212">
        <f t="shared" ref="F4:F10" si="2">E4/3.5167</f>
        <v>0.49229194193371678</v>
      </c>
      <c r="G4" s="212">
        <v>1</v>
      </c>
      <c r="H4" s="212">
        <f t="shared" si="1"/>
        <v>3.5167000000000002</v>
      </c>
    </row>
    <row r="5" spans="1:8" x14ac:dyDescent="0.3">
      <c r="A5" s="212" t="s">
        <v>616</v>
      </c>
      <c r="B5" s="212">
        <v>22.44</v>
      </c>
      <c r="C5" s="212">
        <v>5.61</v>
      </c>
      <c r="D5" s="212">
        <v>59.082813860000002</v>
      </c>
      <c r="E5" s="212">
        <f t="shared" si="0"/>
        <v>1.2423759047051455</v>
      </c>
      <c r="F5" s="212">
        <f t="shared" si="2"/>
        <v>0.35327889916829569</v>
      </c>
      <c r="G5" s="212">
        <v>1</v>
      </c>
      <c r="H5" s="212">
        <f t="shared" si="1"/>
        <v>3.5167000000000002</v>
      </c>
    </row>
    <row r="6" spans="1:8" x14ac:dyDescent="0.3">
      <c r="A6" s="212" t="s">
        <v>617</v>
      </c>
      <c r="B6" s="212">
        <v>22.081199999999999</v>
      </c>
      <c r="C6" s="212">
        <v>5.5202999999999998</v>
      </c>
      <c r="D6" s="212">
        <v>59.082813860000002</v>
      </c>
      <c r="E6" s="212">
        <f t="shared" si="0"/>
        <v>1.222511177672694</v>
      </c>
      <c r="F6" s="212">
        <f t="shared" si="2"/>
        <v>0.3476302151655512</v>
      </c>
      <c r="G6" s="212">
        <v>1</v>
      </c>
      <c r="H6" s="212">
        <f t="shared" si="1"/>
        <v>3.5167000000000002</v>
      </c>
    </row>
    <row r="7" spans="1:8" x14ac:dyDescent="0.3">
      <c r="A7" s="212" t="s">
        <v>608</v>
      </c>
      <c r="B7" s="212">
        <v>33.254800000000003</v>
      </c>
      <c r="C7" s="212">
        <v>8.3137000000000008</v>
      </c>
      <c r="D7" s="212">
        <v>59.082813860000002</v>
      </c>
      <c r="E7" s="212">
        <f t="shared" si="0"/>
        <v>1.84113022441126</v>
      </c>
      <c r="F7" s="212">
        <f t="shared" si="2"/>
        <v>0.52353917718635645</v>
      </c>
      <c r="G7" s="212">
        <v>1</v>
      </c>
      <c r="H7" s="212">
        <f t="shared" si="1"/>
        <v>3.5167000000000002</v>
      </c>
    </row>
    <row r="8" spans="1:8" x14ac:dyDescent="0.3">
      <c r="A8" s="212" t="s">
        <v>383</v>
      </c>
      <c r="B8" s="212">
        <v>136.86080000000001</v>
      </c>
      <c r="C8" s="212">
        <v>34.215200000000003</v>
      </c>
      <c r="D8" s="212">
        <v>59.082813860000002</v>
      </c>
      <c r="E8" s="212">
        <f t="shared" si="0"/>
        <v>7.5772085658943844</v>
      </c>
      <c r="F8" s="212">
        <f t="shared" si="2"/>
        <v>2.1546360411449323</v>
      </c>
      <c r="G8" s="212">
        <v>2.5</v>
      </c>
      <c r="H8" s="212">
        <f t="shared" si="1"/>
        <v>8.7917500000000004</v>
      </c>
    </row>
    <row r="9" spans="1:8" x14ac:dyDescent="0.3">
      <c r="A9" s="212" t="s">
        <v>618</v>
      </c>
      <c r="B9" s="212">
        <v>78.551199999999994</v>
      </c>
      <c r="C9" s="212">
        <v>19.637799999999999</v>
      </c>
      <c r="D9" s="212">
        <v>59.082813860000002</v>
      </c>
      <c r="E9" s="212">
        <f t="shared" si="0"/>
        <v>4.3489357471334582</v>
      </c>
      <c r="F9" s="212">
        <f t="shared" si="2"/>
        <v>1.2366524716732898</v>
      </c>
      <c r="G9" s="212">
        <v>1.5</v>
      </c>
      <c r="H9" s="212">
        <f t="shared" si="1"/>
        <v>5.2750500000000002</v>
      </c>
    </row>
    <row r="10" spans="1:8" x14ac:dyDescent="0.3">
      <c r="A10" s="222" t="s">
        <v>619</v>
      </c>
      <c r="B10" s="212">
        <v>15.908799999999999</v>
      </c>
      <c r="C10" s="212">
        <v>3.9771999999999998</v>
      </c>
      <c r="D10" s="212">
        <v>59.082813860000002</v>
      </c>
      <c r="E10" s="212">
        <f t="shared" si="0"/>
        <v>0.88078029379559797</v>
      </c>
      <c r="F10" s="212">
        <f t="shared" si="2"/>
        <v>0.25045647732123805</v>
      </c>
      <c r="G10" s="212">
        <v>1</v>
      </c>
      <c r="H10" s="212">
        <f t="shared" si="1"/>
        <v>3.5167000000000002</v>
      </c>
    </row>
    <row r="11" spans="1:8" ht="15.6" x14ac:dyDescent="0.3">
      <c r="A11" s="213"/>
      <c r="B11" s="213"/>
      <c r="C11" s="214">
        <f>SUM(C3:C10)</f>
        <v>266.79090000000002</v>
      </c>
      <c r="D11" s="213"/>
      <c r="E11" s="213"/>
      <c r="F11" s="213"/>
    </row>
    <row r="12" spans="1:8" x14ac:dyDescent="0.3">
      <c r="A12" s="213"/>
      <c r="B12" s="213"/>
      <c r="C12" s="213"/>
      <c r="D12" s="213"/>
      <c r="E12" s="213"/>
      <c r="F12" s="213"/>
    </row>
    <row r="13" spans="1:8" x14ac:dyDescent="0.3">
      <c r="A13" s="213"/>
      <c r="B13" s="213"/>
      <c r="C13" s="213"/>
      <c r="D13" s="213"/>
      <c r="E13" s="213"/>
      <c r="F13" s="213"/>
    </row>
    <row r="14" spans="1:8" ht="15.6" x14ac:dyDescent="0.3">
      <c r="A14" s="309" t="s">
        <v>629</v>
      </c>
      <c r="B14" s="310"/>
      <c r="C14" s="310"/>
      <c r="D14" s="310"/>
      <c r="E14" s="310"/>
      <c r="F14" s="310"/>
      <c r="G14" s="310"/>
      <c r="H14" s="311"/>
    </row>
    <row r="15" spans="1:8" ht="15.6" x14ac:dyDescent="0.3">
      <c r="A15" s="215" t="s">
        <v>0</v>
      </c>
      <c r="B15" s="215" t="s">
        <v>168</v>
      </c>
      <c r="C15" s="215" t="s">
        <v>53</v>
      </c>
      <c r="D15" s="215" t="s">
        <v>626</v>
      </c>
      <c r="E15" s="215" t="s">
        <v>627</v>
      </c>
      <c r="F15" s="215" t="s">
        <v>628</v>
      </c>
      <c r="G15" s="215" t="s">
        <v>614</v>
      </c>
      <c r="H15" s="215" t="s">
        <v>615</v>
      </c>
    </row>
    <row r="16" spans="1:8" x14ac:dyDescent="0.3">
      <c r="A16" s="212" t="s">
        <v>620</v>
      </c>
      <c r="B16" s="216">
        <v>93.554400000000001</v>
      </c>
      <c r="C16" s="212">
        <f>B16/4</f>
        <v>23.3886</v>
      </c>
      <c r="D16" s="212">
        <v>17.880403149999999</v>
      </c>
      <c r="E16" s="212">
        <f>(C16*D16)/C$18</f>
        <v>7.4348089928298666</v>
      </c>
      <c r="F16" s="212">
        <f>E16/3.5167</f>
        <v>2.1141436553672097</v>
      </c>
      <c r="G16" s="212">
        <v>2.5</v>
      </c>
      <c r="H16" s="212">
        <f>G16*3.5167</f>
        <v>8.7917500000000004</v>
      </c>
    </row>
    <row r="17" spans="1:8" x14ac:dyDescent="0.3">
      <c r="A17" s="212" t="s">
        <v>38</v>
      </c>
      <c r="B17" s="216">
        <v>131.44</v>
      </c>
      <c r="C17" s="212">
        <f>B17/4</f>
        <v>32.86</v>
      </c>
      <c r="D17" s="212">
        <v>17.880403149999999</v>
      </c>
      <c r="E17" s="212">
        <f>(C17*D17)/C$18</f>
        <v>10.445594157170135</v>
      </c>
      <c r="F17" s="212">
        <f>E17/3.5167</f>
        <v>2.9702829803992761</v>
      </c>
      <c r="G17" s="212">
        <v>3</v>
      </c>
      <c r="H17" s="212">
        <f>G17*3.5167</f>
        <v>10.5501</v>
      </c>
    </row>
    <row r="18" spans="1:8" ht="15.6" x14ac:dyDescent="0.3">
      <c r="A18" s="213"/>
      <c r="B18" s="217"/>
      <c r="C18" s="214">
        <f>SUM(C16,C17)</f>
        <v>56.248599999999996</v>
      </c>
      <c r="E18" s="213"/>
      <c r="F18" s="213"/>
    </row>
    <row r="19" spans="1:8" x14ac:dyDescent="0.3">
      <c r="A19" s="213"/>
      <c r="B19" s="213"/>
      <c r="C19" s="213"/>
      <c r="D19" s="213"/>
      <c r="E19" s="213"/>
      <c r="F19" s="213"/>
    </row>
    <row r="20" spans="1:8" ht="15.6" x14ac:dyDescent="0.3">
      <c r="A20" s="309" t="s">
        <v>631</v>
      </c>
      <c r="B20" s="310"/>
      <c r="C20" s="310"/>
      <c r="D20" s="310"/>
      <c r="E20" s="310"/>
      <c r="F20" s="310"/>
      <c r="G20" s="310"/>
      <c r="H20" s="311"/>
    </row>
    <row r="21" spans="1:8" ht="15.6" x14ac:dyDescent="0.3">
      <c r="A21" s="215" t="s">
        <v>0</v>
      </c>
      <c r="B21" s="215" t="s">
        <v>168</v>
      </c>
      <c r="C21" s="215" t="s">
        <v>53</v>
      </c>
      <c r="D21" s="215" t="s">
        <v>626</v>
      </c>
      <c r="E21" s="215" t="s">
        <v>627</v>
      </c>
      <c r="F21" s="215" t="s">
        <v>628</v>
      </c>
      <c r="G21" s="215" t="s">
        <v>614</v>
      </c>
      <c r="H21" s="215" t="s">
        <v>615</v>
      </c>
    </row>
    <row r="22" spans="1:8" x14ac:dyDescent="0.3">
      <c r="A22" s="212" t="s">
        <v>609</v>
      </c>
      <c r="B22" s="216">
        <v>65.238</v>
      </c>
      <c r="C22" s="212">
        <f t="shared" ref="C22:C54" si="3" xml:space="preserve"> B22 /4</f>
        <v>16.3095</v>
      </c>
      <c r="D22" s="212">
        <v>92.416084290000001</v>
      </c>
      <c r="E22" s="212">
        <f t="shared" ref="E22:E54" si="4">(D22*C22)/C$55</f>
        <v>2.276545309219542</v>
      </c>
      <c r="F22" s="212">
        <f>E22/3.5617</f>
        <v>0.63917379600178059</v>
      </c>
      <c r="G22" s="212">
        <v>1</v>
      </c>
      <c r="H22" s="212">
        <f t="shared" ref="H22:H54" si="5">G22*3.5167</f>
        <v>3.5167000000000002</v>
      </c>
    </row>
    <row r="23" spans="1:8" x14ac:dyDescent="0.3">
      <c r="A23" s="212" t="s">
        <v>621</v>
      </c>
      <c r="B23" s="216">
        <v>525.20000000000005</v>
      </c>
      <c r="C23" s="212">
        <f t="shared" si="3"/>
        <v>131.30000000000001</v>
      </c>
      <c r="D23" s="212">
        <v>92.416084290000001</v>
      </c>
      <c r="E23" s="212">
        <f t="shared" si="4"/>
        <v>18.327379692849316</v>
      </c>
      <c r="F23" s="212">
        <f t="shared" ref="F23:F54" si="6">E23/3.5617</f>
        <v>5.1456831549117883</v>
      </c>
      <c r="G23" s="212">
        <v>6</v>
      </c>
      <c r="H23" s="212">
        <f t="shared" si="5"/>
        <v>21.100200000000001</v>
      </c>
    </row>
    <row r="24" spans="1:8" x14ac:dyDescent="0.3">
      <c r="A24" s="212" t="s">
        <v>345</v>
      </c>
      <c r="B24" s="216">
        <v>125.1572</v>
      </c>
      <c r="C24" s="212">
        <f t="shared" si="3"/>
        <v>31.289300000000001</v>
      </c>
      <c r="D24" s="212">
        <v>92.416084290000001</v>
      </c>
      <c r="E24" s="212">
        <f t="shared" si="4"/>
        <v>4.3674857686479056</v>
      </c>
      <c r="F24" s="212">
        <f t="shared" si="6"/>
        <v>1.226236282855913</v>
      </c>
      <c r="G24" s="212">
        <v>1.5</v>
      </c>
      <c r="H24" s="212">
        <f t="shared" si="5"/>
        <v>5.2750500000000002</v>
      </c>
    </row>
    <row r="25" spans="1:8" x14ac:dyDescent="0.3">
      <c r="A25" s="212" t="s">
        <v>347</v>
      </c>
      <c r="B25" s="216">
        <v>82.994799999999998</v>
      </c>
      <c r="C25" s="212">
        <f t="shared" si="3"/>
        <v>20.748699999999999</v>
      </c>
      <c r="D25" s="212">
        <v>92.416084290000001</v>
      </c>
      <c r="E25" s="212">
        <f t="shared" si="4"/>
        <v>2.8961866186825782</v>
      </c>
      <c r="F25" s="212">
        <f t="shared" si="6"/>
        <v>0.81314726638475399</v>
      </c>
      <c r="G25" s="212">
        <v>1</v>
      </c>
      <c r="H25" s="212">
        <f t="shared" si="5"/>
        <v>3.5167000000000002</v>
      </c>
    </row>
    <row r="26" spans="1:8" x14ac:dyDescent="0.3">
      <c r="A26" s="212" t="s">
        <v>488</v>
      </c>
      <c r="B26" s="216">
        <v>71.8048</v>
      </c>
      <c r="C26" s="212">
        <f t="shared" si="3"/>
        <v>17.9512</v>
      </c>
      <c r="D26" s="212">
        <v>92.416084290000001</v>
      </c>
      <c r="E26" s="212">
        <f t="shared" si="4"/>
        <v>2.5057003681818477</v>
      </c>
      <c r="F26" s="212">
        <f t="shared" si="6"/>
        <v>0.70351247106209047</v>
      </c>
      <c r="G26" s="212">
        <v>1</v>
      </c>
      <c r="H26" s="212">
        <f t="shared" si="5"/>
        <v>3.5167000000000002</v>
      </c>
    </row>
    <row r="27" spans="1:8" x14ac:dyDescent="0.3">
      <c r="A27" s="212" t="s">
        <v>489</v>
      </c>
      <c r="B27" s="216">
        <v>68.551199999999994</v>
      </c>
      <c r="C27" s="212">
        <f t="shared" si="3"/>
        <v>17.137799999999999</v>
      </c>
      <c r="D27" s="212">
        <v>92.416084290000001</v>
      </c>
      <c r="E27" s="212">
        <f t="shared" si="4"/>
        <v>2.3921627395286591</v>
      </c>
      <c r="F27" s="212">
        <f t="shared" si="6"/>
        <v>0.67163510108337565</v>
      </c>
      <c r="G27" s="212">
        <v>1</v>
      </c>
      <c r="H27" s="212">
        <f t="shared" si="5"/>
        <v>3.5167000000000002</v>
      </c>
    </row>
    <row r="28" spans="1:8" x14ac:dyDescent="0.3">
      <c r="A28" s="212" t="s">
        <v>490</v>
      </c>
      <c r="B28" s="216">
        <v>46.424799999999998</v>
      </c>
      <c r="C28" s="212">
        <f t="shared" si="3"/>
        <v>11.606199999999999</v>
      </c>
      <c r="D28" s="212">
        <v>92.416084290000001</v>
      </c>
      <c r="E28" s="212">
        <f t="shared" si="4"/>
        <v>1.6200398643651763</v>
      </c>
      <c r="F28" s="212">
        <f t="shared" si="6"/>
        <v>0.4548501738959419</v>
      </c>
      <c r="G28" s="212">
        <v>1</v>
      </c>
      <c r="H28" s="212">
        <f t="shared" si="5"/>
        <v>3.5167000000000002</v>
      </c>
    </row>
    <row r="29" spans="1:8" x14ac:dyDescent="0.3">
      <c r="A29" s="212" t="s">
        <v>606</v>
      </c>
      <c r="B29" s="216">
        <v>57.5244</v>
      </c>
      <c r="C29" s="212">
        <f t="shared" si="3"/>
        <v>14.3811</v>
      </c>
      <c r="D29" s="212">
        <v>92.416084290000001</v>
      </c>
      <c r="E29" s="212">
        <f t="shared" si="4"/>
        <v>2.0073715163810757</v>
      </c>
      <c r="F29" s="212">
        <f t="shared" si="6"/>
        <v>0.56359926899544477</v>
      </c>
      <c r="G29" s="212">
        <v>1</v>
      </c>
      <c r="H29" s="212">
        <f t="shared" si="5"/>
        <v>3.5167000000000002</v>
      </c>
    </row>
    <row r="30" spans="1:8" x14ac:dyDescent="0.3">
      <c r="A30" s="212" t="s">
        <v>607</v>
      </c>
      <c r="B30" s="216">
        <v>57.5244</v>
      </c>
      <c r="C30" s="212">
        <f t="shared" si="3"/>
        <v>14.3811</v>
      </c>
      <c r="D30" s="212">
        <v>92.416084290000001</v>
      </c>
      <c r="E30" s="212">
        <f t="shared" si="4"/>
        <v>2.0073715163810757</v>
      </c>
      <c r="F30" s="212">
        <f t="shared" si="6"/>
        <v>0.56359926899544477</v>
      </c>
      <c r="G30" s="212">
        <v>1</v>
      </c>
      <c r="H30" s="212">
        <f t="shared" si="5"/>
        <v>3.5167000000000002</v>
      </c>
    </row>
    <row r="31" spans="1:8" x14ac:dyDescent="0.3">
      <c r="A31" s="212" t="s">
        <v>604</v>
      </c>
      <c r="B31" s="216">
        <v>57.742400000000004</v>
      </c>
      <c r="C31" s="212">
        <f t="shared" si="3"/>
        <v>14.435600000000001</v>
      </c>
      <c r="D31" s="212">
        <v>92.416084290000001</v>
      </c>
      <c r="E31" s="212">
        <f t="shared" si="4"/>
        <v>2.0149788445856478</v>
      </c>
      <c r="F31" s="212">
        <f t="shared" si="6"/>
        <v>0.56573513900262451</v>
      </c>
      <c r="G31" s="212">
        <v>1</v>
      </c>
      <c r="H31" s="212">
        <f t="shared" si="5"/>
        <v>3.5167000000000002</v>
      </c>
    </row>
    <row r="32" spans="1:8" x14ac:dyDescent="0.3">
      <c r="A32" s="212" t="s">
        <v>605</v>
      </c>
      <c r="B32" s="216">
        <v>57.742400000000004</v>
      </c>
      <c r="C32" s="212">
        <f t="shared" si="3"/>
        <v>14.435600000000001</v>
      </c>
      <c r="D32" s="212">
        <v>92.416084290000001</v>
      </c>
      <c r="E32" s="212">
        <f t="shared" si="4"/>
        <v>2.0149788445856478</v>
      </c>
      <c r="F32" s="212">
        <f t="shared" si="6"/>
        <v>0.56573513900262451</v>
      </c>
      <c r="G32" s="212">
        <v>1</v>
      </c>
      <c r="H32" s="212">
        <f t="shared" si="5"/>
        <v>3.5167000000000002</v>
      </c>
    </row>
    <row r="33" spans="1:8" x14ac:dyDescent="0.3">
      <c r="A33" s="212" t="s">
        <v>76</v>
      </c>
      <c r="B33" s="216">
        <v>21.95</v>
      </c>
      <c r="C33" s="212">
        <f t="shared" si="3"/>
        <v>5.4874999999999998</v>
      </c>
      <c r="D33" s="212">
        <v>92.416084290000001</v>
      </c>
      <c r="E33" s="212">
        <f t="shared" si="4"/>
        <v>0.7659672205979482</v>
      </c>
      <c r="F33" s="212">
        <f t="shared" si="6"/>
        <v>0.21505663604400937</v>
      </c>
      <c r="G33" s="212">
        <v>1</v>
      </c>
      <c r="H33" s="212">
        <f t="shared" si="5"/>
        <v>3.5167000000000002</v>
      </c>
    </row>
    <row r="34" spans="1:8" x14ac:dyDescent="0.3">
      <c r="A34" s="212" t="s">
        <v>75</v>
      </c>
      <c r="B34" s="216">
        <v>22.04</v>
      </c>
      <c r="C34" s="212">
        <f t="shared" si="3"/>
        <v>5.51</v>
      </c>
      <c r="D34" s="212">
        <v>92.416084290000001</v>
      </c>
      <c r="E34" s="212">
        <f t="shared" si="4"/>
        <v>0.76910786068240444</v>
      </c>
      <c r="F34" s="212">
        <f t="shared" si="6"/>
        <v>0.215938417239634</v>
      </c>
      <c r="G34" s="212">
        <v>1</v>
      </c>
      <c r="H34" s="212">
        <f t="shared" si="5"/>
        <v>3.5167000000000002</v>
      </c>
    </row>
    <row r="35" spans="1:8" x14ac:dyDescent="0.3">
      <c r="A35" s="212" t="s">
        <v>72</v>
      </c>
      <c r="B35" s="216">
        <v>22.545200000000001</v>
      </c>
      <c r="C35" s="212">
        <f t="shared" si="3"/>
        <v>5.6363000000000003</v>
      </c>
      <c r="D35" s="212">
        <v>92.416084290000001</v>
      </c>
      <c r="E35" s="212">
        <f t="shared" si="4"/>
        <v>0.78673732035648569</v>
      </c>
      <c r="F35" s="212">
        <f t="shared" si="6"/>
        <v>0.22088814901774032</v>
      </c>
      <c r="G35" s="212">
        <v>1</v>
      </c>
      <c r="H35" s="212">
        <f t="shared" si="5"/>
        <v>3.5167000000000002</v>
      </c>
    </row>
    <row r="36" spans="1:8" x14ac:dyDescent="0.3">
      <c r="A36" s="212" t="s">
        <v>444</v>
      </c>
      <c r="B36" s="216">
        <v>36.596800000000002</v>
      </c>
      <c r="C36" s="212">
        <f t="shared" si="3"/>
        <v>9.1492000000000004</v>
      </c>
      <c r="D36" s="212">
        <v>92.416084290000001</v>
      </c>
      <c r="E36" s="212">
        <f t="shared" si="4"/>
        <v>1.2770819671425511</v>
      </c>
      <c r="F36" s="212">
        <f t="shared" si="6"/>
        <v>0.35855966733373135</v>
      </c>
      <c r="G36" s="212">
        <v>1</v>
      </c>
      <c r="H36" s="212">
        <f t="shared" si="5"/>
        <v>3.5167000000000002</v>
      </c>
    </row>
    <row r="37" spans="1:8" x14ac:dyDescent="0.3">
      <c r="A37" s="212" t="s">
        <v>443</v>
      </c>
      <c r="B37" s="216">
        <v>19.808800000000002</v>
      </c>
      <c r="C37" s="212">
        <f t="shared" si="3"/>
        <v>4.9522000000000004</v>
      </c>
      <c r="D37" s="212">
        <v>92.416084290000001</v>
      </c>
      <c r="E37" s="212">
        <f t="shared" si="4"/>
        <v>0.69124790338863951</v>
      </c>
      <c r="F37" s="212">
        <f t="shared" si="6"/>
        <v>0.19407808164321519</v>
      </c>
      <c r="G37" s="212">
        <v>1</v>
      </c>
      <c r="H37" s="212">
        <f t="shared" si="5"/>
        <v>3.5167000000000002</v>
      </c>
    </row>
    <row r="38" spans="1:8" x14ac:dyDescent="0.3">
      <c r="A38" s="212" t="s">
        <v>491</v>
      </c>
      <c r="B38" s="216">
        <v>101.01519999999999</v>
      </c>
      <c r="C38" s="212">
        <f t="shared" si="3"/>
        <v>25.253799999999998</v>
      </c>
      <c r="D38" s="212">
        <v>92.416084290000001</v>
      </c>
      <c r="E38" s="212">
        <f t="shared" si="4"/>
        <v>3.5250265139929775</v>
      </c>
      <c r="F38" s="212">
        <f t="shared" si="6"/>
        <v>0.98970337591402346</v>
      </c>
      <c r="G38" s="212">
        <v>1</v>
      </c>
      <c r="H38" s="212">
        <f t="shared" si="5"/>
        <v>3.5167000000000002</v>
      </c>
    </row>
    <row r="39" spans="1:8" x14ac:dyDescent="0.3">
      <c r="A39" s="212" t="s">
        <v>360</v>
      </c>
      <c r="B39" s="216">
        <v>57.5244</v>
      </c>
      <c r="C39" s="212">
        <f t="shared" si="3"/>
        <v>14.3811</v>
      </c>
      <c r="D39" s="212">
        <v>92.416084290000001</v>
      </c>
      <c r="E39" s="212">
        <f t="shared" si="4"/>
        <v>2.0073715163810757</v>
      </c>
      <c r="F39" s="212">
        <f t="shared" si="6"/>
        <v>0.56359926899544477</v>
      </c>
      <c r="G39" s="212">
        <v>1</v>
      </c>
      <c r="H39" s="212">
        <f t="shared" si="5"/>
        <v>3.5167000000000002</v>
      </c>
    </row>
    <row r="40" spans="1:8" x14ac:dyDescent="0.3">
      <c r="A40" s="212" t="s">
        <v>361</v>
      </c>
      <c r="B40" s="216">
        <v>57.5244</v>
      </c>
      <c r="C40" s="212">
        <f t="shared" si="3"/>
        <v>14.3811</v>
      </c>
      <c r="D40" s="212">
        <v>92.416084290000001</v>
      </c>
      <c r="E40" s="212">
        <f t="shared" si="4"/>
        <v>2.0073715163810757</v>
      </c>
      <c r="F40" s="212">
        <f t="shared" si="6"/>
        <v>0.56359926899544477</v>
      </c>
      <c r="G40" s="212">
        <v>1</v>
      </c>
      <c r="H40" s="212">
        <f t="shared" si="5"/>
        <v>3.5167000000000002</v>
      </c>
    </row>
    <row r="41" spans="1:8" x14ac:dyDescent="0.3">
      <c r="A41" s="212" t="s">
        <v>601</v>
      </c>
      <c r="B41" s="216">
        <v>39.921999999999997</v>
      </c>
      <c r="C41" s="212">
        <f t="shared" si="3"/>
        <v>9.9804999999999993</v>
      </c>
      <c r="D41" s="212">
        <v>92.416084290000001</v>
      </c>
      <c r="E41" s="212">
        <f t="shared" si="4"/>
        <v>1.3931181494629288</v>
      </c>
      <c r="F41" s="212">
        <f t="shared" si="6"/>
        <v>0.39113854324140968</v>
      </c>
      <c r="G41" s="212">
        <v>1</v>
      </c>
      <c r="H41" s="212">
        <f t="shared" si="5"/>
        <v>3.5167000000000002</v>
      </c>
    </row>
    <row r="42" spans="1:8" x14ac:dyDescent="0.3">
      <c r="A42" s="212" t="s">
        <v>362</v>
      </c>
      <c r="B42" s="216">
        <v>57.742400000000004</v>
      </c>
      <c r="C42" s="212">
        <f t="shared" si="3"/>
        <v>14.435600000000001</v>
      </c>
      <c r="D42" s="212">
        <v>92.416084290000001</v>
      </c>
      <c r="E42" s="212">
        <f t="shared" si="4"/>
        <v>2.0149788445856478</v>
      </c>
      <c r="F42" s="212">
        <f t="shared" si="6"/>
        <v>0.56573513900262451</v>
      </c>
      <c r="G42" s="212">
        <v>1</v>
      </c>
      <c r="H42" s="212">
        <f t="shared" si="5"/>
        <v>3.5167000000000002</v>
      </c>
    </row>
    <row r="43" spans="1:8" x14ac:dyDescent="0.3">
      <c r="A43" s="212" t="s">
        <v>363</v>
      </c>
      <c r="B43" s="216">
        <v>57.742400000000004</v>
      </c>
      <c r="C43" s="212">
        <f t="shared" si="3"/>
        <v>14.435600000000001</v>
      </c>
      <c r="D43" s="212">
        <v>92.416084290000001</v>
      </c>
      <c r="E43" s="212">
        <f t="shared" si="4"/>
        <v>2.0149788445856478</v>
      </c>
      <c r="F43" s="212">
        <f t="shared" si="6"/>
        <v>0.56573513900262451</v>
      </c>
      <c r="G43" s="212">
        <v>1</v>
      </c>
      <c r="H43" s="212">
        <f t="shared" si="5"/>
        <v>3.5167000000000002</v>
      </c>
    </row>
    <row r="44" spans="1:8" x14ac:dyDescent="0.3">
      <c r="A44" s="212" t="s">
        <v>369</v>
      </c>
      <c r="B44" s="216">
        <v>54.427999999999997</v>
      </c>
      <c r="C44" s="212">
        <f t="shared" si="3"/>
        <v>13.606999999999999</v>
      </c>
      <c r="D44" s="212">
        <v>92.416084290000001</v>
      </c>
      <c r="E44" s="212">
        <f t="shared" si="4"/>
        <v>1.8993195390754043</v>
      </c>
      <c r="F44" s="212">
        <f t="shared" si="6"/>
        <v>0.53326207683842108</v>
      </c>
      <c r="G44" s="212">
        <v>1</v>
      </c>
      <c r="H44" s="212">
        <f t="shared" si="5"/>
        <v>3.5167000000000002</v>
      </c>
    </row>
    <row r="45" spans="1:8" x14ac:dyDescent="0.3">
      <c r="A45" s="212" t="s">
        <v>603</v>
      </c>
      <c r="B45" s="216">
        <v>141.27080000000001</v>
      </c>
      <c r="C45" s="212">
        <f t="shared" si="3"/>
        <v>35.317700000000002</v>
      </c>
      <c r="D45" s="212">
        <v>92.416084290000001</v>
      </c>
      <c r="E45" s="212">
        <f t="shared" si="4"/>
        <v>4.9297859693689583</v>
      </c>
      <c r="F45" s="212">
        <f t="shared" si="6"/>
        <v>1.3841103881205488</v>
      </c>
      <c r="G45" s="212">
        <v>1.5</v>
      </c>
      <c r="H45" s="212">
        <f t="shared" si="5"/>
        <v>5.2750500000000002</v>
      </c>
    </row>
    <row r="46" spans="1:8" x14ac:dyDescent="0.3">
      <c r="A46" s="212" t="s">
        <v>370</v>
      </c>
      <c r="B46" s="216">
        <v>54.393599999999999</v>
      </c>
      <c r="C46" s="212">
        <f t="shared" si="3"/>
        <v>13.5984</v>
      </c>
      <c r="D46" s="212">
        <v>92.416084290000001</v>
      </c>
      <c r="E46" s="212">
        <f t="shared" si="4"/>
        <v>1.8981191166431233</v>
      </c>
      <c r="F46" s="212">
        <f t="shared" si="6"/>
        <v>0.53292504047031564</v>
      </c>
      <c r="G46" s="212">
        <v>1</v>
      </c>
      <c r="H46" s="212">
        <f t="shared" si="5"/>
        <v>3.5167000000000002</v>
      </c>
    </row>
    <row r="47" spans="1:8" x14ac:dyDescent="0.3">
      <c r="A47" s="212" t="s">
        <v>622</v>
      </c>
      <c r="B47" s="216">
        <v>41.766800000000003</v>
      </c>
      <c r="C47" s="212">
        <f t="shared" si="3"/>
        <v>10.441700000000001</v>
      </c>
      <c r="D47" s="212">
        <v>92.416084290000001</v>
      </c>
      <c r="E47" s="212">
        <f t="shared" si="4"/>
        <v>1.457494291994095</v>
      </c>
      <c r="F47" s="212">
        <f t="shared" si="6"/>
        <v>0.40921309823794677</v>
      </c>
      <c r="G47" s="212">
        <v>1</v>
      </c>
      <c r="H47" s="212">
        <f t="shared" si="5"/>
        <v>3.5167000000000002</v>
      </c>
    </row>
    <row r="48" spans="1:8" x14ac:dyDescent="0.3">
      <c r="A48" s="212" t="s">
        <v>600</v>
      </c>
      <c r="B48" s="216">
        <v>46.367600000000003</v>
      </c>
      <c r="C48" s="212">
        <f t="shared" si="3"/>
        <v>11.591900000000001</v>
      </c>
      <c r="D48" s="212">
        <v>92.416084290000001</v>
      </c>
      <c r="E48" s="212">
        <f t="shared" si="4"/>
        <v>1.6180438131115</v>
      </c>
      <c r="F48" s="212">
        <f t="shared" si="6"/>
        <v>0.45428975295827834</v>
      </c>
      <c r="G48" s="212">
        <v>1</v>
      </c>
      <c r="H48" s="212">
        <f t="shared" si="5"/>
        <v>3.5167000000000002</v>
      </c>
    </row>
    <row r="49" spans="1:10" x14ac:dyDescent="0.3">
      <c r="A49" s="212" t="s">
        <v>35</v>
      </c>
      <c r="B49" s="216">
        <v>76.307599999999994</v>
      </c>
      <c r="C49" s="212">
        <f t="shared" si="3"/>
        <v>19.076899999999998</v>
      </c>
      <c r="D49" s="212">
        <v>92.416084290000001</v>
      </c>
      <c r="E49" s="212">
        <f t="shared" si="4"/>
        <v>2.6628300812072889</v>
      </c>
      <c r="F49" s="212">
        <f>E49/3.5617</f>
        <v>0.74762896403607515</v>
      </c>
      <c r="G49" s="212">
        <v>1</v>
      </c>
      <c r="H49" s="212">
        <f t="shared" si="5"/>
        <v>3.5167000000000002</v>
      </c>
    </row>
    <row r="50" spans="1:10" x14ac:dyDescent="0.3">
      <c r="A50" s="212" t="s">
        <v>459</v>
      </c>
      <c r="B50" s="216">
        <v>22.8736</v>
      </c>
      <c r="C50" s="212">
        <f t="shared" si="3"/>
        <v>5.7183999999999999</v>
      </c>
      <c r="D50" s="212">
        <v>92.416084290000001</v>
      </c>
      <c r="E50" s="212">
        <f t="shared" si="4"/>
        <v>0.79819716706465738</v>
      </c>
      <c r="F50" s="212">
        <f t="shared" si="6"/>
        <v>0.22410567062488626</v>
      </c>
      <c r="G50" s="212">
        <v>1</v>
      </c>
      <c r="H50" s="212">
        <f t="shared" si="5"/>
        <v>3.5167000000000002</v>
      </c>
    </row>
    <row r="51" spans="1:10" x14ac:dyDescent="0.3">
      <c r="A51" s="212" t="s">
        <v>492</v>
      </c>
      <c r="B51" s="216">
        <v>36.9</v>
      </c>
      <c r="C51" s="212">
        <f t="shared" si="3"/>
        <v>9.2249999999999996</v>
      </c>
      <c r="D51" s="212">
        <v>92.416084290000001</v>
      </c>
      <c r="E51" s="212">
        <f t="shared" si="4"/>
        <v>1.2876624346270746</v>
      </c>
      <c r="F51" s="212">
        <f t="shared" si="6"/>
        <v>0.36153029020610233</v>
      </c>
      <c r="G51" s="212">
        <v>1</v>
      </c>
      <c r="H51" s="212">
        <f t="shared" si="5"/>
        <v>3.5167000000000002</v>
      </c>
    </row>
    <row r="52" spans="1:10" x14ac:dyDescent="0.3">
      <c r="A52" s="212" t="s">
        <v>115</v>
      </c>
      <c r="B52" s="216">
        <v>152.13</v>
      </c>
      <c r="C52" s="212">
        <f t="shared" si="3"/>
        <v>38.032499999999999</v>
      </c>
      <c r="D52" s="212">
        <v>92.416084290000001</v>
      </c>
      <c r="E52" s="212">
        <f t="shared" si="4"/>
        <v>5.3087286227592649</v>
      </c>
      <c r="F52" s="212">
        <f t="shared" si="6"/>
        <v>1.4905041476708496</v>
      </c>
      <c r="G52" s="212">
        <v>1.5</v>
      </c>
      <c r="H52" s="212">
        <f t="shared" si="5"/>
        <v>5.2750500000000002</v>
      </c>
    </row>
    <row r="53" spans="1:10" x14ac:dyDescent="0.3">
      <c r="A53" s="212" t="s">
        <v>385</v>
      </c>
      <c r="B53" s="216">
        <v>203.55240000000001</v>
      </c>
      <c r="C53" s="212">
        <f t="shared" si="3"/>
        <v>50.888100000000001</v>
      </c>
      <c r="D53" s="212">
        <v>92.416084290000001</v>
      </c>
      <c r="E53" s="212">
        <f t="shared" si="4"/>
        <v>7.1031647414142043</v>
      </c>
      <c r="F53" s="212">
        <f t="shared" si="6"/>
        <v>1.9943186516029436</v>
      </c>
      <c r="G53" s="212">
        <v>2</v>
      </c>
      <c r="H53" s="212">
        <f t="shared" si="5"/>
        <v>7.0334000000000003</v>
      </c>
    </row>
    <row r="54" spans="1:10" x14ac:dyDescent="0.3">
      <c r="A54" s="212" t="s">
        <v>493</v>
      </c>
      <c r="B54" s="216">
        <v>108.0224</v>
      </c>
      <c r="C54" s="212">
        <f t="shared" si="3"/>
        <v>27.005600000000001</v>
      </c>
      <c r="D54" s="212">
        <v>92.416084290000001</v>
      </c>
      <c r="E54" s="212">
        <f t="shared" si="4"/>
        <v>3.7695497717685558</v>
      </c>
      <c r="F54" s="212">
        <f t="shared" si="6"/>
        <v>1.0583569002915898</v>
      </c>
      <c r="G54" s="212">
        <v>1.5</v>
      </c>
      <c r="H54" s="212">
        <f t="shared" si="5"/>
        <v>5.2750500000000002</v>
      </c>
    </row>
    <row r="55" spans="1:10" ht="15.6" x14ac:dyDescent="0.3">
      <c r="A55" s="213"/>
      <c r="B55" s="217">
        <f>SUM(B22:B54)</f>
        <v>2648.3288000000007</v>
      </c>
      <c r="C55" s="218">
        <f>SUM(C22:C54)</f>
        <v>662.08220000000017</v>
      </c>
      <c r="E55" s="213"/>
      <c r="F55" s="213"/>
    </row>
    <row r="56" spans="1:10" x14ac:dyDescent="0.3">
      <c r="A56" s="213"/>
      <c r="B56" s="213"/>
      <c r="C56" s="213"/>
      <c r="D56" s="213"/>
      <c r="E56" s="213"/>
      <c r="F56" s="213"/>
    </row>
    <row r="57" spans="1:10" ht="15.6" x14ac:dyDescent="0.3">
      <c r="A57" s="308" t="s">
        <v>632</v>
      </c>
      <c r="B57" s="308"/>
      <c r="C57" s="308"/>
      <c r="D57" s="308"/>
      <c r="E57" s="308"/>
      <c r="F57" s="308"/>
      <c r="G57" s="308"/>
      <c r="H57" s="308"/>
    </row>
    <row r="58" spans="1:10" ht="15.6" x14ac:dyDescent="0.3">
      <c r="A58" s="215" t="s">
        <v>0</v>
      </c>
      <c r="B58" s="215" t="s">
        <v>168</v>
      </c>
      <c r="C58" s="215" t="s">
        <v>53</v>
      </c>
      <c r="D58" s="215" t="s">
        <v>626</v>
      </c>
      <c r="E58" s="215" t="s">
        <v>627</v>
      </c>
      <c r="F58" s="215" t="s">
        <v>628</v>
      </c>
      <c r="G58" s="215" t="s">
        <v>614</v>
      </c>
      <c r="H58" s="215" t="s">
        <v>615</v>
      </c>
    </row>
    <row r="59" spans="1:10" x14ac:dyDescent="0.3">
      <c r="A59" s="212" t="s">
        <v>176</v>
      </c>
      <c r="B59" s="212">
        <v>19.147600000000001</v>
      </c>
      <c r="C59" s="212">
        <f t="shared" ref="C59:C67" si="7">B59/4</f>
        <v>4.7869000000000002</v>
      </c>
      <c r="D59" s="212">
        <v>26.070387369999999</v>
      </c>
      <c r="E59" s="212">
        <f t="shared" ref="E59:E67" si="8">(D59*C59)/C$68</f>
        <v>1.935724270653419</v>
      </c>
      <c r="F59" s="212">
        <f>E59/3.5617</f>
        <v>0.5434832441399946</v>
      </c>
      <c r="G59" s="212">
        <v>1</v>
      </c>
      <c r="H59" s="212">
        <f t="shared" ref="H59:H67" si="9">G59*3.5167</f>
        <v>3.5167000000000002</v>
      </c>
    </row>
    <row r="60" spans="1:10" x14ac:dyDescent="0.3">
      <c r="A60" s="212" t="s">
        <v>177</v>
      </c>
      <c r="B60" s="212">
        <v>9.8323999999999998</v>
      </c>
      <c r="C60" s="212">
        <f t="shared" si="7"/>
        <v>2.4581</v>
      </c>
      <c r="D60" s="212">
        <v>26.070387369999999</v>
      </c>
      <c r="E60" s="212">
        <f t="shared" si="8"/>
        <v>0.99400527057034183</v>
      </c>
      <c r="F60" s="212">
        <f t="shared" ref="F60:F67" si="10">E60/3.5617</f>
        <v>0.27908169429495516</v>
      </c>
      <c r="G60" s="212">
        <v>1</v>
      </c>
      <c r="H60" s="212">
        <f t="shared" si="9"/>
        <v>3.5167000000000002</v>
      </c>
      <c r="J60" s="201">
        <f>SUM(E59:E67)</f>
        <v>33.155399429754198</v>
      </c>
    </row>
    <row r="61" spans="1:10" x14ac:dyDescent="0.3">
      <c r="A61" s="212" t="s">
        <v>191</v>
      </c>
      <c r="B61" s="212">
        <v>21.644400000000001</v>
      </c>
      <c r="C61" s="212">
        <f t="shared" si="7"/>
        <v>5.4111000000000002</v>
      </c>
      <c r="D61" s="212">
        <v>26.070387369999999</v>
      </c>
      <c r="E61" s="212">
        <f t="shared" si="8"/>
        <v>2.1881379600436013</v>
      </c>
      <c r="F61" s="212">
        <f t="shared" si="10"/>
        <v>0.61435212399797878</v>
      </c>
      <c r="G61" s="212">
        <v>1</v>
      </c>
      <c r="H61" s="212">
        <f t="shared" si="9"/>
        <v>3.5167000000000002</v>
      </c>
      <c r="J61" s="201">
        <f>SUM(F59:F67)</f>
        <v>9.3088692000320616</v>
      </c>
    </row>
    <row r="62" spans="1:10" x14ac:dyDescent="0.3">
      <c r="A62" s="212" t="s">
        <v>198</v>
      </c>
      <c r="B62" s="212">
        <v>86.4024</v>
      </c>
      <c r="C62" s="212">
        <f t="shared" si="7"/>
        <v>21.6006</v>
      </c>
      <c r="D62" s="212">
        <v>26.070387369999999</v>
      </c>
      <c r="E62" s="212">
        <f t="shared" si="8"/>
        <v>8.7348400176891605</v>
      </c>
      <c r="F62" s="212">
        <f t="shared" si="10"/>
        <v>2.4524356396353317</v>
      </c>
      <c r="G62" s="212">
        <v>2.5</v>
      </c>
      <c r="H62" s="212">
        <f t="shared" si="9"/>
        <v>8.7917500000000004</v>
      </c>
    </row>
    <row r="63" spans="1:10" x14ac:dyDescent="0.3">
      <c r="A63" s="212" t="s">
        <v>201</v>
      </c>
      <c r="B63" s="212">
        <v>22.764800000000001</v>
      </c>
      <c r="C63" s="212">
        <f t="shared" si="7"/>
        <v>5.6912000000000003</v>
      </c>
      <c r="D63" s="212">
        <v>26.070387369999999</v>
      </c>
      <c r="E63" s="212">
        <f t="shared" si="8"/>
        <v>2.3014046604572349</v>
      </c>
      <c r="F63" s="212">
        <f t="shared" si="10"/>
        <v>0.64615342686279997</v>
      </c>
      <c r="G63" s="212">
        <v>1</v>
      </c>
      <c r="H63" s="212">
        <f t="shared" si="9"/>
        <v>3.5167000000000002</v>
      </c>
    </row>
    <row r="64" spans="1:10" x14ac:dyDescent="0.3">
      <c r="A64" s="212" t="s">
        <v>202</v>
      </c>
      <c r="B64" s="212">
        <v>16.5352</v>
      </c>
      <c r="C64" s="212">
        <f t="shared" si="7"/>
        <v>4.1337999999999999</v>
      </c>
      <c r="D64" s="212">
        <v>26.070387369999999</v>
      </c>
      <c r="E64" s="212">
        <f t="shared" si="8"/>
        <v>1.6716240134590452</v>
      </c>
      <c r="F64" s="212">
        <f t="shared" si="10"/>
        <v>0.46933318737093105</v>
      </c>
      <c r="G64" s="212">
        <v>1</v>
      </c>
      <c r="H64" s="212">
        <f t="shared" si="9"/>
        <v>3.5167000000000002</v>
      </c>
    </row>
    <row r="65" spans="1:10" x14ac:dyDescent="0.3">
      <c r="A65" s="212" t="s">
        <v>203</v>
      </c>
      <c r="B65" s="212">
        <v>51.64</v>
      </c>
      <c r="C65" s="212">
        <f t="shared" si="7"/>
        <v>12.91</v>
      </c>
      <c r="D65" s="212">
        <v>26.070387369999999</v>
      </c>
      <c r="E65" s="212">
        <f t="shared" si="8"/>
        <v>5.2205394585505527</v>
      </c>
      <c r="F65" s="212">
        <f t="shared" si="10"/>
        <v>1.4657437343264601</v>
      </c>
      <c r="G65" s="212">
        <v>1</v>
      </c>
      <c r="H65" s="212">
        <f t="shared" si="9"/>
        <v>3.5167000000000002</v>
      </c>
    </row>
    <row r="66" spans="1:10" x14ac:dyDescent="0.3">
      <c r="A66" s="212" t="s">
        <v>228</v>
      </c>
      <c r="B66" s="212">
        <v>29.913599999999999</v>
      </c>
      <c r="C66" s="212">
        <f t="shared" si="7"/>
        <v>7.4783999999999997</v>
      </c>
      <c r="D66" s="212">
        <v>26.070387369999999</v>
      </c>
      <c r="E66" s="212">
        <f t="shared" si="8"/>
        <v>3.0241117185766422</v>
      </c>
      <c r="F66" s="212">
        <f t="shared" si="10"/>
        <v>0.84906413189674657</v>
      </c>
      <c r="G66" s="212">
        <v>1</v>
      </c>
      <c r="H66" s="212">
        <f t="shared" si="9"/>
        <v>3.5167000000000002</v>
      </c>
    </row>
    <row r="67" spans="1:10" x14ac:dyDescent="0.3">
      <c r="A67" s="212" t="s">
        <v>229</v>
      </c>
      <c r="B67" s="212">
        <v>70.082800000000006</v>
      </c>
      <c r="C67" s="212">
        <f t="shared" si="7"/>
        <v>17.520700000000001</v>
      </c>
      <c r="D67" s="212">
        <v>26.070387369999999</v>
      </c>
      <c r="E67" s="212">
        <f t="shared" si="8"/>
        <v>7.0850120597541961</v>
      </c>
      <c r="F67" s="212">
        <f t="shared" si="10"/>
        <v>1.9892220175068636</v>
      </c>
      <c r="G67" s="212">
        <v>2</v>
      </c>
      <c r="H67" s="212">
        <f t="shared" si="9"/>
        <v>7.0334000000000003</v>
      </c>
    </row>
    <row r="68" spans="1:10" ht="15.6" x14ac:dyDescent="0.3">
      <c r="A68" s="213"/>
      <c r="B68" s="213"/>
      <c r="C68" s="218">
        <f>SUM(C59:C66)</f>
        <v>64.470100000000002</v>
      </c>
      <c r="D68" s="213"/>
      <c r="E68" s="213"/>
      <c r="F68" s="213"/>
    </row>
    <row r="69" spans="1:10" x14ac:dyDescent="0.3">
      <c r="A69" s="213"/>
      <c r="B69" s="213"/>
      <c r="C69" s="213"/>
      <c r="D69" s="213"/>
      <c r="E69" s="213"/>
      <c r="F69" s="213"/>
    </row>
    <row r="70" spans="1:10" ht="15.6" x14ac:dyDescent="0.3">
      <c r="A70" s="308" t="s">
        <v>633</v>
      </c>
      <c r="B70" s="308"/>
      <c r="C70" s="308"/>
      <c r="D70" s="308"/>
      <c r="E70" s="308"/>
      <c r="F70" s="308"/>
      <c r="G70" s="308"/>
      <c r="H70" s="308"/>
    </row>
    <row r="71" spans="1:10" ht="15.6" x14ac:dyDescent="0.3">
      <c r="A71" s="215" t="s">
        <v>0</v>
      </c>
      <c r="B71" s="215" t="s">
        <v>168</v>
      </c>
      <c r="C71" s="215" t="s">
        <v>53</v>
      </c>
      <c r="D71" s="215" t="s">
        <v>626</v>
      </c>
      <c r="E71" s="215" t="s">
        <v>627</v>
      </c>
      <c r="F71" s="215" t="s">
        <v>628</v>
      </c>
      <c r="G71" s="215" t="s">
        <v>614</v>
      </c>
      <c r="H71" s="215" t="s">
        <v>615</v>
      </c>
    </row>
    <row r="72" spans="1:10" x14ac:dyDescent="0.3">
      <c r="A72" s="212" t="s">
        <v>139</v>
      </c>
      <c r="B72" s="212">
        <v>139.94479999999999</v>
      </c>
      <c r="C72" s="212">
        <f>B72/4</f>
        <v>34.986199999999997</v>
      </c>
      <c r="D72" s="212">
        <v>38.197246565</v>
      </c>
      <c r="E72" s="212">
        <f>(D72*C72)/C$75</f>
        <v>15.010507852152246</v>
      </c>
      <c r="F72" s="212">
        <f>E72/3.5167</f>
        <v>4.2683504001342865</v>
      </c>
      <c r="G72" s="212">
        <v>5</v>
      </c>
      <c r="H72" s="212">
        <f t="shared" ref="H72:H74" si="11">G72*3.5167</f>
        <v>17.583500000000001</v>
      </c>
      <c r="J72" s="201">
        <f>SUM(E72:E74)</f>
        <v>38.197246565000007</v>
      </c>
    </row>
    <row r="73" spans="1:10" x14ac:dyDescent="0.3">
      <c r="A73" s="212" t="s">
        <v>196</v>
      </c>
      <c r="B73" s="212">
        <v>76.002799999999993</v>
      </c>
      <c r="C73" s="212">
        <f t="shared" ref="C73:C74" si="12">B73/4</f>
        <v>19.000699999999998</v>
      </c>
      <c r="D73" s="212">
        <v>38.197246565</v>
      </c>
      <c r="E73" s="212">
        <f t="shared" ref="E73:E74" si="13">(D73*C73)/C$75</f>
        <v>8.1520758626655425</v>
      </c>
      <c r="F73" s="212">
        <f t="shared" ref="F73:F74" si="14">E73/3.5167</f>
        <v>2.3181038651763135</v>
      </c>
      <c r="G73" s="212">
        <v>2.5</v>
      </c>
      <c r="H73" s="212">
        <f t="shared" si="11"/>
        <v>8.7917500000000004</v>
      </c>
      <c r="J73" s="201">
        <f>SUM(F72:F74)</f>
        <v>10.861673320158104</v>
      </c>
    </row>
    <row r="74" spans="1:10" x14ac:dyDescent="0.3">
      <c r="A74" s="212" t="s">
        <v>200</v>
      </c>
      <c r="B74" s="212">
        <v>140.16999999999999</v>
      </c>
      <c r="C74" s="212">
        <f t="shared" si="12"/>
        <v>35.042499999999997</v>
      </c>
      <c r="D74" s="212">
        <v>38.197246565</v>
      </c>
      <c r="E74" s="212">
        <f t="shared" si="13"/>
        <v>15.034662850182219</v>
      </c>
      <c r="F74" s="212">
        <f t="shared" si="14"/>
        <v>4.2752190548475042</v>
      </c>
      <c r="G74" s="212">
        <v>5</v>
      </c>
      <c r="H74" s="212">
        <f t="shared" si="11"/>
        <v>17.583500000000001</v>
      </c>
    </row>
    <row r="75" spans="1:10" ht="15.6" x14ac:dyDescent="0.3">
      <c r="A75" s="219"/>
      <c r="B75" s="214"/>
      <c r="C75" s="214">
        <f>SUM(C72:C74)</f>
        <v>89.029399999999981</v>
      </c>
      <c r="D75" s="214"/>
      <c r="E75" s="214"/>
      <c r="F75" s="220"/>
    </row>
    <row r="76" spans="1:10" ht="15.6" x14ac:dyDescent="0.3">
      <c r="A76" s="219"/>
      <c r="B76" s="214"/>
      <c r="C76" s="214"/>
      <c r="D76" s="214"/>
      <c r="E76" s="214"/>
      <c r="F76" s="220"/>
    </row>
    <row r="77" spans="1:10" ht="15.6" x14ac:dyDescent="0.3">
      <c r="A77" s="308" t="s">
        <v>634</v>
      </c>
      <c r="B77" s="308"/>
      <c r="C77" s="308"/>
      <c r="D77" s="308"/>
      <c r="E77" s="308"/>
      <c r="F77" s="308"/>
      <c r="G77" s="308"/>
      <c r="H77" s="308"/>
    </row>
    <row r="78" spans="1:10" ht="15.6" x14ac:dyDescent="0.3">
      <c r="A78" s="215" t="s">
        <v>0</v>
      </c>
      <c r="B78" s="215" t="s">
        <v>168</v>
      </c>
      <c r="C78" s="215" t="s">
        <v>53</v>
      </c>
      <c r="D78" s="215" t="s">
        <v>626</v>
      </c>
      <c r="E78" s="215" t="s">
        <v>627</v>
      </c>
      <c r="F78" s="215" t="s">
        <v>628</v>
      </c>
      <c r="G78" s="215" t="s">
        <v>614</v>
      </c>
      <c r="H78" s="215" t="s">
        <v>615</v>
      </c>
    </row>
    <row r="79" spans="1:10" x14ac:dyDescent="0.3">
      <c r="A79" s="212" t="s">
        <v>623</v>
      </c>
      <c r="B79" s="212"/>
      <c r="C79" s="212">
        <v>34.276899999999998</v>
      </c>
      <c r="D79" s="212">
        <v>160.15329500000001</v>
      </c>
      <c r="E79" s="212">
        <f>(D79*C79)/C$112</f>
        <v>7.4910404281604945</v>
      </c>
      <c r="F79" s="212">
        <f>E79/3.5167</f>
        <v>2.1301334854154446</v>
      </c>
      <c r="G79" s="212">
        <v>2.5</v>
      </c>
      <c r="H79" s="212">
        <f t="shared" ref="H79:H111" si="15">G79*3.5167</f>
        <v>8.7917500000000004</v>
      </c>
    </row>
    <row r="80" spans="1:10" x14ac:dyDescent="0.3">
      <c r="A80" s="212" t="s">
        <v>169</v>
      </c>
      <c r="B80" s="212">
        <v>137.04</v>
      </c>
      <c r="C80" s="212">
        <f>B80/4</f>
        <v>34.26</v>
      </c>
      <c r="D80" s="212">
        <v>160.15329500000001</v>
      </c>
      <c r="E80" s="212">
        <f t="shared" ref="E80:E111" si="16">(D80*C80)/C$112</f>
        <v>7.4873470199690919</v>
      </c>
      <c r="F80" s="212">
        <f t="shared" ref="F80:F109" si="17">E80/3.5167</f>
        <v>2.1290832371169253</v>
      </c>
      <c r="G80" s="212">
        <v>2.5</v>
      </c>
      <c r="H80" s="212">
        <f t="shared" si="15"/>
        <v>8.7917500000000004</v>
      </c>
      <c r="J80" s="201">
        <f>SUM(E79:E111)</f>
        <v>160.15329500000004</v>
      </c>
    </row>
    <row r="81" spans="1:10" x14ac:dyDescent="0.3">
      <c r="A81" s="212" t="s">
        <v>124</v>
      </c>
      <c r="B81" s="212">
        <v>137.16</v>
      </c>
      <c r="C81" s="212">
        <f t="shared" ref="C81:C109" si="18">B81/4</f>
        <v>34.29</v>
      </c>
      <c r="D81" s="212">
        <v>160.15329500000001</v>
      </c>
      <c r="E81" s="212">
        <f t="shared" si="16"/>
        <v>7.4939033658709908</v>
      </c>
      <c r="F81" s="212">
        <f t="shared" si="17"/>
        <v>2.1309475832089717</v>
      </c>
      <c r="G81" s="212">
        <v>2.5</v>
      </c>
      <c r="H81" s="212">
        <f t="shared" si="15"/>
        <v>8.7917500000000004</v>
      </c>
      <c r="J81" s="201">
        <f>SUM(F79:F111)</f>
        <v>45.540789660761519</v>
      </c>
    </row>
    <row r="82" spans="1:10" x14ac:dyDescent="0.3">
      <c r="A82" s="212" t="s">
        <v>125</v>
      </c>
      <c r="B82" s="212">
        <v>136.47</v>
      </c>
      <c r="C82" s="212">
        <f t="shared" si="18"/>
        <v>34.1175</v>
      </c>
      <c r="D82" s="212">
        <v>160.15329500000001</v>
      </c>
      <c r="E82" s="212">
        <f t="shared" si="16"/>
        <v>7.4562043769350703</v>
      </c>
      <c r="F82" s="212">
        <f t="shared" si="17"/>
        <v>2.1202275931797052</v>
      </c>
      <c r="G82" s="212">
        <v>2.5</v>
      </c>
      <c r="H82" s="212">
        <f t="shared" si="15"/>
        <v>8.7917500000000004</v>
      </c>
    </row>
    <row r="83" spans="1:10" x14ac:dyDescent="0.3">
      <c r="A83" s="212" t="s">
        <v>170</v>
      </c>
      <c r="B83" s="212">
        <v>54.6952</v>
      </c>
      <c r="C83" s="212">
        <f t="shared" si="18"/>
        <v>13.6738</v>
      </c>
      <c r="D83" s="212">
        <v>160.15329500000001</v>
      </c>
      <c r="E83" s="212">
        <f t="shared" si="16"/>
        <v>2.9883387531130579</v>
      </c>
      <c r="F83" s="212">
        <f t="shared" si="17"/>
        <v>0.84975651978077682</v>
      </c>
      <c r="G83" s="212">
        <v>1</v>
      </c>
      <c r="H83" s="212">
        <f t="shared" si="15"/>
        <v>3.5167000000000002</v>
      </c>
    </row>
    <row r="84" spans="1:10" x14ac:dyDescent="0.3">
      <c r="A84" s="212" t="s">
        <v>171</v>
      </c>
      <c r="B84" s="212">
        <v>55.682400000000001</v>
      </c>
      <c r="C84" s="212">
        <f t="shared" si="18"/>
        <v>13.9206</v>
      </c>
      <c r="D84" s="212">
        <v>160.15329500000001</v>
      </c>
      <c r="E84" s="212">
        <f t="shared" si="16"/>
        <v>3.0422756253993506</v>
      </c>
      <c r="F84" s="212">
        <f t="shared" si="17"/>
        <v>0.86509387363134482</v>
      </c>
      <c r="G84" s="212">
        <v>1</v>
      </c>
      <c r="H84" s="212">
        <f t="shared" si="15"/>
        <v>3.5167000000000002</v>
      </c>
    </row>
    <row r="85" spans="1:10" x14ac:dyDescent="0.3">
      <c r="A85" s="212" t="s">
        <v>172</v>
      </c>
      <c r="B85" s="212">
        <v>55.501600000000003</v>
      </c>
      <c r="C85" s="212">
        <f t="shared" si="18"/>
        <v>13.875400000000001</v>
      </c>
      <c r="D85" s="212">
        <v>160.15329500000001</v>
      </c>
      <c r="E85" s="212">
        <f t="shared" si="16"/>
        <v>3.0323973975738223</v>
      </c>
      <c r="F85" s="212">
        <f t="shared" si="17"/>
        <v>0.86228492551932845</v>
      </c>
      <c r="G85" s="212">
        <v>1</v>
      </c>
      <c r="H85" s="212">
        <f t="shared" si="15"/>
        <v>3.5167000000000002</v>
      </c>
    </row>
    <row r="86" spans="1:10" x14ac:dyDescent="0.3">
      <c r="A86" s="212" t="s">
        <v>173</v>
      </c>
      <c r="B86" s="212">
        <v>122.848</v>
      </c>
      <c r="C86" s="212">
        <f t="shared" si="18"/>
        <v>30.712</v>
      </c>
      <c r="D86" s="212">
        <v>160.15329500000001</v>
      </c>
      <c r="E86" s="212">
        <f t="shared" si="16"/>
        <v>6.7119498446377923</v>
      </c>
      <c r="F86" s="212">
        <f t="shared" si="17"/>
        <v>1.9085932392975777</v>
      </c>
      <c r="G86" s="212">
        <v>2.5</v>
      </c>
      <c r="H86" s="212">
        <f t="shared" si="15"/>
        <v>8.7917500000000004</v>
      </c>
    </row>
    <row r="87" spans="1:10" x14ac:dyDescent="0.3">
      <c r="A87" s="212" t="s">
        <v>174</v>
      </c>
      <c r="B87" s="212">
        <v>71.765199999999993</v>
      </c>
      <c r="C87" s="212">
        <f t="shared" si="18"/>
        <v>17.941299999999998</v>
      </c>
      <c r="D87" s="212">
        <v>160.15329500000001</v>
      </c>
      <c r="E87" s="212">
        <f t="shared" si="16"/>
        <v>3.9209789576582446</v>
      </c>
      <c r="F87" s="212">
        <f t="shared" si="17"/>
        <v>1.1149597513743692</v>
      </c>
      <c r="G87" s="212">
        <v>1.5</v>
      </c>
      <c r="H87" s="212">
        <f t="shared" si="15"/>
        <v>5.2750500000000002</v>
      </c>
    </row>
    <row r="88" spans="1:10" x14ac:dyDescent="0.3">
      <c r="A88" s="212" t="s">
        <v>178</v>
      </c>
      <c r="B88" s="212">
        <v>55.494</v>
      </c>
      <c r="C88" s="212">
        <f t="shared" si="18"/>
        <v>13.8735</v>
      </c>
      <c r="D88" s="212">
        <v>160.15329500000001</v>
      </c>
      <c r="E88" s="212">
        <f t="shared" si="16"/>
        <v>3.0319821623333687</v>
      </c>
      <c r="F88" s="212">
        <f t="shared" si="17"/>
        <v>0.86216685026683215</v>
      </c>
      <c r="G88" s="212">
        <v>1</v>
      </c>
      <c r="H88" s="212">
        <f t="shared" si="15"/>
        <v>3.5167000000000002</v>
      </c>
    </row>
    <row r="89" spans="1:10" x14ac:dyDescent="0.3">
      <c r="A89" s="212" t="s">
        <v>179</v>
      </c>
      <c r="B89" s="212">
        <v>55.571199999999997</v>
      </c>
      <c r="C89" s="212">
        <f t="shared" si="18"/>
        <v>13.892799999999999</v>
      </c>
      <c r="D89" s="212">
        <v>160.15329500000001</v>
      </c>
      <c r="E89" s="212">
        <f t="shared" si="16"/>
        <v>3.0362000781969232</v>
      </c>
      <c r="F89" s="212">
        <f t="shared" si="17"/>
        <v>0.86336624625271507</v>
      </c>
      <c r="G89" s="212">
        <v>1</v>
      </c>
      <c r="H89" s="212">
        <f t="shared" si="15"/>
        <v>3.5167000000000002</v>
      </c>
    </row>
    <row r="90" spans="1:10" x14ac:dyDescent="0.3">
      <c r="A90" s="212" t="s">
        <v>180</v>
      </c>
      <c r="B90" s="212">
        <v>54.8264</v>
      </c>
      <c r="C90" s="212">
        <f t="shared" si="18"/>
        <v>13.7066</v>
      </c>
      <c r="D90" s="212">
        <v>160.15329500000001</v>
      </c>
      <c r="E90" s="212">
        <f t="shared" si="16"/>
        <v>2.9955070246324684</v>
      </c>
      <c r="F90" s="212">
        <f t="shared" si="17"/>
        <v>0.85179487150808098</v>
      </c>
      <c r="G90" s="212">
        <v>1</v>
      </c>
      <c r="H90" s="212">
        <f t="shared" si="15"/>
        <v>3.5167000000000002</v>
      </c>
    </row>
    <row r="91" spans="1:10" x14ac:dyDescent="0.3">
      <c r="A91" s="212" t="s">
        <v>181</v>
      </c>
      <c r="B91" s="212">
        <v>44.208799999999997</v>
      </c>
      <c r="C91" s="212">
        <f t="shared" si="18"/>
        <v>11.052199999999999</v>
      </c>
      <c r="D91" s="212">
        <v>160.15329500000001</v>
      </c>
      <c r="E91" s="212">
        <f t="shared" si="16"/>
        <v>2.4154015392324109</v>
      </c>
      <c r="F91" s="212">
        <f t="shared" si="17"/>
        <v>0.68683752928382025</v>
      </c>
      <c r="G91" s="212">
        <v>1</v>
      </c>
      <c r="H91" s="212">
        <f t="shared" si="15"/>
        <v>3.5167000000000002</v>
      </c>
    </row>
    <row r="92" spans="1:10" x14ac:dyDescent="0.3">
      <c r="A92" s="212" t="s">
        <v>182</v>
      </c>
      <c r="B92" s="212">
        <v>54.725200000000001</v>
      </c>
      <c r="C92" s="212">
        <f t="shared" si="18"/>
        <v>13.6813</v>
      </c>
      <c r="D92" s="212">
        <v>160.15329500000001</v>
      </c>
      <c r="E92" s="212">
        <f t="shared" si="16"/>
        <v>2.9899778395885335</v>
      </c>
      <c r="F92" s="212">
        <f t="shared" si="17"/>
        <v>0.85022260630378854</v>
      </c>
      <c r="G92" s="212">
        <v>1</v>
      </c>
      <c r="H92" s="212">
        <f t="shared" si="15"/>
        <v>3.5167000000000002</v>
      </c>
    </row>
    <row r="93" spans="1:10" x14ac:dyDescent="0.3">
      <c r="A93" s="212" t="s">
        <v>142</v>
      </c>
      <c r="B93" s="212">
        <v>74.927599999999998</v>
      </c>
      <c r="C93" s="212">
        <f t="shared" si="18"/>
        <v>18.7319</v>
      </c>
      <c r="D93" s="212">
        <v>160.15329500000001</v>
      </c>
      <c r="E93" s="212">
        <f t="shared" si="16"/>
        <v>4.0937605266596337</v>
      </c>
      <c r="F93" s="212">
        <f t="shared" si="17"/>
        <v>1.1640914853867641</v>
      </c>
      <c r="G93" s="212">
        <v>1.5</v>
      </c>
      <c r="H93" s="212">
        <f t="shared" si="15"/>
        <v>5.2750500000000002</v>
      </c>
    </row>
    <row r="94" spans="1:10" x14ac:dyDescent="0.3">
      <c r="A94" s="212" t="s">
        <v>183</v>
      </c>
      <c r="B94" s="212">
        <v>101.488</v>
      </c>
      <c r="C94" s="212">
        <f t="shared" si="18"/>
        <v>25.372</v>
      </c>
      <c r="D94" s="212">
        <v>160.15329500000001</v>
      </c>
      <c r="E94" s="212">
        <f t="shared" si="16"/>
        <v>5.5449202740997023</v>
      </c>
      <c r="F94" s="212">
        <f t="shared" si="17"/>
        <v>1.5767396349133285</v>
      </c>
      <c r="G94" s="212">
        <v>2</v>
      </c>
      <c r="H94" s="212">
        <f t="shared" si="15"/>
        <v>7.0334000000000003</v>
      </c>
    </row>
    <row r="95" spans="1:10" x14ac:dyDescent="0.3">
      <c r="A95" s="212" t="s">
        <v>185</v>
      </c>
      <c r="B95" s="212">
        <v>101.92</v>
      </c>
      <c r="C95" s="212">
        <f t="shared" si="18"/>
        <v>25.48</v>
      </c>
      <c r="D95" s="212">
        <v>160.15329500000001</v>
      </c>
      <c r="E95" s="212">
        <f t="shared" si="16"/>
        <v>5.5685231193465405</v>
      </c>
      <c r="F95" s="212">
        <f t="shared" si="17"/>
        <v>1.5834512808446954</v>
      </c>
      <c r="G95" s="212">
        <v>2</v>
      </c>
      <c r="H95" s="212">
        <f t="shared" si="15"/>
        <v>7.0334000000000003</v>
      </c>
    </row>
    <row r="96" spans="1:10" x14ac:dyDescent="0.3">
      <c r="A96" s="212" t="s">
        <v>186</v>
      </c>
      <c r="B96" s="212">
        <v>55.004800000000003</v>
      </c>
      <c r="C96" s="212">
        <f t="shared" si="18"/>
        <v>13.751200000000001</v>
      </c>
      <c r="D96" s="212">
        <v>160.15329500000001</v>
      </c>
      <c r="E96" s="212">
        <f t="shared" si="16"/>
        <v>3.0052541255399583</v>
      </c>
      <c r="F96" s="212">
        <f t="shared" si="17"/>
        <v>0.85456653269825633</v>
      </c>
      <c r="G96" s="212">
        <v>1</v>
      </c>
      <c r="H96" s="212">
        <f t="shared" si="15"/>
        <v>3.5167000000000002</v>
      </c>
    </row>
    <row r="97" spans="1:8" x14ac:dyDescent="0.3">
      <c r="A97" s="212" t="s">
        <v>141</v>
      </c>
      <c r="B97" s="212">
        <v>153.81479999999999</v>
      </c>
      <c r="C97" s="212">
        <f t="shared" si="18"/>
        <v>38.453699999999998</v>
      </c>
      <c r="D97" s="212">
        <v>160.15329500000001</v>
      </c>
      <c r="E97" s="212">
        <f t="shared" si="16"/>
        <v>8.4038586135956059</v>
      </c>
      <c r="F97" s="212">
        <f t="shared" si="17"/>
        <v>2.3897001773240838</v>
      </c>
      <c r="G97" s="212">
        <v>3</v>
      </c>
      <c r="H97" s="212">
        <f t="shared" si="15"/>
        <v>10.5501</v>
      </c>
    </row>
    <row r="98" spans="1:8" x14ac:dyDescent="0.3">
      <c r="A98" s="212" t="s">
        <v>187</v>
      </c>
      <c r="B98" s="212">
        <v>101.488</v>
      </c>
      <c r="C98" s="212">
        <f t="shared" si="18"/>
        <v>25.372</v>
      </c>
      <c r="D98" s="212">
        <v>160.15329500000001</v>
      </c>
      <c r="E98" s="212">
        <f t="shared" si="16"/>
        <v>5.5449202740997023</v>
      </c>
      <c r="F98" s="212">
        <f t="shared" si="17"/>
        <v>1.5767396349133285</v>
      </c>
      <c r="G98" s="212">
        <v>2</v>
      </c>
      <c r="H98" s="212">
        <f t="shared" si="15"/>
        <v>7.0334000000000003</v>
      </c>
    </row>
    <row r="99" spans="1:8" x14ac:dyDescent="0.3">
      <c r="A99" s="212" t="s">
        <v>188</v>
      </c>
      <c r="B99" s="212">
        <v>101.92</v>
      </c>
      <c r="C99" s="212">
        <f t="shared" si="18"/>
        <v>25.48</v>
      </c>
      <c r="D99" s="212">
        <v>160.15329500000001</v>
      </c>
      <c r="E99" s="212">
        <f t="shared" si="16"/>
        <v>5.5685231193465405</v>
      </c>
      <c r="F99" s="212">
        <f t="shared" si="17"/>
        <v>1.5834512808446954</v>
      </c>
      <c r="G99" s="212">
        <v>2</v>
      </c>
      <c r="H99" s="212">
        <f t="shared" si="15"/>
        <v>7.0334000000000003</v>
      </c>
    </row>
    <row r="100" spans="1:8" x14ac:dyDescent="0.3">
      <c r="A100" s="212" t="s">
        <v>189</v>
      </c>
      <c r="B100" s="212">
        <v>55.004800000000003</v>
      </c>
      <c r="C100" s="212">
        <f t="shared" si="18"/>
        <v>13.751200000000001</v>
      </c>
      <c r="D100" s="212">
        <v>160.15329500000001</v>
      </c>
      <c r="E100" s="212">
        <f t="shared" si="16"/>
        <v>3.0052541255399583</v>
      </c>
      <c r="F100" s="212">
        <f t="shared" si="17"/>
        <v>0.85456653269825633</v>
      </c>
      <c r="G100" s="212">
        <v>1</v>
      </c>
      <c r="H100" s="212">
        <f t="shared" si="15"/>
        <v>3.5167000000000002</v>
      </c>
    </row>
    <row r="101" spans="1:8" x14ac:dyDescent="0.3">
      <c r="A101" s="212" t="s">
        <v>190</v>
      </c>
      <c r="B101" s="212">
        <v>55.004800000000003</v>
      </c>
      <c r="C101" s="212">
        <f t="shared" si="18"/>
        <v>13.751200000000001</v>
      </c>
      <c r="D101" s="212">
        <v>160.15329500000001</v>
      </c>
      <c r="E101" s="212">
        <f t="shared" si="16"/>
        <v>3.0052541255399583</v>
      </c>
      <c r="F101" s="212">
        <f t="shared" si="17"/>
        <v>0.85456653269825633</v>
      </c>
      <c r="G101" s="212">
        <v>1</v>
      </c>
      <c r="H101" s="212">
        <f t="shared" si="15"/>
        <v>3.5167000000000002</v>
      </c>
    </row>
    <row r="102" spans="1:8" x14ac:dyDescent="0.3">
      <c r="A102" s="212" t="s">
        <v>140</v>
      </c>
      <c r="B102" s="212">
        <v>85.446399999999997</v>
      </c>
      <c r="C102" s="212">
        <f t="shared" si="18"/>
        <v>21.361599999999999</v>
      </c>
      <c r="D102" s="212">
        <v>160.15329500000001</v>
      </c>
      <c r="E102" s="212">
        <f t="shared" si="16"/>
        <v>4.668467953933793</v>
      </c>
      <c r="F102" s="212">
        <f t="shared" si="17"/>
        <v>1.327513849328573</v>
      </c>
      <c r="G102" s="212">
        <v>2</v>
      </c>
      <c r="H102" s="212">
        <f t="shared" si="15"/>
        <v>7.0334000000000003</v>
      </c>
    </row>
    <row r="103" spans="1:8" x14ac:dyDescent="0.3">
      <c r="A103" s="212" t="s">
        <v>192</v>
      </c>
      <c r="B103" s="212">
        <v>102.9944</v>
      </c>
      <c r="C103" s="212">
        <f t="shared" si="18"/>
        <v>25.7486</v>
      </c>
      <c r="D103" s="212">
        <v>160.15329500000001</v>
      </c>
      <c r="E103" s="212">
        <f t="shared" si="16"/>
        <v>5.6272242696548798</v>
      </c>
      <c r="F103" s="212">
        <f t="shared" si="17"/>
        <v>1.6001433928554838</v>
      </c>
      <c r="G103" s="212">
        <v>2</v>
      </c>
      <c r="H103" s="212">
        <f t="shared" si="15"/>
        <v>7.0334000000000003</v>
      </c>
    </row>
    <row r="104" spans="1:8" x14ac:dyDescent="0.3">
      <c r="A104" s="212" t="s">
        <v>193</v>
      </c>
      <c r="B104" s="212">
        <v>67.197599999999994</v>
      </c>
      <c r="C104" s="212">
        <f t="shared" si="18"/>
        <v>16.799399999999999</v>
      </c>
      <c r="D104" s="212">
        <v>160.15329500000001</v>
      </c>
      <c r="E104" s="212">
        <f t="shared" si="16"/>
        <v>3.6714225781456142</v>
      </c>
      <c r="F104" s="212">
        <f t="shared" si="17"/>
        <v>1.0439965246241119</v>
      </c>
      <c r="G104" s="212">
        <v>1.5</v>
      </c>
      <c r="H104" s="212">
        <f t="shared" si="15"/>
        <v>5.2750500000000002</v>
      </c>
    </row>
    <row r="105" spans="1:8" x14ac:dyDescent="0.3">
      <c r="A105" s="212" t="s">
        <v>194</v>
      </c>
      <c r="B105" s="212">
        <v>67.199600000000004</v>
      </c>
      <c r="C105" s="212">
        <f t="shared" si="18"/>
        <v>16.799900000000001</v>
      </c>
      <c r="D105" s="212">
        <v>160.15329500000001</v>
      </c>
      <c r="E105" s="212">
        <f t="shared" si="16"/>
        <v>3.6715318505773133</v>
      </c>
      <c r="F105" s="212">
        <f t="shared" si="17"/>
        <v>1.0440275970589794</v>
      </c>
      <c r="G105" s="212">
        <v>1.5</v>
      </c>
      <c r="H105" s="212">
        <f t="shared" si="15"/>
        <v>5.2750500000000002</v>
      </c>
    </row>
    <row r="106" spans="1:8" x14ac:dyDescent="0.3">
      <c r="A106" s="212" t="s">
        <v>195</v>
      </c>
      <c r="B106" s="212">
        <v>40.903199999999998</v>
      </c>
      <c r="C106" s="212">
        <f t="shared" si="18"/>
        <v>10.2258</v>
      </c>
      <c r="D106" s="212">
        <v>160.15329500000001</v>
      </c>
      <c r="E106" s="212">
        <f t="shared" si="16"/>
        <v>2.2347960641214226</v>
      </c>
      <c r="F106" s="212">
        <f t="shared" si="17"/>
        <v>0.63548100893491699</v>
      </c>
      <c r="G106" s="212">
        <v>1</v>
      </c>
      <c r="H106" s="212">
        <f t="shared" si="15"/>
        <v>3.5167000000000002</v>
      </c>
    </row>
    <row r="107" spans="1:8" x14ac:dyDescent="0.3">
      <c r="A107" s="212" t="s">
        <v>197</v>
      </c>
      <c r="B107" s="212">
        <v>59.95</v>
      </c>
      <c r="C107" s="212">
        <f t="shared" si="18"/>
        <v>14.987500000000001</v>
      </c>
      <c r="D107" s="212">
        <v>160.15329500000001</v>
      </c>
      <c r="E107" s="212">
        <f t="shared" si="16"/>
        <v>3.2754411401572323</v>
      </c>
      <c r="F107" s="212">
        <f t="shared" si="17"/>
        <v>0.9313962351514864</v>
      </c>
      <c r="G107" s="212">
        <v>1.5</v>
      </c>
      <c r="H107" s="212">
        <f t="shared" si="15"/>
        <v>5.2750500000000002</v>
      </c>
    </row>
    <row r="108" spans="1:8" x14ac:dyDescent="0.3">
      <c r="A108" s="212" t="s">
        <v>131</v>
      </c>
      <c r="B108" s="212">
        <v>165.20840000000001</v>
      </c>
      <c r="C108" s="212">
        <f t="shared" si="18"/>
        <v>41.302100000000003</v>
      </c>
      <c r="D108" s="212">
        <v>160.15329500000001</v>
      </c>
      <c r="E108" s="212">
        <f t="shared" si="16"/>
        <v>9.0263618024946144</v>
      </c>
      <c r="F108" s="212">
        <f t="shared" si="17"/>
        <v>2.5667136242769115</v>
      </c>
      <c r="G108" s="212">
        <v>3</v>
      </c>
      <c r="H108" s="212">
        <f t="shared" si="15"/>
        <v>10.5501</v>
      </c>
    </row>
    <row r="109" spans="1:8" x14ac:dyDescent="0.3">
      <c r="A109" s="212" t="s">
        <v>129</v>
      </c>
      <c r="B109" s="212">
        <v>187.89680000000001</v>
      </c>
      <c r="C109" s="212">
        <f t="shared" si="18"/>
        <v>46.974200000000003</v>
      </c>
      <c r="D109" s="212">
        <v>160.15329500000001</v>
      </c>
      <c r="E109" s="212">
        <f t="shared" si="16"/>
        <v>10.265970122166729</v>
      </c>
      <c r="F109" s="212">
        <f t="shared" si="17"/>
        <v>2.9192055399001133</v>
      </c>
      <c r="G109" s="212">
        <v>4</v>
      </c>
      <c r="H109" s="212">
        <f t="shared" si="15"/>
        <v>14.066800000000001</v>
      </c>
    </row>
    <row r="110" spans="1:8" x14ac:dyDescent="0.3">
      <c r="A110" s="212" t="s">
        <v>624</v>
      </c>
      <c r="B110" s="212"/>
      <c r="C110" s="212">
        <v>23.600300000000001</v>
      </c>
      <c r="D110" s="212">
        <v>160.15329500000001</v>
      </c>
      <c r="E110" s="212">
        <f t="shared" si="16"/>
        <v>5.1577243396198647</v>
      </c>
      <c r="F110" s="212">
        <f>E110/3.5167</f>
        <v>1.4666375692040448</v>
      </c>
      <c r="G110" s="212">
        <v>2</v>
      </c>
      <c r="H110" s="212">
        <f t="shared" si="15"/>
        <v>7.0334000000000003</v>
      </c>
    </row>
    <row r="111" spans="1:8" x14ac:dyDescent="0.3">
      <c r="A111" s="212" t="s">
        <v>499</v>
      </c>
      <c r="B111" s="212"/>
      <c r="C111" s="212">
        <v>21.600059999999999</v>
      </c>
      <c r="D111" s="212">
        <v>160.15329500000001</v>
      </c>
      <c r="E111" s="212">
        <f t="shared" si="16"/>
        <v>4.7205821620593573</v>
      </c>
      <c r="F111" s="212">
        <f>E111/3.5167</f>
        <v>1.3423329149655521</v>
      </c>
      <c r="G111" s="212">
        <v>2</v>
      </c>
      <c r="H111" s="212">
        <f t="shared" si="15"/>
        <v>7.0334000000000003</v>
      </c>
    </row>
    <row r="112" spans="1:8" ht="15.6" x14ac:dyDescent="0.3">
      <c r="C112" s="218">
        <f>SUM(C79:C111)</f>
        <v>732.81655999999987</v>
      </c>
    </row>
    <row r="113" spans="1:8" x14ac:dyDescent="0.3">
      <c r="C113" s="213"/>
    </row>
    <row r="114" spans="1:8" ht="15.6" x14ac:dyDescent="0.3">
      <c r="A114" s="308" t="s">
        <v>635</v>
      </c>
      <c r="B114" s="308"/>
      <c r="C114" s="308"/>
      <c r="D114" s="308"/>
      <c r="E114" s="308"/>
      <c r="F114" s="308"/>
      <c r="G114" s="308"/>
      <c r="H114" s="308"/>
    </row>
    <row r="115" spans="1:8" ht="15.6" x14ac:dyDescent="0.3">
      <c r="A115" s="215" t="s">
        <v>0</v>
      </c>
      <c r="B115" s="215" t="s">
        <v>168</v>
      </c>
      <c r="C115" s="215" t="s">
        <v>53</v>
      </c>
      <c r="D115" s="215" t="s">
        <v>626</v>
      </c>
      <c r="E115" s="215" t="s">
        <v>627</v>
      </c>
      <c r="F115" s="215" t="s">
        <v>628</v>
      </c>
      <c r="G115" s="215" t="s">
        <v>614</v>
      </c>
      <c r="H115" s="215" t="s">
        <v>615</v>
      </c>
    </row>
    <row r="116" spans="1:8" x14ac:dyDescent="0.3">
      <c r="A116" s="212" t="s">
        <v>317</v>
      </c>
      <c r="B116" s="212">
        <v>107.9832</v>
      </c>
      <c r="C116" s="212">
        <f>B116/4</f>
        <v>26.995799999999999</v>
      </c>
      <c r="D116" s="212">
        <v>47.459317120000001</v>
      </c>
      <c r="E116" s="212">
        <f>(C116*D116)/C116</f>
        <v>47.459317120000001</v>
      </c>
      <c r="F116" s="212">
        <f>E116/3.5167</f>
        <v>13.495412494668297</v>
      </c>
      <c r="G116" s="212">
        <v>14</v>
      </c>
      <c r="H116" s="212">
        <f>G116*3.5167</f>
        <v>49.233800000000002</v>
      </c>
    </row>
    <row r="118" spans="1:8" ht="15.6" x14ac:dyDescent="0.3">
      <c r="A118" s="308" t="s">
        <v>636</v>
      </c>
      <c r="B118" s="308"/>
      <c r="C118" s="308"/>
      <c r="D118" s="308"/>
      <c r="E118" s="308"/>
      <c r="F118" s="308"/>
      <c r="G118" s="308"/>
      <c r="H118" s="308"/>
    </row>
    <row r="119" spans="1:8" x14ac:dyDescent="0.3">
      <c r="A119" s="212" t="s">
        <v>625</v>
      </c>
      <c r="B119" s="212"/>
      <c r="C119" s="212"/>
      <c r="D119" s="212"/>
      <c r="E119" s="212"/>
      <c r="F119" s="212"/>
      <c r="G119" s="212"/>
      <c r="H119" s="212"/>
    </row>
    <row r="121" spans="1:8" ht="15.6" x14ac:dyDescent="0.3">
      <c r="A121" s="308" t="s">
        <v>637</v>
      </c>
      <c r="B121" s="308"/>
      <c r="C121" s="308"/>
      <c r="D121" s="308"/>
      <c r="E121" s="308"/>
      <c r="F121" s="308"/>
      <c r="G121" s="308"/>
      <c r="H121" s="308"/>
    </row>
    <row r="122" spans="1:8" ht="15.6" x14ac:dyDescent="0.3">
      <c r="A122" s="215" t="s">
        <v>0</v>
      </c>
      <c r="B122" s="215" t="s">
        <v>168</v>
      </c>
      <c r="C122" s="215" t="s">
        <v>53</v>
      </c>
      <c r="D122" s="215" t="s">
        <v>626</v>
      </c>
      <c r="E122" s="215" t="s">
        <v>627</v>
      </c>
      <c r="F122" s="215" t="s">
        <v>628</v>
      </c>
      <c r="G122" s="215" t="s">
        <v>614</v>
      </c>
      <c r="H122" s="215" t="s">
        <v>615</v>
      </c>
    </row>
    <row r="123" spans="1:8" x14ac:dyDescent="0.3">
      <c r="A123" s="212" t="s">
        <v>123</v>
      </c>
      <c r="B123" s="212">
        <v>137.10759999999999</v>
      </c>
      <c r="C123" s="212">
        <f>B123/4</f>
        <v>34.276899999999998</v>
      </c>
      <c r="D123" s="212">
        <v>159.56189079999999</v>
      </c>
      <c r="E123" s="212">
        <f>(C123*D123)/C$154</f>
        <v>10.284743977586716</v>
      </c>
      <c r="F123" s="212">
        <f>E123/3.5167</f>
        <v>2.9245440263845981</v>
      </c>
      <c r="G123" s="212">
        <v>3</v>
      </c>
      <c r="H123" s="212">
        <f>G123*3.5167</f>
        <v>10.5501</v>
      </c>
    </row>
    <row r="124" spans="1:8" x14ac:dyDescent="0.3">
      <c r="A124" s="212" t="s">
        <v>169</v>
      </c>
      <c r="B124" s="212">
        <v>137.04</v>
      </c>
      <c r="C124" s="212">
        <f t="shared" ref="C124:C153" si="19">B124/4</f>
        <v>34.26</v>
      </c>
      <c r="D124" s="212">
        <v>159.56189079999999</v>
      </c>
      <c r="E124" s="212">
        <f t="shared" ref="E124:E153" si="20">(C124*D124)/C$154</f>
        <v>10.279673152243083</v>
      </c>
      <c r="F124" s="212">
        <f t="shared" ref="F124:F153" si="21">E124/3.5167</f>
        <v>2.9231020991961447</v>
      </c>
      <c r="G124" s="212">
        <v>3</v>
      </c>
      <c r="H124" s="212">
        <f>G124*3.5167</f>
        <v>10.5501</v>
      </c>
    </row>
    <row r="125" spans="1:8" x14ac:dyDescent="0.3">
      <c r="A125" s="212" t="s">
        <v>124</v>
      </c>
      <c r="B125" s="212">
        <v>137.04</v>
      </c>
      <c r="C125" s="212">
        <f t="shared" si="19"/>
        <v>34.26</v>
      </c>
      <c r="D125" s="212">
        <v>159.56189079999999</v>
      </c>
      <c r="E125" s="212">
        <f t="shared" si="20"/>
        <v>10.279673152243083</v>
      </c>
      <c r="F125" s="212">
        <f t="shared" si="21"/>
        <v>2.9231020991961447</v>
      </c>
      <c r="G125" s="212">
        <v>3</v>
      </c>
      <c r="H125" s="212">
        <f t="shared" ref="H125:H153" si="22">G125*3.5167</f>
        <v>10.5501</v>
      </c>
    </row>
    <row r="126" spans="1:8" x14ac:dyDescent="0.3">
      <c r="A126" s="212" t="s">
        <v>125</v>
      </c>
      <c r="B126" s="212">
        <v>137.04</v>
      </c>
      <c r="C126" s="212">
        <f t="shared" si="19"/>
        <v>34.26</v>
      </c>
      <c r="D126" s="212">
        <v>159.56189079999999</v>
      </c>
      <c r="E126" s="212">
        <f t="shared" si="20"/>
        <v>10.279673152243083</v>
      </c>
      <c r="F126" s="212">
        <f t="shared" si="21"/>
        <v>2.9231020991961447</v>
      </c>
      <c r="G126" s="212">
        <v>3</v>
      </c>
      <c r="H126" s="212">
        <f t="shared" si="22"/>
        <v>10.5501</v>
      </c>
    </row>
    <row r="127" spans="1:8" x14ac:dyDescent="0.3">
      <c r="A127" s="212" t="s">
        <v>170</v>
      </c>
      <c r="B127" s="212">
        <v>40.557200000000002</v>
      </c>
      <c r="C127" s="212">
        <f t="shared" si="19"/>
        <v>10.1393</v>
      </c>
      <c r="D127" s="212">
        <v>159.56189079999999</v>
      </c>
      <c r="E127" s="212">
        <f t="shared" si="20"/>
        <v>3.0422851719946964</v>
      </c>
      <c r="F127" s="212">
        <f t="shared" si="21"/>
        <v>0.86509658827727598</v>
      </c>
      <c r="G127" s="212">
        <v>1</v>
      </c>
      <c r="H127" s="212">
        <f t="shared" si="22"/>
        <v>3.5167000000000002</v>
      </c>
    </row>
    <row r="128" spans="1:8" x14ac:dyDescent="0.3">
      <c r="A128" s="212" t="s">
        <v>171</v>
      </c>
      <c r="B128" s="212">
        <v>55.688800000000001</v>
      </c>
      <c r="C128" s="212">
        <f t="shared" si="19"/>
        <v>13.9222</v>
      </c>
      <c r="D128" s="212">
        <v>159.56189079999999</v>
      </c>
      <c r="E128" s="212">
        <f t="shared" si="20"/>
        <v>4.1773399171091263</v>
      </c>
      <c r="F128" s="212">
        <f t="shared" si="21"/>
        <v>1.1878579114252357</v>
      </c>
      <c r="G128" s="212">
        <v>1.5</v>
      </c>
      <c r="H128" s="212">
        <f t="shared" si="22"/>
        <v>5.2750500000000002</v>
      </c>
    </row>
    <row r="129" spans="1:8" x14ac:dyDescent="0.3">
      <c r="A129" s="212" t="s">
        <v>172</v>
      </c>
      <c r="B129" s="212">
        <v>55.495199999999997</v>
      </c>
      <c r="C129" s="212">
        <f t="shared" si="19"/>
        <v>13.873799999999999</v>
      </c>
      <c r="D129" s="212">
        <v>159.56189079999999</v>
      </c>
      <c r="E129" s="212">
        <f t="shared" si="20"/>
        <v>4.1628175534030962</v>
      </c>
      <c r="F129" s="212">
        <f t="shared" si="21"/>
        <v>1.1837283684713213</v>
      </c>
      <c r="G129" s="212">
        <v>1.5</v>
      </c>
      <c r="H129" s="212">
        <f t="shared" si="22"/>
        <v>5.2750500000000002</v>
      </c>
    </row>
    <row r="130" spans="1:8" x14ac:dyDescent="0.3">
      <c r="A130" s="212" t="s">
        <v>173</v>
      </c>
      <c r="B130" s="212">
        <v>122.848</v>
      </c>
      <c r="C130" s="212">
        <f t="shared" si="19"/>
        <v>30.712</v>
      </c>
      <c r="D130" s="212">
        <v>159.56189079999999</v>
      </c>
      <c r="E130" s="212">
        <f t="shared" si="20"/>
        <v>9.215099878916801</v>
      </c>
      <c r="F130" s="212">
        <f t="shared" si="21"/>
        <v>2.6203827107563344</v>
      </c>
      <c r="G130" s="212">
        <v>3</v>
      </c>
      <c r="H130" s="212">
        <f t="shared" si="22"/>
        <v>10.5501</v>
      </c>
    </row>
    <row r="131" spans="1:8" x14ac:dyDescent="0.3">
      <c r="A131" s="212" t="s">
        <v>174</v>
      </c>
      <c r="B131" s="212">
        <v>71.765199999999993</v>
      </c>
      <c r="C131" s="212">
        <f t="shared" si="19"/>
        <v>17.941299999999998</v>
      </c>
      <c r="D131" s="212">
        <v>159.56189079999999</v>
      </c>
      <c r="E131" s="212">
        <f t="shared" si="20"/>
        <v>5.3832661974996734</v>
      </c>
      <c r="F131" s="212">
        <f t="shared" si="21"/>
        <v>1.5307720867573786</v>
      </c>
      <c r="G131" s="212">
        <v>2</v>
      </c>
      <c r="H131" s="212">
        <f t="shared" si="22"/>
        <v>7.0334000000000003</v>
      </c>
    </row>
    <row r="132" spans="1:8" x14ac:dyDescent="0.3">
      <c r="A132" s="212" t="s">
        <v>178</v>
      </c>
      <c r="B132" s="212">
        <v>55.494</v>
      </c>
      <c r="C132" s="212">
        <f t="shared" si="19"/>
        <v>13.8735</v>
      </c>
      <c r="D132" s="212">
        <v>159.56189079999999</v>
      </c>
      <c r="E132" s="212">
        <f t="shared" si="20"/>
        <v>4.1627275387520264</v>
      </c>
      <c r="F132" s="212">
        <f t="shared" si="21"/>
        <v>1.1837027721306981</v>
      </c>
      <c r="G132" s="212">
        <v>1.5</v>
      </c>
      <c r="H132" s="212">
        <f t="shared" si="22"/>
        <v>5.2750500000000002</v>
      </c>
    </row>
    <row r="133" spans="1:8" x14ac:dyDescent="0.3">
      <c r="A133" s="212" t="s">
        <v>179</v>
      </c>
      <c r="B133" s="212">
        <v>55.571199999999997</v>
      </c>
      <c r="C133" s="212">
        <f t="shared" si="19"/>
        <v>13.892799999999999</v>
      </c>
      <c r="D133" s="212">
        <v>159.56189079999999</v>
      </c>
      <c r="E133" s="212">
        <f t="shared" si="20"/>
        <v>4.1685184813042229</v>
      </c>
      <c r="F133" s="212">
        <f t="shared" si="21"/>
        <v>1.1853494700441387</v>
      </c>
      <c r="G133" s="212">
        <v>1.5</v>
      </c>
      <c r="H133" s="212">
        <f t="shared" si="22"/>
        <v>5.2750500000000002</v>
      </c>
    </row>
    <row r="134" spans="1:8" x14ac:dyDescent="0.3">
      <c r="A134" s="212" t="s">
        <v>180</v>
      </c>
      <c r="B134" s="212">
        <v>40.686399999999999</v>
      </c>
      <c r="C134" s="212">
        <f t="shared" si="19"/>
        <v>10.1716</v>
      </c>
      <c r="D134" s="212">
        <v>159.56189079999999</v>
      </c>
      <c r="E134" s="212">
        <f t="shared" si="20"/>
        <v>3.0519767494266126</v>
      </c>
      <c r="F134" s="212">
        <f t="shared" si="21"/>
        <v>0.86785246095106561</v>
      </c>
      <c r="G134" s="212">
        <v>1</v>
      </c>
      <c r="H134" s="212">
        <f t="shared" si="22"/>
        <v>3.5167000000000002</v>
      </c>
    </row>
    <row r="135" spans="1:8" x14ac:dyDescent="0.3">
      <c r="A135" s="212" t="s">
        <v>182</v>
      </c>
      <c r="B135" s="212">
        <v>63.447600000000001</v>
      </c>
      <c r="C135" s="212">
        <f t="shared" si="19"/>
        <v>15.8619</v>
      </c>
      <c r="D135" s="212">
        <v>159.56189079999999</v>
      </c>
      <c r="E135" s="212">
        <f t="shared" si="20"/>
        <v>4.7593446460468343</v>
      </c>
      <c r="F135" s="212">
        <f t="shared" si="21"/>
        <v>1.3533553177828175</v>
      </c>
      <c r="G135" s="212">
        <v>1.5</v>
      </c>
      <c r="H135" s="212">
        <f t="shared" si="22"/>
        <v>5.2750500000000002</v>
      </c>
    </row>
    <row r="136" spans="1:8" x14ac:dyDescent="0.3">
      <c r="A136" s="212" t="s">
        <v>186</v>
      </c>
      <c r="B136" s="212">
        <v>63.447600000000001</v>
      </c>
      <c r="C136" s="212">
        <f t="shared" si="19"/>
        <v>15.8619</v>
      </c>
      <c r="D136" s="212">
        <v>159.56189079999999</v>
      </c>
      <c r="E136" s="212">
        <f t="shared" si="20"/>
        <v>4.7593446460468343</v>
      </c>
      <c r="F136" s="212">
        <f t="shared" si="21"/>
        <v>1.3533553177828175</v>
      </c>
      <c r="G136" s="212">
        <v>1.5</v>
      </c>
      <c r="H136" s="212">
        <f t="shared" si="22"/>
        <v>5.2750500000000002</v>
      </c>
    </row>
    <row r="137" spans="1:8" x14ac:dyDescent="0.3">
      <c r="A137" s="212" t="s">
        <v>183</v>
      </c>
      <c r="B137" s="212">
        <v>99.132000000000005</v>
      </c>
      <c r="C137" s="212">
        <f t="shared" si="19"/>
        <v>24.783000000000001</v>
      </c>
      <c r="D137" s="212">
        <v>159.56189079999999</v>
      </c>
      <c r="E137" s="212">
        <f t="shared" si="20"/>
        <v>7.4361103249282063</v>
      </c>
      <c r="F137" s="212">
        <f t="shared" si="21"/>
        <v>2.1145136989018698</v>
      </c>
      <c r="G137" s="212">
        <v>2.5</v>
      </c>
      <c r="H137" s="212">
        <f t="shared" si="22"/>
        <v>8.7917500000000004</v>
      </c>
    </row>
    <row r="138" spans="1:8" x14ac:dyDescent="0.3">
      <c r="A138" s="212" t="s">
        <v>185</v>
      </c>
      <c r="B138" s="212">
        <v>99.563599999999994</v>
      </c>
      <c r="C138" s="212">
        <f t="shared" si="19"/>
        <v>24.890899999999998</v>
      </c>
      <c r="D138" s="212">
        <v>159.56189079999999</v>
      </c>
      <c r="E138" s="212">
        <f t="shared" si="20"/>
        <v>7.4684855944298691</v>
      </c>
      <c r="F138" s="212">
        <f t="shared" si="21"/>
        <v>2.1237198494127645</v>
      </c>
      <c r="G138" s="212">
        <v>2.5</v>
      </c>
      <c r="H138" s="212">
        <f t="shared" si="22"/>
        <v>8.7917500000000004</v>
      </c>
    </row>
    <row r="139" spans="1:8" x14ac:dyDescent="0.3">
      <c r="A139" s="212" t="s">
        <v>189</v>
      </c>
      <c r="B139" s="212">
        <v>54.725200000000001</v>
      </c>
      <c r="C139" s="212">
        <f t="shared" si="19"/>
        <v>13.6813</v>
      </c>
      <c r="D139" s="212">
        <v>159.56189079999999</v>
      </c>
      <c r="E139" s="212">
        <f t="shared" si="20"/>
        <v>4.1050581522995708</v>
      </c>
      <c r="F139" s="212">
        <f t="shared" si="21"/>
        <v>1.1673040499046181</v>
      </c>
      <c r="G139" s="212">
        <v>1.5</v>
      </c>
      <c r="H139" s="212">
        <f t="shared" si="22"/>
        <v>5.2750500000000002</v>
      </c>
    </row>
    <row r="140" spans="1:8" x14ac:dyDescent="0.3">
      <c r="A140" s="212" t="s">
        <v>190</v>
      </c>
      <c r="B140" s="212">
        <v>55.004800000000003</v>
      </c>
      <c r="C140" s="212">
        <f t="shared" si="19"/>
        <v>13.751200000000001</v>
      </c>
      <c r="D140" s="212">
        <v>159.56189079999999</v>
      </c>
      <c r="E140" s="212">
        <f t="shared" si="20"/>
        <v>4.1260315659989812</v>
      </c>
      <c r="F140" s="212">
        <f t="shared" si="21"/>
        <v>1.1732679972698783</v>
      </c>
      <c r="G140" s="212">
        <v>1.5</v>
      </c>
      <c r="H140" s="212">
        <f t="shared" si="22"/>
        <v>5.2750500000000002</v>
      </c>
    </row>
    <row r="141" spans="1:8" x14ac:dyDescent="0.3">
      <c r="A141" s="212" t="s">
        <v>304</v>
      </c>
      <c r="B141" s="212">
        <v>64.044799999999995</v>
      </c>
      <c r="C141" s="212">
        <f t="shared" si="19"/>
        <v>16.011199999999999</v>
      </c>
      <c r="D141" s="212">
        <v>159.56189079999999</v>
      </c>
      <c r="E141" s="212">
        <f t="shared" si="20"/>
        <v>4.8041419373962189</v>
      </c>
      <c r="F141" s="212">
        <f t="shared" si="21"/>
        <v>1.3660937632997465</v>
      </c>
      <c r="G141" s="212">
        <v>1.5</v>
      </c>
      <c r="H141" s="212">
        <f t="shared" si="22"/>
        <v>5.2750500000000002</v>
      </c>
    </row>
    <row r="142" spans="1:8" x14ac:dyDescent="0.3">
      <c r="A142" s="212" t="s">
        <v>305</v>
      </c>
      <c r="B142" s="212">
        <v>64.044799999999995</v>
      </c>
      <c r="C142" s="212">
        <f t="shared" si="19"/>
        <v>16.011199999999999</v>
      </c>
      <c r="D142" s="212">
        <v>159.56189079999999</v>
      </c>
      <c r="E142" s="212">
        <f t="shared" si="20"/>
        <v>4.8041419373962189</v>
      </c>
      <c r="F142" s="212">
        <f t="shared" si="21"/>
        <v>1.3660937632997465</v>
      </c>
      <c r="G142" s="212">
        <v>1.5</v>
      </c>
      <c r="H142" s="212">
        <f t="shared" si="22"/>
        <v>5.2750500000000002</v>
      </c>
    </row>
    <row r="143" spans="1:8" x14ac:dyDescent="0.3">
      <c r="A143" s="212" t="s">
        <v>306</v>
      </c>
      <c r="B143" s="212">
        <v>55.004800000000003</v>
      </c>
      <c r="C143" s="212">
        <f t="shared" si="19"/>
        <v>13.751200000000001</v>
      </c>
      <c r="D143" s="212">
        <v>159.56189079999999</v>
      </c>
      <c r="E143" s="212">
        <f t="shared" si="20"/>
        <v>4.1260315659989812</v>
      </c>
      <c r="F143" s="212">
        <f t="shared" si="21"/>
        <v>1.1732679972698783</v>
      </c>
      <c r="G143" s="212">
        <v>1.5</v>
      </c>
      <c r="H143" s="212">
        <f t="shared" si="22"/>
        <v>5.2750500000000002</v>
      </c>
    </row>
    <row r="144" spans="1:8" x14ac:dyDescent="0.3">
      <c r="A144" s="212" t="s">
        <v>307</v>
      </c>
      <c r="B144" s="212">
        <v>55.004800000000003</v>
      </c>
      <c r="C144" s="212">
        <f t="shared" si="19"/>
        <v>13.751200000000001</v>
      </c>
      <c r="D144" s="212">
        <v>159.56189079999999</v>
      </c>
      <c r="E144" s="212">
        <f t="shared" si="20"/>
        <v>4.1260315659989812</v>
      </c>
      <c r="F144" s="212">
        <f t="shared" si="21"/>
        <v>1.1732679972698783</v>
      </c>
      <c r="G144" s="212">
        <v>1.5</v>
      </c>
      <c r="H144" s="212">
        <f t="shared" si="22"/>
        <v>5.2750500000000002</v>
      </c>
    </row>
    <row r="145" spans="1:8" x14ac:dyDescent="0.3">
      <c r="A145" s="212" t="s">
        <v>309</v>
      </c>
      <c r="B145" s="212">
        <v>43.028799999999997</v>
      </c>
      <c r="C145" s="212">
        <f t="shared" si="19"/>
        <v>10.757199999999999</v>
      </c>
      <c r="D145" s="212">
        <v>159.56189079999999</v>
      </c>
      <c r="E145" s="212">
        <f t="shared" si="20"/>
        <v>3.2276853483160917</v>
      </c>
      <c r="F145" s="212">
        <f t="shared" si="21"/>
        <v>0.91781651784800855</v>
      </c>
      <c r="G145" s="212">
        <v>1</v>
      </c>
      <c r="H145" s="212">
        <f t="shared" si="22"/>
        <v>3.5167000000000002</v>
      </c>
    </row>
    <row r="146" spans="1:8" x14ac:dyDescent="0.3">
      <c r="A146" s="212" t="s">
        <v>310</v>
      </c>
      <c r="B146" s="212">
        <v>45.26</v>
      </c>
      <c r="C146" s="212">
        <f t="shared" si="19"/>
        <v>11.315</v>
      </c>
      <c r="D146" s="212">
        <v>159.56189079999999</v>
      </c>
      <c r="E146" s="212">
        <f t="shared" si="20"/>
        <v>3.3950525895397101</v>
      </c>
      <c r="F146" s="212">
        <f t="shared" si="21"/>
        <v>0.965408647180513</v>
      </c>
      <c r="G146" s="212">
        <v>1</v>
      </c>
      <c r="H146" s="212">
        <f t="shared" si="22"/>
        <v>3.5167000000000002</v>
      </c>
    </row>
    <row r="147" spans="1:8" x14ac:dyDescent="0.3">
      <c r="A147" s="212" t="s">
        <v>311</v>
      </c>
      <c r="B147" s="212">
        <v>53.233199999999997</v>
      </c>
      <c r="C147" s="212">
        <f t="shared" si="19"/>
        <v>13.308299999999999</v>
      </c>
      <c r="D147" s="212">
        <v>159.56189079999999</v>
      </c>
      <c r="E147" s="212">
        <f t="shared" si="20"/>
        <v>3.9931399361353357</v>
      </c>
      <c r="F147" s="212">
        <f t="shared" si="21"/>
        <v>1.1354792663961486</v>
      </c>
      <c r="G147" s="212">
        <v>1.5</v>
      </c>
      <c r="H147" s="212">
        <f t="shared" si="22"/>
        <v>5.2750500000000002</v>
      </c>
    </row>
    <row r="148" spans="1:8" x14ac:dyDescent="0.3">
      <c r="A148" s="212" t="s">
        <v>314</v>
      </c>
      <c r="B148" s="212">
        <v>53.87</v>
      </c>
      <c r="C148" s="212">
        <f t="shared" si="19"/>
        <v>13.467499999999999</v>
      </c>
      <c r="D148" s="212">
        <v>159.56189079999999</v>
      </c>
      <c r="E148" s="212">
        <f t="shared" si="20"/>
        <v>4.0409077109700444</v>
      </c>
      <c r="F148" s="212">
        <f t="shared" si="21"/>
        <v>1.1490623911536508</v>
      </c>
      <c r="G148" s="212">
        <v>1.5</v>
      </c>
      <c r="H148" s="212">
        <f t="shared" si="22"/>
        <v>5.2750500000000002</v>
      </c>
    </row>
    <row r="149" spans="1:8" x14ac:dyDescent="0.3">
      <c r="A149" s="212" t="s">
        <v>72</v>
      </c>
      <c r="B149" s="212">
        <v>43.602400000000003</v>
      </c>
      <c r="C149" s="212">
        <f t="shared" si="19"/>
        <v>10.900600000000001</v>
      </c>
      <c r="D149" s="212">
        <v>159.56189079999999</v>
      </c>
      <c r="E149" s="212">
        <f t="shared" si="20"/>
        <v>3.2707123515277572</v>
      </c>
      <c r="F149" s="212">
        <f t="shared" si="21"/>
        <v>0.93005156866600991</v>
      </c>
      <c r="G149" s="212">
        <v>1</v>
      </c>
      <c r="H149" s="212">
        <f t="shared" si="22"/>
        <v>3.5167000000000002</v>
      </c>
    </row>
    <row r="150" spans="1:8" x14ac:dyDescent="0.3">
      <c r="A150" s="212" t="s">
        <v>75</v>
      </c>
      <c r="B150" s="212">
        <v>43.132399999999997</v>
      </c>
      <c r="C150" s="212">
        <f t="shared" si="19"/>
        <v>10.783099999999999</v>
      </c>
      <c r="D150" s="212">
        <v>159.56189079999999</v>
      </c>
      <c r="E150" s="212">
        <f t="shared" si="20"/>
        <v>3.2354566131918383</v>
      </c>
      <c r="F150" s="212">
        <f t="shared" si="21"/>
        <v>0.92002633525516486</v>
      </c>
      <c r="G150" s="212">
        <v>1</v>
      </c>
      <c r="H150" s="212">
        <f t="shared" si="22"/>
        <v>3.5167000000000002</v>
      </c>
    </row>
    <row r="151" spans="1:8" x14ac:dyDescent="0.3">
      <c r="A151" s="212" t="s">
        <v>76</v>
      </c>
      <c r="B151" s="212">
        <v>37.665199999999999</v>
      </c>
      <c r="C151" s="212">
        <f t="shared" si="19"/>
        <v>9.4162999999999997</v>
      </c>
      <c r="D151" s="212">
        <v>159.56189079999999</v>
      </c>
      <c r="E151" s="212">
        <f t="shared" si="20"/>
        <v>2.8253498629149605</v>
      </c>
      <c r="F151" s="212">
        <f t="shared" si="21"/>
        <v>0.80340940737480038</v>
      </c>
      <c r="G151" s="212">
        <v>1</v>
      </c>
      <c r="H151" s="212">
        <f t="shared" si="22"/>
        <v>3.5167000000000002</v>
      </c>
    </row>
    <row r="152" spans="1:8" x14ac:dyDescent="0.3">
      <c r="A152" s="212" t="s">
        <v>419</v>
      </c>
      <c r="B152" s="212">
        <v>42.8</v>
      </c>
      <c r="C152" s="212">
        <f t="shared" si="19"/>
        <v>10.7</v>
      </c>
      <c r="D152" s="212">
        <v>159.56189079999999</v>
      </c>
      <c r="E152" s="212">
        <f t="shared" si="20"/>
        <v>3.2105225548453293</v>
      </c>
      <c r="F152" s="212">
        <f t="shared" si="21"/>
        <v>0.91293614890247365</v>
      </c>
      <c r="G152" s="212">
        <v>1</v>
      </c>
      <c r="H152" s="212">
        <f t="shared" si="22"/>
        <v>3.5167000000000002</v>
      </c>
    </row>
    <row r="153" spans="1:8" x14ac:dyDescent="0.3">
      <c r="A153" s="212" t="s">
        <v>418</v>
      </c>
      <c r="B153" s="212">
        <v>44.8</v>
      </c>
      <c r="C153" s="212">
        <f t="shared" si="19"/>
        <v>11.2</v>
      </c>
      <c r="D153" s="212">
        <v>159.56189079999999</v>
      </c>
      <c r="E153" s="212">
        <f t="shared" si="20"/>
        <v>3.3605469732960458</v>
      </c>
      <c r="F153" s="212">
        <f t="shared" si="21"/>
        <v>0.95559671660819678</v>
      </c>
      <c r="G153" s="212">
        <v>1</v>
      </c>
      <c r="H153" s="212">
        <f t="shared" si="22"/>
        <v>3.5167000000000002</v>
      </c>
    </row>
    <row r="154" spans="1:8" ht="15.6" x14ac:dyDescent="0.3">
      <c r="C154" s="218">
        <f>SUM(C123:C153)</f>
        <v>531.78639999999984</v>
      </c>
    </row>
  </sheetData>
  <mergeCells count="9">
    <mergeCell ref="A118:H118"/>
    <mergeCell ref="A121:H121"/>
    <mergeCell ref="A14:H14"/>
    <mergeCell ref="A1:H1"/>
    <mergeCell ref="A20:H20"/>
    <mergeCell ref="A57:H57"/>
    <mergeCell ref="A70:H70"/>
    <mergeCell ref="A77:H77"/>
    <mergeCell ref="A114:H1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L27"/>
  <sheetViews>
    <sheetView topLeftCell="A3" workbookViewId="0">
      <selection activeCell="G5" sqref="G5"/>
    </sheetView>
  </sheetViews>
  <sheetFormatPr defaultColWidth="9.109375" defaultRowHeight="15" x14ac:dyDescent="0.3"/>
  <cols>
    <col min="1" max="1" width="22.6640625" style="51" customWidth="1"/>
    <col min="2" max="6" width="9.109375" style="51"/>
    <col min="7" max="7" width="15.6640625" style="51" customWidth="1"/>
    <col min="8" max="8" width="16" style="51" customWidth="1"/>
    <col min="9" max="9" width="17.5546875" style="51" customWidth="1"/>
    <col min="10" max="10" width="12.44140625" style="51" customWidth="1"/>
    <col min="11" max="11" width="10.33203125" style="51" customWidth="1"/>
    <col min="12" max="12" width="18.88671875" style="51" customWidth="1"/>
    <col min="13" max="15" width="9.109375" style="51"/>
    <col min="16" max="16" width="16.5546875" style="51" customWidth="1"/>
    <col min="17" max="17" width="9.109375" style="51"/>
    <col min="18" max="18" width="15.44140625" style="51" customWidth="1"/>
    <col min="19" max="19" width="17.33203125" style="51" customWidth="1"/>
    <col min="20" max="20" width="12.6640625" style="51" customWidth="1"/>
    <col min="21" max="16384" width="9.109375" style="51"/>
  </cols>
  <sheetData>
    <row r="1" spans="1:12" ht="15.6" x14ac:dyDescent="0.3">
      <c r="A1" s="312" t="s">
        <v>638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</row>
    <row r="2" spans="1:12" ht="15.6" x14ac:dyDescent="0.3">
      <c r="A2" s="223" t="s">
        <v>0</v>
      </c>
      <c r="B2" s="223" t="s">
        <v>614</v>
      </c>
      <c r="C2" s="223" t="s">
        <v>665</v>
      </c>
      <c r="D2" s="223" t="s">
        <v>20</v>
      </c>
      <c r="E2" s="223" t="s">
        <v>639</v>
      </c>
      <c r="F2" s="223" t="s">
        <v>640</v>
      </c>
      <c r="G2" s="223" t="s">
        <v>641</v>
      </c>
      <c r="H2" s="223" t="s">
        <v>642</v>
      </c>
      <c r="I2" s="223" t="s">
        <v>643</v>
      </c>
      <c r="J2" s="223" t="s">
        <v>644</v>
      </c>
      <c r="K2" s="223" t="s">
        <v>645</v>
      </c>
      <c r="L2" s="223" t="s">
        <v>646</v>
      </c>
    </row>
    <row r="3" spans="1:12" x14ac:dyDescent="0.3">
      <c r="A3" s="222" t="s">
        <v>102</v>
      </c>
      <c r="B3" s="222">
        <v>2.5</v>
      </c>
      <c r="C3" s="222">
        <f>3.5167*B3</f>
        <v>8.7917500000000004</v>
      </c>
      <c r="D3" s="222">
        <f>((C3*0.8583)*(1000))/((1.1968)*(12.5))</f>
        <v>504.40902573529411</v>
      </c>
      <c r="E3" s="222">
        <f>D3/1000</f>
        <v>0.50440902573529411</v>
      </c>
      <c r="F3" s="222">
        <v>300</v>
      </c>
      <c r="G3" s="222">
        <v>5.7</v>
      </c>
      <c r="H3" s="222">
        <v>1.1870000000000001</v>
      </c>
      <c r="I3" s="222">
        <v>35.979999999999997</v>
      </c>
      <c r="J3" s="222">
        <f>I3*H3</f>
        <v>42.708259999999996</v>
      </c>
      <c r="K3" s="222" t="s">
        <v>647</v>
      </c>
      <c r="L3" s="222" t="s">
        <v>648</v>
      </c>
    </row>
    <row r="4" spans="1:12" x14ac:dyDescent="0.3">
      <c r="A4" s="222" t="s">
        <v>649</v>
      </c>
      <c r="B4" s="222">
        <v>6</v>
      </c>
      <c r="C4" s="222">
        <f>3.5167*B4</f>
        <v>21.100200000000001</v>
      </c>
      <c r="D4" s="222">
        <f>((C4*0.8583)*(1000))/((1.1968)*(12.5))</f>
        <v>1210.5816617647058</v>
      </c>
      <c r="E4" s="222">
        <f t="shared" ref="E4:E23" si="0">D4/1000</f>
        <v>1.2105816617647058</v>
      </c>
      <c r="F4" s="222">
        <v>600</v>
      </c>
      <c r="G4" s="222">
        <v>4.282</v>
      </c>
      <c r="H4" s="222">
        <v>0.32400000000000001</v>
      </c>
      <c r="I4" s="222">
        <v>38.82</v>
      </c>
      <c r="J4" s="222">
        <f t="shared" ref="J4:J23" si="1">I4*H4</f>
        <v>12.577680000000001</v>
      </c>
      <c r="K4" s="222" t="s">
        <v>650</v>
      </c>
      <c r="L4" s="222" t="s">
        <v>648</v>
      </c>
    </row>
    <row r="5" spans="1:12" x14ac:dyDescent="0.3">
      <c r="A5" s="222" t="s">
        <v>40</v>
      </c>
      <c r="B5" s="222">
        <v>1.5</v>
      </c>
      <c r="C5" s="222">
        <f>3.5167*B5</f>
        <v>5.2750500000000002</v>
      </c>
      <c r="D5" s="222">
        <f>((C5*0.8583)*(1000))/((1.1968)*(12.5))</f>
        <v>302.64541544117645</v>
      </c>
      <c r="E5" s="222">
        <f t="shared" si="0"/>
        <v>0.30264541544117646</v>
      </c>
      <c r="F5" s="222">
        <v>300</v>
      </c>
      <c r="G5" s="222">
        <v>4.2839999999999998</v>
      </c>
      <c r="H5" s="222">
        <v>0.8</v>
      </c>
      <c r="I5" s="222">
        <v>7.33</v>
      </c>
      <c r="J5" s="222">
        <f t="shared" si="1"/>
        <v>5.8640000000000008</v>
      </c>
      <c r="K5" s="222" t="s">
        <v>651</v>
      </c>
      <c r="L5" s="222" t="s">
        <v>648</v>
      </c>
    </row>
    <row r="6" spans="1:12" x14ac:dyDescent="0.3">
      <c r="A6" s="222" t="s">
        <v>652</v>
      </c>
      <c r="B6" s="222">
        <v>3</v>
      </c>
      <c r="C6" s="222">
        <f t="shared" ref="C6:C23" si="2">3.5167*B6</f>
        <v>10.5501</v>
      </c>
      <c r="D6" s="222">
        <f t="shared" ref="D6:D23" si="3">((C6*0.8583)*(1000))/((1.1968)*(12.5))</f>
        <v>605.29083088235291</v>
      </c>
      <c r="E6" s="222">
        <f t="shared" si="0"/>
        <v>0.60529083088235291</v>
      </c>
      <c r="F6" s="222">
        <v>350</v>
      </c>
      <c r="G6" s="222">
        <v>6.2969999999999997</v>
      </c>
      <c r="H6" s="222">
        <v>1.37</v>
      </c>
      <c r="I6" s="222">
        <v>22.01</v>
      </c>
      <c r="J6" s="222">
        <f t="shared" si="1"/>
        <v>30.153700000000004</v>
      </c>
      <c r="K6" s="222" t="s">
        <v>647</v>
      </c>
      <c r="L6" s="222" t="s">
        <v>653</v>
      </c>
    </row>
    <row r="9" spans="1:12" ht="15.6" x14ac:dyDescent="0.3">
      <c r="A9" s="223" t="s">
        <v>0</v>
      </c>
      <c r="B9" s="223" t="s">
        <v>614</v>
      </c>
      <c r="C9" s="223" t="s">
        <v>665</v>
      </c>
      <c r="D9" s="223" t="s">
        <v>20</v>
      </c>
      <c r="E9" s="223" t="s">
        <v>639</v>
      </c>
      <c r="F9" s="223" t="s">
        <v>640</v>
      </c>
      <c r="G9" s="223" t="s">
        <v>641</v>
      </c>
      <c r="H9" s="223" t="s">
        <v>642</v>
      </c>
      <c r="I9" s="223" t="s">
        <v>643</v>
      </c>
      <c r="J9" s="223" t="s">
        <v>644</v>
      </c>
      <c r="K9" s="223" t="s">
        <v>645</v>
      </c>
      <c r="L9" s="223" t="s">
        <v>646</v>
      </c>
    </row>
    <row r="10" spans="1:12" x14ac:dyDescent="0.3">
      <c r="A10" s="222" t="s">
        <v>139</v>
      </c>
      <c r="B10" s="222">
        <v>5</v>
      </c>
      <c r="C10" s="222">
        <f t="shared" si="2"/>
        <v>17.583500000000001</v>
      </c>
      <c r="D10" s="222">
        <f t="shared" si="3"/>
        <v>1008.8180514705882</v>
      </c>
      <c r="E10" s="222">
        <f t="shared" si="0"/>
        <v>1.0088180514705882</v>
      </c>
      <c r="F10" s="222">
        <v>450</v>
      </c>
      <c r="G10" s="222">
        <v>6.3470000000000004</v>
      </c>
      <c r="H10" s="222">
        <v>1.02</v>
      </c>
      <c r="I10" s="222">
        <v>110.46</v>
      </c>
      <c r="J10" s="222">
        <f t="shared" si="1"/>
        <v>112.66919999999999</v>
      </c>
      <c r="K10" s="222" t="s">
        <v>654</v>
      </c>
      <c r="L10" s="222" t="s">
        <v>655</v>
      </c>
    </row>
    <row r="11" spans="1:12" x14ac:dyDescent="0.3">
      <c r="A11" s="222" t="s">
        <v>412</v>
      </c>
      <c r="B11" s="222">
        <v>5</v>
      </c>
      <c r="C11" s="222">
        <f t="shared" si="2"/>
        <v>17.583500000000001</v>
      </c>
      <c r="D11" s="222">
        <f t="shared" si="3"/>
        <v>1008.8180514705882</v>
      </c>
      <c r="E11" s="222">
        <f t="shared" si="0"/>
        <v>1.0088180514705882</v>
      </c>
      <c r="F11" s="222">
        <v>450</v>
      </c>
      <c r="G11" s="222">
        <v>6.3470000000000004</v>
      </c>
      <c r="H11" s="222">
        <v>1.02</v>
      </c>
      <c r="I11" s="222">
        <v>109.76</v>
      </c>
      <c r="J11" s="222">
        <f t="shared" si="1"/>
        <v>111.9552</v>
      </c>
      <c r="K11" s="222" t="s">
        <v>654</v>
      </c>
      <c r="L11" s="222" t="s">
        <v>655</v>
      </c>
    </row>
    <row r="12" spans="1:12" x14ac:dyDescent="0.3">
      <c r="A12" s="222" t="s">
        <v>192</v>
      </c>
      <c r="B12" s="222">
        <v>2</v>
      </c>
      <c r="C12" s="222">
        <f t="shared" si="2"/>
        <v>7.0334000000000003</v>
      </c>
      <c r="D12" s="222">
        <f t="shared" si="3"/>
        <v>403.52722058823525</v>
      </c>
      <c r="E12" s="222">
        <f t="shared" si="0"/>
        <v>0.40352722058823526</v>
      </c>
      <c r="F12" s="222">
        <v>350</v>
      </c>
      <c r="G12" s="222">
        <v>4.1820000000000004</v>
      </c>
      <c r="H12" s="222">
        <v>0.63</v>
      </c>
      <c r="I12" s="222">
        <v>100.1</v>
      </c>
      <c r="J12" s="222">
        <f t="shared" si="1"/>
        <v>63.062999999999995</v>
      </c>
      <c r="K12" s="222" t="s">
        <v>647</v>
      </c>
      <c r="L12" s="222" t="s">
        <v>653</v>
      </c>
    </row>
    <row r="13" spans="1:12" x14ac:dyDescent="0.3">
      <c r="A13" s="222" t="s">
        <v>624</v>
      </c>
      <c r="B13" s="222">
        <v>2</v>
      </c>
      <c r="C13" s="222">
        <f t="shared" si="2"/>
        <v>7.0334000000000003</v>
      </c>
      <c r="D13" s="222">
        <f>((C13*0.8583)*(1000))/((1.1968)*(12.5))</f>
        <v>403.52722058823525</v>
      </c>
      <c r="E13" s="222">
        <f t="shared" si="0"/>
        <v>0.40352722058823526</v>
      </c>
      <c r="F13" s="222">
        <v>350</v>
      </c>
      <c r="G13" s="222">
        <v>4.1820000000000004</v>
      </c>
      <c r="H13" s="222">
        <v>0.63</v>
      </c>
      <c r="I13" s="222">
        <v>92.8</v>
      </c>
      <c r="J13" s="222">
        <f t="shared" si="1"/>
        <v>58.463999999999999</v>
      </c>
      <c r="K13" s="222" t="s">
        <v>647</v>
      </c>
      <c r="L13" s="222" t="s">
        <v>653</v>
      </c>
    </row>
    <row r="14" spans="1:12" x14ac:dyDescent="0.3">
      <c r="A14" s="222" t="s">
        <v>195</v>
      </c>
      <c r="B14" s="222">
        <v>1</v>
      </c>
      <c r="C14" s="222">
        <f t="shared" si="2"/>
        <v>3.5167000000000002</v>
      </c>
      <c r="D14" s="222">
        <f t="shared" si="3"/>
        <v>201.76361029411763</v>
      </c>
      <c r="E14" s="222">
        <f t="shared" si="0"/>
        <v>0.20176361029411763</v>
      </c>
      <c r="F14" s="222">
        <v>250</v>
      </c>
      <c r="G14" s="222">
        <v>4.1130000000000004</v>
      </c>
      <c r="H14" s="222">
        <v>0.93</v>
      </c>
      <c r="I14" s="222">
        <v>87.95</v>
      </c>
      <c r="J14" s="222">
        <f t="shared" si="1"/>
        <v>81.793500000000009</v>
      </c>
      <c r="K14" s="222" t="s">
        <v>656</v>
      </c>
      <c r="L14" s="222" t="s">
        <v>657</v>
      </c>
    </row>
    <row r="15" spans="1:12" x14ac:dyDescent="0.3">
      <c r="A15" s="222" t="s">
        <v>196</v>
      </c>
      <c r="B15" s="222">
        <v>2.5</v>
      </c>
      <c r="C15" s="222">
        <f t="shared" si="2"/>
        <v>8.7917500000000004</v>
      </c>
      <c r="D15" s="222">
        <f t="shared" si="3"/>
        <v>504.40902573529411</v>
      </c>
      <c r="E15" s="222">
        <f t="shared" si="0"/>
        <v>0.50440902573529411</v>
      </c>
      <c r="F15" s="222">
        <v>300</v>
      </c>
      <c r="G15" s="222">
        <v>5.7</v>
      </c>
      <c r="H15" s="222">
        <v>1.1870000000000001</v>
      </c>
      <c r="I15" s="222">
        <v>84.35</v>
      </c>
      <c r="J15" s="222">
        <f t="shared" si="1"/>
        <v>100.12344999999999</v>
      </c>
      <c r="K15" s="222" t="s">
        <v>647</v>
      </c>
      <c r="L15" s="222" t="s">
        <v>648</v>
      </c>
    </row>
    <row r="16" spans="1:12" x14ac:dyDescent="0.3">
      <c r="A16" s="222" t="s">
        <v>658</v>
      </c>
      <c r="B16" s="222">
        <v>4</v>
      </c>
      <c r="C16" s="222">
        <f t="shared" si="2"/>
        <v>14.066800000000001</v>
      </c>
      <c r="D16" s="222">
        <f t="shared" si="3"/>
        <v>807.0544411764705</v>
      </c>
      <c r="E16" s="222">
        <f t="shared" si="0"/>
        <v>0.80705444117647052</v>
      </c>
      <c r="F16" s="222">
        <v>400</v>
      </c>
      <c r="G16" s="222">
        <v>6.4109999999999996</v>
      </c>
      <c r="H16" s="222">
        <v>1.2</v>
      </c>
      <c r="I16" s="222">
        <v>86.62</v>
      </c>
      <c r="J16" s="222">
        <f t="shared" si="1"/>
        <v>103.944</v>
      </c>
      <c r="K16" s="222" t="s">
        <v>659</v>
      </c>
      <c r="L16" s="222" t="s">
        <v>660</v>
      </c>
    </row>
    <row r="17" spans="1:12" x14ac:dyDescent="0.3">
      <c r="A17" s="222" t="s">
        <v>661</v>
      </c>
      <c r="B17" s="222">
        <v>1</v>
      </c>
      <c r="C17" s="222">
        <f t="shared" si="2"/>
        <v>3.5167000000000002</v>
      </c>
      <c r="D17" s="222">
        <f t="shared" si="3"/>
        <v>201.76361029411763</v>
      </c>
      <c r="E17" s="222">
        <f t="shared" si="0"/>
        <v>0.20176361029411763</v>
      </c>
      <c r="F17" s="222">
        <v>250</v>
      </c>
      <c r="G17" s="222">
        <v>4.1130000000000004</v>
      </c>
      <c r="H17" s="222">
        <v>0.93</v>
      </c>
      <c r="I17" s="222">
        <v>14.48</v>
      </c>
      <c r="J17" s="222">
        <f t="shared" si="1"/>
        <v>13.466400000000002</v>
      </c>
      <c r="K17" s="222" t="s">
        <v>656</v>
      </c>
      <c r="L17" s="222" t="s">
        <v>653</v>
      </c>
    </row>
    <row r="18" spans="1:12" x14ac:dyDescent="0.3">
      <c r="A18" s="222" t="s">
        <v>662</v>
      </c>
      <c r="B18" s="222">
        <v>1</v>
      </c>
      <c r="C18" s="222">
        <f t="shared" si="2"/>
        <v>3.5167000000000002</v>
      </c>
      <c r="D18" s="222">
        <f t="shared" si="3"/>
        <v>201.76361029411763</v>
      </c>
      <c r="E18" s="222">
        <f t="shared" si="0"/>
        <v>0.20176361029411763</v>
      </c>
      <c r="F18" s="222">
        <v>250</v>
      </c>
      <c r="G18" s="222">
        <v>4.1130000000000004</v>
      </c>
      <c r="H18" s="222">
        <v>0.93</v>
      </c>
      <c r="I18" s="222">
        <v>60.25</v>
      </c>
      <c r="J18" s="222">
        <f t="shared" si="1"/>
        <v>56.032500000000006</v>
      </c>
      <c r="K18" s="222" t="s">
        <v>656</v>
      </c>
      <c r="L18" s="222" t="s">
        <v>657</v>
      </c>
    </row>
    <row r="21" spans="1:12" ht="15.6" x14ac:dyDescent="0.3">
      <c r="A21" s="223" t="s">
        <v>0</v>
      </c>
      <c r="B21" s="223" t="s">
        <v>614</v>
      </c>
      <c r="C21" s="223" t="s">
        <v>665</v>
      </c>
      <c r="D21" s="223" t="s">
        <v>20</v>
      </c>
      <c r="E21" s="223" t="s">
        <v>639</v>
      </c>
      <c r="F21" s="223" t="s">
        <v>640</v>
      </c>
      <c r="G21" s="223" t="s">
        <v>641</v>
      </c>
      <c r="H21" s="223" t="s">
        <v>642</v>
      </c>
      <c r="I21" s="223" t="s">
        <v>643</v>
      </c>
      <c r="J21" s="223" t="s">
        <v>644</v>
      </c>
      <c r="K21" s="223" t="s">
        <v>645</v>
      </c>
      <c r="L21" s="223" t="s">
        <v>646</v>
      </c>
    </row>
    <row r="22" spans="1:12" x14ac:dyDescent="0.3">
      <c r="A22" s="222" t="s">
        <v>661</v>
      </c>
      <c r="B22" s="222">
        <v>1</v>
      </c>
      <c r="C22" s="222">
        <f t="shared" si="2"/>
        <v>3.5167000000000002</v>
      </c>
      <c r="D22" s="222">
        <f>((C22*0.8583)*(1000))/((1.1968)*(12.5))</f>
        <v>201.76361029411763</v>
      </c>
      <c r="E22" s="222">
        <f t="shared" si="0"/>
        <v>0.20176361029411763</v>
      </c>
      <c r="F22" s="222">
        <v>250</v>
      </c>
      <c r="G22" s="222">
        <v>4.1130000000000004</v>
      </c>
      <c r="H22" s="222">
        <v>0.93</v>
      </c>
      <c r="I22" s="222">
        <v>18.350000000000001</v>
      </c>
      <c r="J22" s="222">
        <f t="shared" si="1"/>
        <v>17.065500000000004</v>
      </c>
      <c r="K22" s="222" t="s">
        <v>656</v>
      </c>
      <c r="L22" s="222" t="s">
        <v>657</v>
      </c>
    </row>
    <row r="23" spans="1:12" x14ac:dyDescent="0.3">
      <c r="A23" s="222" t="s">
        <v>662</v>
      </c>
      <c r="B23" s="222">
        <v>1</v>
      </c>
      <c r="C23" s="222">
        <f t="shared" si="2"/>
        <v>3.5167000000000002</v>
      </c>
      <c r="D23" s="222">
        <f t="shared" si="3"/>
        <v>201.76361029411763</v>
      </c>
      <c r="E23" s="222">
        <f t="shared" si="0"/>
        <v>0.20176361029411763</v>
      </c>
      <c r="F23" s="222">
        <v>250</v>
      </c>
      <c r="G23" s="222">
        <v>4.1130000000000004</v>
      </c>
      <c r="H23" s="222">
        <v>0.93</v>
      </c>
      <c r="I23" s="222">
        <v>65.58</v>
      </c>
      <c r="J23" s="222">
        <f t="shared" si="1"/>
        <v>60.989400000000003</v>
      </c>
      <c r="K23" s="222" t="s">
        <v>656</v>
      </c>
      <c r="L23" s="222" t="s">
        <v>657</v>
      </c>
    </row>
    <row r="24" spans="1:12" x14ac:dyDescent="0.3">
      <c r="A24" s="222"/>
      <c r="B24" s="222"/>
      <c r="C24" s="222"/>
      <c r="D24" s="222"/>
      <c r="E24" s="222"/>
      <c r="F24" s="222"/>
      <c r="G24" s="222"/>
      <c r="H24" s="222"/>
      <c r="I24" s="222"/>
      <c r="J24" s="222">
        <f>SUM(J3:J23)</f>
        <v>870.86979000000019</v>
      </c>
      <c r="K24" s="222"/>
      <c r="L24" s="222"/>
    </row>
    <row r="25" spans="1:12" x14ac:dyDescent="0.3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</row>
    <row r="27" spans="1:12" x14ac:dyDescent="0.3">
      <c r="A27" s="222" t="s">
        <v>663</v>
      </c>
      <c r="B27" s="222"/>
      <c r="C27" s="222"/>
      <c r="D27" s="222">
        <f>SUM(D22:D23,D10:D18,D3:D6)</f>
        <v>7767.898996323529</v>
      </c>
      <c r="E27" s="222"/>
      <c r="F27" s="222">
        <v>900</v>
      </c>
      <c r="G27" s="222">
        <v>11.955</v>
      </c>
      <c r="H27" s="222">
        <v>1.3340000000000001</v>
      </c>
      <c r="I27" s="222"/>
      <c r="J27" s="222"/>
      <c r="K27" s="222" t="s">
        <v>664</v>
      </c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O141"/>
  <sheetViews>
    <sheetView workbookViewId="0">
      <selection activeCell="A3" sqref="A3:J3"/>
    </sheetView>
  </sheetViews>
  <sheetFormatPr defaultColWidth="9.109375" defaultRowHeight="15" x14ac:dyDescent="0.3"/>
  <cols>
    <col min="1" max="1" width="32.88671875" style="51" customWidth="1"/>
    <col min="2" max="2" width="9.109375" style="51"/>
    <col min="3" max="3" width="12.33203125" style="51" customWidth="1"/>
    <col min="4" max="4" width="14" style="51" customWidth="1"/>
    <col min="5" max="5" width="14.109375" style="51" customWidth="1"/>
    <col min="6" max="6" width="19.88671875" style="51" customWidth="1"/>
    <col min="7" max="7" width="5.109375" style="51" customWidth="1"/>
    <col min="8" max="8" width="4.6640625" style="51" customWidth="1"/>
    <col min="9" max="9" width="5.33203125" style="51" customWidth="1"/>
    <col min="10" max="10" width="24.5546875" style="51" customWidth="1"/>
    <col min="11" max="21" width="9.109375" style="51"/>
    <col min="22" max="22" width="8.6640625" style="51" customWidth="1"/>
    <col min="23" max="16384" width="9.109375" style="51"/>
  </cols>
  <sheetData>
    <row r="1" spans="1:15" ht="15.6" x14ac:dyDescent="0.3">
      <c r="A1" s="242" t="s">
        <v>727</v>
      </c>
    </row>
    <row r="3" spans="1:15" ht="15.6" x14ac:dyDescent="0.3">
      <c r="A3" s="313" t="s">
        <v>728</v>
      </c>
      <c r="B3" s="313"/>
      <c r="C3" s="313"/>
      <c r="D3" s="313"/>
      <c r="E3" s="313"/>
      <c r="F3" s="313"/>
      <c r="G3" s="313"/>
      <c r="H3" s="313"/>
      <c r="I3" s="313"/>
      <c r="J3" s="313"/>
    </row>
    <row r="4" spans="1:15" ht="15.6" thickBot="1" x14ac:dyDescent="0.35">
      <c r="A4" s="314"/>
      <c r="B4" s="314"/>
      <c r="C4" s="314"/>
      <c r="D4" s="314"/>
      <c r="E4" s="314"/>
      <c r="F4" s="314"/>
      <c r="G4" s="314"/>
      <c r="H4" s="314"/>
      <c r="I4" s="314"/>
      <c r="J4" s="314"/>
    </row>
    <row r="5" spans="1:15" x14ac:dyDescent="0.3">
      <c r="A5" s="315" t="s">
        <v>666</v>
      </c>
      <c r="B5" s="315" t="s">
        <v>667</v>
      </c>
      <c r="C5" s="317" t="s">
        <v>668</v>
      </c>
      <c r="D5" s="317" t="s">
        <v>669</v>
      </c>
      <c r="E5" s="317" t="s">
        <v>729</v>
      </c>
      <c r="F5" s="319" t="s">
        <v>730</v>
      </c>
      <c r="G5" s="321" t="s">
        <v>672</v>
      </c>
      <c r="H5" s="321"/>
      <c r="I5" s="322"/>
      <c r="J5" s="323" t="s">
        <v>673</v>
      </c>
    </row>
    <row r="6" spans="1:15" ht="15.6" thickBot="1" x14ac:dyDescent="0.35">
      <c r="A6" s="316"/>
      <c r="B6" s="316"/>
      <c r="C6" s="318"/>
      <c r="D6" s="318"/>
      <c r="E6" s="318"/>
      <c r="F6" s="320"/>
      <c r="G6" s="243" t="s">
        <v>674</v>
      </c>
      <c r="H6" s="244" t="s">
        <v>675</v>
      </c>
      <c r="I6" s="245" t="s">
        <v>676</v>
      </c>
      <c r="J6" s="324"/>
    </row>
    <row r="7" spans="1:15" ht="44.25" customHeight="1" x14ac:dyDescent="0.3">
      <c r="A7" s="246" t="s">
        <v>731</v>
      </c>
      <c r="B7" s="247">
        <v>1</v>
      </c>
      <c r="C7" s="248" t="s">
        <v>732</v>
      </c>
      <c r="D7" s="247" t="s">
        <v>733</v>
      </c>
      <c r="E7" s="247" t="s">
        <v>734</v>
      </c>
      <c r="F7" s="247">
        <v>96</v>
      </c>
      <c r="G7" s="247" t="s">
        <v>735</v>
      </c>
      <c r="H7" s="247" t="s">
        <v>735</v>
      </c>
      <c r="I7" s="247" t="s">
        <v>735</v>
      </c>
      <c r="J7" s="249" t="s">
        <v>680</v>
      </c>
      <c r="K7" s="225"/>
      <c r="L7" s="225"/>
      <c r="M7" s="225"/>
      <c r="N7" s="225"/>
      <c r="O7" s="225"/>
    </row>
    <row r="11" spans="1:15" ht="15.6" x14ac:dyDescent="0.3">
      <c r="A11" s="313" t="s">
        <v>728</v>
      </c>
      <c r="B11" s="313"/>
      <c r="C11" s="313"/>
      <c r="D11" s="313"/>
      <c r="E11" s="313"/>
      <c r="F11" s="313"/>
      <c r="G11" s="313"/>
      <c r="H11" s="313"/>
      <c r="I11" s="313"/>
      <c r="J11" s="313"/>
    </row>
    <row r="12" spans="1:15" ht="15.6" thickBot="1" x14ac:dyDescent="0.35">
      <c r="A12" s="325"/>
      <c r="B12" s="325"/>
      <c r="C12" s="325"/>
      <c r="D12" s="325"/>
      <c r="E12" s="325"/>
      <c r="F12" s="325"/>
      <c r="G12" s="325"/>
      <c r="H12" s="325"/>
      <c r="I12" s="325"/>
      <c r="J12" s="325"/>
    </row>
    <row r="13" spans="1:15" x14ac:dyDescent="0.3">
      <c r="A13" s="317" t="s">
        <v>666</v>
      </c>
      <c r="B13" s="317" t="s">
        <v>667</v>
      </c>
      <c r="C13" s="317" t="s">
        <v>668</v>
      </c>
      <c r="D13" s="317" t="s">
        <v>669</v>
      </c>
      <c r="E13" s="317" t="s">
        <v>729</v>
      </c>
      <c r="F13" s="326" t="s">
        <v>730</v>
      </c>
      <c r="G13" s="321" t="s">
        <v>672</v>
      </c>
      <c r="H13" s="321"/>
      <c r="I13" s="321"/>
      <c r="J13" s="317" t="s">
        <v>673</v>
      </c>
    </row>
    <row r="14" spans="1:15" ht="15.6" thickBot="1" x14ac:dyDescent="0.35">
      <c r="A14" s="318"/>
      <c r="B14" s="318"/>
      <c r="C14" s="318"/>
      <c r="D14" s="318"/>
      <c r="E14" s="318"/>
      <c r="F14" s="327"/>
      <c r="G14" s="250" t="s">
        <v>674</v>
      </c>
      <c r="H14" s="244" t="s">
        <v>675</v>
      </c>
      <c r="I14" s="244" t="s">
        <v>676</v>
      </c>
      <c r="J14" s="318"/>
    </row>
    <row r="15" spans="1:15" ht="45" x14ac:dyDescent="0.3">
      <c r="A15" s="251" t="s">
        <v>610</v>
      </c>
      <c r="B15" s="252">
        <v>1</v>
      </c>
      <c r="C15" s="253" t="s">
        <v>736</v>
      </c>
      <c r="D15" s="252" t="s">
        <v>737</v>
      </c>
      <c r="E15" s="247" t="s">
        <v>734</v>
      </c>
      <c r="F15" s="252">
        <v>15</v>
      </c>
      <c r="G15" s="252" t="s">
        <v>735</v>
      </c>
      <c r="H15" s="252" t="s">
        <v>735</v>
      </c>
      <c r="I15" s="252" t="s">
        <v>735</v>
      </c>
      <c r="J15" s="253" t="s">
        <v>680</v>
      </c>
    </row>
    <row r="20" spans="1:10" ht="15.6" x14ac:dyDescent="0.3">
      <c r="A20" s="313" t="s">
        <v>728</v>
      </c>
      <c r="B20" s="313"/>
      <c r="C20" s="313"/>
      <c r="D20" s="313"/>
      <c r="E20" s="313"/>
      <c r="F20" s="313"/>
      <c r="G20" s="313"/>
      <c r="H20" s="313"/>
      <c r="I20" s="313"/>
      <c r="J20" s="313"/>
    </row>
    <row r="21" spans="1:10" ht="15.6" thickBot="1" x14ac:dyDescent="0.35">
      <c r="A21" s="325" t="s">
        <v>738</v>
      </c>
      <c r="B21" s="325"/>
      <c r="C21" s="325"/>
      <c r="D21" s="325"/>
      <c r="E21" s="325"/>
      <c r="F21" s="325"/>
      <c r="G21" s="325"/>
      <c r="H21" s="325"/>
      <c r="I21" s="325"/>
      <c r="J21" s="325"/>
    </row>
    <row r="22" spans="1:10" ht="14.4" customHeight="1" thickBot="1" x14ac:dyDescent="0.35">
      <c r="A22" s="315" t="s">
        <v>666</v>
      </c>
      <c r="B22" s="317" t="s">
        <v>667</v>
      </c>
      <c r="C22" s="317" t="s">
        <v>668</v>
      </c>
      <c r="D22" s="317" t="s">
        <v>669</v>
      </c>
      <c r="E22" s="317" t="s">
        <v>739</v>
      </c>
      <c r="F22" s="326" t="s">
        <v>671</v>
      </c>
      <c r="G22" s="328" t="s">
        <v>672</v>
      </c>
      <c r="H22" s="329"/>
      <c r="I22" s="329"/>
      <c r="J22" s="317" t="s">
        <v>673</v>
      </c>
    </row>
    <row r="23" spans="1:10" ht="15.6" thickBot="1" x14ac:dyDescent="0.35">
      <c r="A23" s="316"/>
      <c r="B23" s="318"/>
      <c r="C23" s="318"/>
      <c r="D23" s="318"/>
      <c r="E23" s="318"/>
      <c r="F23" s="327"/>
      <c r="G23" s="243" t="s">
        <v>674</v>
      </c>
      <c r="H23" s="254" t="s">
        <v>675</v>
      </c>
      <c r="I23" s="254" t="s">
        <v>676</v>
      </c>
      <c r="J23" s="318"/>
    </row>
    <row r="24" spans="1:10" ht="75" x14ac:dyDescent="0.3">
      <c r="A24" s="252" t="s">
        <v>740</v>
      </c>
      <c r="B24" s="252">
        <v>2</v>
      </c>
      <c r="C24" s="253" t="s">
        <v>741</v>
      </c>
      <c r="D24" s="253" t="s">
        <v>742</v>
      </c>
      <c r="E24" s="252">
        <v>3</v>
      </c>
      <c r="F24" s="252" t="s">
        <v>743</v>
      </c>
      <c r="G24" s="252">
        <v>230</v>
      </c>
      <c r="H24" s="252">
        <v>60</v>
      </c>
      <c r="I24" s="252">
        <v>1</v>
      </c>
      <c r="J24" s="253" t="s">
        <v>680</v>
      </c>
    </row>
    <row r="25" spans="1:10" ht="75" x14ac:dyDescent="0.3">
      <c r="A25" s="222" t="s">
        <v>744</v>
      </c>
      <c r="B25" s="222">
        <v>2</v>
      </c>
      <c r="C25" s="255" t="s">
        <v>741</v>
      </c>
      <c r="D25" s="255" t="s">
        <v>742</v>
      </c>
      <c r="E25" s="222">
        <v>3</v>
      </c>
      <c r="F25" s="222" t="s">
        <v>745</v>
      </c>
      <c r="G25" s="222">
        <v>230</v>
      </c>
      <c r="H25" s="222">
        <v>60</v>
      </c>
      <c r="I25" s="222">
        <v>1</v>
      </c>
      <c r="J25" s="255" t="s">
        <v>680</v>
      </c>
    </row>
    <row r="26" spans="1:10" ht="75" x14ac:dyDescent="0.3">
      <c r="A26" s="222" t="s">
        <v>746</v>
      </c>
      <c r="B26" s="222">
        <v>1</v>
      </c>
      <c r="C26" s="255" t="s">
        <v>741</v>
      </c>
      <c r="D26" s="255" t="s">
        <v>742</v>
      </c>
      <c r="E26" s="222">
        <v>1.5</v>
      </c>
      <c r="F26" s="222" t="s">
        <v>171</v>
      </c>
      <c r="G26" s="222">
        <v>230</v>
      </c>
      <c r="H26" s="222">
        <v>60</v>
      </c>
      <c r="I26" s="222">
        <v>1</v>
      </c>
      <c r="J26" s="255" t="s">
        <v>680</v>
      </c>
    </row>
    <row r="27" spans="1:10" ht="75" x14ac:dyDescent="0.3">
      <c r="A27" s="222" t="s">
        <v>747</v>
      </c>
      <c r="B27" s="222">
        <v>1</v>
      </c>
      <c r="C27" s="255" t="s">
        <v>741</v>
      </c>
      <c r="D27" s="255" t="s">
        <v>742</v>
      </c>
      <c r="E27" s="222">
        <v>1.5</v>
      </c>
      <c r="F27" s="222" t="s">
        <v>172</v>
      </c>
      <c r="G27" s="222">
        <v>230</v>
      </c>
      <c r="H27" s="222">
        <v>60</v>
      </c>
      <c r="I27" s="222">
        <v>1</v>
      </c>
      <c r="J27" s="255" t="s">
        <v>680</v>
      </c>
    </row>
    <row r="28" spans="1:10" ht="75" x14ac:dyDescent="0.3">
      <c r="A28" s="222" t="s">
        <v>748</v>
      </c>
      <c r="B28" s="222">
        <v>1</v>
      </c>
      <c r="C28" s="255" t="s">
        <v>741</v>
      </c>
      <c r="D28" s="255" t="s">
        <v>742</v>
      </c>
      <c r="E28" s="222">
        <v>1.5</v>
      </c>
      <c r="F28" s="222" t="s">
        <v>178</v>
      </c>
      <c r="G28" s="222">
        <v>230</v>
      </c>
      <c r="H28" s="222">
        <v>60</v>
      </c>
      <c r="I28" s="222">
        <v>1</v>
      </c>
      <c r="J28" s="255" t="s">
        <v>680</v>
      </c>
    </row>
    <row r="29" spans="1:10" ht="75" x14ac:dyDescent="0.3">
      <c r="A29" s="222" t="s">
        <v>749</v>
      </c>
      <c r="B29" s="222">
        <v>1</v>
      </c>
      <c r="C29" s="255" t="s">
        <v>741</v>
      </c>
      <c r="D29" s="255" t="s">
        <v>742</v>
      </c>
      <c r="E29" s="222">
        <v>1.5</v>
      </c>
      <c r="F29" s="222" t="s">
        <v>179</v>
      </c>
      <c r="G29" s="222">
        <v>230</v>
      </c>
      <c r="H29" s="222">
        <v>60</v>
      </c>
      <c r="I29" s="222">
        <v>1</v>
      </c>
      <c r="J29" s="255" t="s">
        <v>680</v>
      </c>
    </row>
    <row r="30" spans="1:10" ht="75" x14ac:dyDescent="0.3">
      <c r="A30" s="222" t="s">
        <v>750</v>
      </c>
      <c r="B30" s="222">
        <v>1</v>
      </c>
      <c r="C30" s="255" t="s">
        <v>741</v>
      </c>
      <c r="D30" s="255" t="s">
        <v>742</v>
      </c>
      <c r="E30" s="222">
        <v>1.5</v>
      </c>
      <c r="F30" s="222" t="s">
        <v>182</v>
      </c>
      <c r="G30" s="222">
        <v>230</v>
      </c>
      <c r="H30" s="222">
        <v>60</v>
      </c>
      <c r="I30" s="222">
        <v>1</v>
      </c>
      <c r="J30" s="255" t="s">
        <v>680</v>
      </c>
    </row>
    <row r="31" spans="1:10" ht="75" x14ac:dyDescent="0.3">
      <c r="A31" s="222" t="s">
        <v>751</v>
      </c>
      <c r="B31" s="222">
        <v>1</v>
      </c>
      <c r="C31" s="255" t="s">
        <v>741</v>
      </c>
      <c r="D31" s="255" t="s">
        <v>742</v>
      </c>
      <c r="E31" s="222">
        <v>1.5</v>
      </c>
      <c r="F31" s="222" t="s">
        <v>186</v>
      </c>
      <c r="G31" s="222">
        <v>230</v>
      </c>
      <c r="H31" s="222">
        <v>60</v>
      </c>
      <c r="I31" s="222">
        <v>1</v>
      </c>
      <c r="J31" s="255" t="s">
        <v>680</v>
      </c>
    </row>
    <row r="32" spans="1:10" ht="75" x14ac:dyDescent="0.3">
      <c r="A32" s="222" t="s">
        <v>752</v>
      </c>
      <c r="B32" s="222">
        <v>1</v>
      </c>
      <c r="C32" s="255" t="s">
        <v>741</v>
      </c>
      <c r="D32" s="255" t="s">
        <v>742</v>
      </c>
      <c r="E32" s="222">
        <v>3</v>
      </c>
      <c r="F32" s="222" t="s">
        <v>173</v>
      </c>
      <c r="G32" s="222">
        <v>230</v>
      </c>
      <c r="H32" s="222">
        <v>60</v>
      </c>
      <c r="I32" s="222">
        <v>1</v>
      </c>
      <c r="J32" s="255" t="s">
        <v>680</v>
      </c>
    </row>
    <row r="33" spans="1:10" ht="75" x14ac:dyDescent="0.3">
      <c r="A33" s="222" t="s">
        <v>753</v>
      </c>
      <c r="B33" s="222">
        <v>1</v>
      </c>
      <c r="C33" s="255" t="s">
        <v>741</v>
      </c>
      <c r="D33" s="255" t="s">
        <v>742</v>
      </c>
      <c r="E33" s="222">
        <v>2.5</v>
      </c>
      <c r="F33" s="222" t="s">
        <v>754</v>
      </c>
      <c r="G33" s="222">
        <v>230</v>
      </c>
      <c r="H33" s="222">
        <v>60</v>
      </c>
      <c r="I33" s="222">
        <v>1</v>
      </c>
      <c r="J33" s="255" t="s">
        <v>680</v>
      </c>
    </row>
    <row r="34" spans="1:10" ht="75" x14ac:dyDescent="0.3">
      <c r="A34" s="222" t="s">
        <v>755</v>
      </c>
      <c r="B34" s="222">
        <v>1</v>
      </c>
      <c r="C34" s="255" t="s">
        <v>741</v>
      </c>
      <c r="D34" s="255" t="s">
        <v>742</v>
      </c>
      <c r="E34" s="222">
        <v>1.5</v>
      </c>
      <c r="F34" s="222" t="s">
        <v>189</v>
      </c>
      <c r="G34" s="222">
        <v>230</v>
      </c>
      <c r="H34" s="222">
        <v>60</v>
      </c>
      <c r="I34" s="222">
        <v>1</v>
      </c>
      <c r="J34" s="255" t="s">
        <v>680</v>
      </c>
    </row>
    <row r="35" spans="1:10" ht="75" x14ac:dyDescent="0.3">
      <c r="A35" s="222" t="s">
        <v>756</v>
      </c>
      <c r="B35" s="222">
        <v>1</v>
      </c>
      <c r="C35" s="255" t="s">
        <v>741</v>
      </c>
      <c r="D35" s="255" t="s">
        <v>742</v>
      </c>
      <c r="E35" s="222">
        <v>1.5</v>
      </c>
      <c r="F35" s="222" t="s">
        <v>190</v>
      </c>
      <c r="G35" s="222">
        <v>230</v>
      </c>
      <c r="H35" s="222">
        <v>60</v>
      </c>
      <c r="I35" s="222">
        <v>1</v>
      </c>
      <c r="J35" s="255" t="s">
        <v>680</v>
      </c>
    </row>
    <row r="36" spans="1:10" ht="75" x14ac:dyDescent="0.3">
      <c r="A36" s="222" t="s">
        <v>757</v>
      </c>
      <c r="B36" s="222">
        <v>1</v>
      </c>
      <c r="C36" s="255" t="s">
        <v>741</v>
      </c>
      <c r="D36" s="255" t="s">
        <v>742</v>
      </c>
      <c r="E36" s="222">
        <v>2</v>
      </c>
      <c r="F36" s="222" t="s">
        <v>174</v>
      </c>
      <c r="G36" s="222">
        <v>230</v>
      </c>
      <c r="H36" s="222">
        <v>60</v>
      </c>
      <c r="I36" s="222">
        <v>1</v>
      </c>
      <c r="J36" s="255" t="s">
        <v>680</v>
      </c>
    </row>
    <row r="37" spans="1:10" ht="75" x14ac:dyDescent="0.3">
      <c r="A37" s="222" t="s">
        <v>758</v>
      </c>
      <c r="B37" s="222">
        <v>1</v>
      </c>
      <c r="C37" s="255" t="s">
        <v>741</v>
      </c>
      <c r="D37" s="255" t="s">
        <v>742</v>
      </c>
      <c r="E37" s="222">
        <v>2.5</v>
      </c>
      <c r="F37" s="222" t="s">
        <v>759</v>
      </c>
      <c r="G37" s="222">
        <v>230</v>
      </c>
      <c r="H37" s="222">
        <v>60</v>
      </c>
      <c r="I37" s="222">
        <v>1</v>
      </c>
      <c r="J37" s="255" t="s">
        <v>680</v>
      </c>
    </row>
    <row r="38" spans="1:10" ht="75" x14ac:dyDescent="0.3">
      <c r="A38" s="222" t="s">
        <v>760</v>
      </c>
      <c r="B38" s="222">
        <v>1</v>
      </c>
      <c r="C38" s="255" t="s">
        <v>741</v>
      </c>
      <c r="D38" s="255" t="s">
        <v>742</v>
      </c>
      <c r="E38" s="222">
        <v>1.5</v>
      </c>
      <c r="F38" s="222" t="s">
        <v>304</v>
      </c>
      <c r="G38" s="222">
        <v>230</v>
      </c>
      <c r="H38" s="222">
        <v>60</v>
      </c>
      <c r="I38" s="222">
        <v>1</v>
      </c>
      <c r="J38" s="255" t="s">
        <v>680</v>
      </c>
    </row>
    <row r="39" spans="1:10" ht="75" x14ac:dyDescent="0.3">
      <c r="A39" s="222" t="s">
        <v>761</v>
      </c>
      <c r="B39" s="222">
        <v>1</v>
      </c>
      <c r="C39" s="255" t="s">
        <v>741</v>
      </c>
      <c r="D39" s="255" t="s">
        <v>742</v>
      </c>
      <c r="E39" s="222">
        <v>1.5</v>
      </c>
      <c r="F39" s="222" t="s">
        <v>305</v>
      </c>
      <c r="G39" s="222">
        <v>230</v>
      </c>
      <c r="H39" s="222">
        <v>60</v>
      </c>
      <c r="I39" s="222">
        <v>1</v>
      </c>
      <c r="J39" s="255" t="s">
        <v>680</v>
      </c>
    </row>
    <row r="40" spans="1:10" ht="75" x14ac:dyDescent="0.3">
      <c r="A40" s="222" t="s">
        <v>762</v>
      </c>
      <c r="B40" s="222">
        <v>2</v>
      </c>
      <c r="C40" s="255" t="s">
        <v>741</v>
      </c>
      <c r="D40" s="255" t="s">
        <v>742</v>
      </c>
      <c r="E40" s="222">
        <v>3</v>
      </c>
      <c r="F40" s="222" t="s">
        <v>763</v>
      </c>
      <c r="G40" s="222">
        <v>230</v>
      </c>
      <c r="H40" s="222">
        <v>60</v>
      </c>
      <c r="I40" s="222">
        <v>1</v>
      </c>
      <c r="J40" s="255" t="s">
        <v>680</v>
      </c>
    </row>
    <row r="41" spans="1:10" ht="75" x14ac:dyDescent="0.3">
      <c r="A41" s="222" t="s">
        <v>764</v>
      </c>
      <c r="B41" s="222">
        <v>2</v>
      </c>
      <c r="C41" s="255" t="s">
        <v>741</v>
      </c>
      <c r="D41" s="255" t="s">
        <v>742</v>
      </c>
      <c r="E41" s="222">
        <v>3</v>
      </c>
      <c r="F41" s="222" t="s">
        <v>765</v>
      </c>
      <c r="G41" s="222">
        <v>230</v>
      </c>
      <c r="H41" s="222">
        <v>60</v>
      </c>
      <c r="I41" s="222">
        <v>1</v>
      </c>
      <c r="J41" s="255" t="s">
        <v>680</v>
      </c>
    </row>
    <row r="42" spans="1:10" ht="75" x14ac:dyDescent="0.3">
      <c r="A42" s="222" t="s">
        <v>766</v>
      </c>
      <c r="B42" s="222">
        <v>1</v>
      </c>
      <c r="C42" s="255" t="s">
        <v>741</v>
      </c>
      <c r="D42" s="255" t="s">
        <v>742</v>
      </c>
      <c r="E42" s="222">
        <v>1.5</v>
      </c>
      <c r="F42" s="222" t="s">
        <v>305</v>
      </c>
      <c r="G42" s="222">
        <v>230</v>
      </c>
      <c r="H42" s="222">
        <v>60</v>
      </c>
      <c r="I42" s="222">
        <v>1</v>
      </c>
      <c r="J42" s="255" t="s">
        <v>680</v>
      </c>
    </row>
    <row r="43" spans="1:10" ht="75" x14ac:dyDescent="0.3">
      <c r="A43" s="222" t="s">
        <v>767</v>
      </c>
      <c r="B43" s="222">
        <v>1</v>
      </c>
      <c r="C43" s="255" t="s">
        <v>741</v>
      </c>
      <c r="D43" s="255" t="s">
        <v>742</v>
      </c>
      <c r="E43" s="222">
        <v>1.5</v>
      </c>
      <c r="F43" s="222" t="s">
        <v>306</v>
      </c>
      <c r="G43" s="222">
        <v>230</v>
      </c>
      <c r="H43" s="222">
        <v>60</v>
      </c>
      <c r="I43" s="222">
        <v>1</v>
      </c>
      <c r="J43" s="255" t="s">
        <v>680</v>
      </c>
    </row>
    <row r="44" spans="1:10" ht="75" x14ac:dyDescent="0.3">
      <c r="A44" s="222" t="s">
        <v>768</v>
      </c>
      <c r="B44" s="222">
        <v>1</v>
      </c>
      <c r="C44" s="255" t="s">
        <v>741</v>
      </c>
      <c r="D44" s="255" t="s">
        <v>742</v>
      </c>
      <c r="E44" s="222">
        <v>1.5</v>
      </c>
      <c r="F44" s="222" t="s">
        <v>307</v>
      </c>
      <c r="G44" s="222">
        <v>230</v>
      </c>
      <c r="H44" s="222">
        <v>60</v>
      </c>
      <c r="I44" s="222">
        <v>1</v>
      </c>
      <c r="J44" s="255" t="s">
        <v>680</v>
      </c>
    </row>
    <row r="45" spans="1:10" ht="75" x14ac:dyDescent="0.3">
      <c r="A45" s="222" t="s">
        <v>769</v>
      </c>
      <c r="B45" s="222">
        <v>1</v>
      </c>
      <c r="C45" s="255" t="s">
        <v>741</v>
      </c>
      <c r="D45" s="255" t="s">
        <v>742</v>
      </c>
      <c r="E45" s="222">
        <v>1</v>
      </c>
      <c r="F45" s="222" t="s">
        <v>309</v>
      </c>
      <c r="G45" s="222">
        <v>230</v>
      </c>
      <c r="H45" s="222">
        <v>60</v>
      </c>
      <c r="I45" s="222">
        <v>1</v>
      </c>
      <c r="J45" s="255" t="s">
        <v>680</v>
      </c>
    </row>
    <row r="46" spans="1:10" ht="75" x14ac:dyDescent="0.3">
      <c r="A46" s="222" t="s">
        <v>770</v>
      </c>
      <c r="B46" s="222">
        <v>1</v>
      </c>
      <c r="C46" s="255" t="s">
        <v>741</v>
      </c>
      <c r="D46" s="255" t="s">
        <v>742</v>
      </c>
      <c r="E46" s="222">
        <v>1</v>
      </c>
      <c r="F46" s="222" t="s">
        <v>310</v>
      </c>
      <c r="G46" s="222">
        <v>230</v>
      </c>
      <c r="H46" s="222">
        <v>60</v>
      </c>
      <c r="I46" s="222">
        <v>1</v>
      </c>
      <c r="J46" s="255" t="s">
        <v>680</v>
      </c>
    </row>
    <row r="47" spans="1:10" ht="75" x14ac:dyDescent="0.3">
      <c r="A47" s="222" t="s">
        <v>771</v>
      </c>
      <c r="B47" s="222">
        <v>1</v>
      </c>
      <c r="C47" s="255" t="s">
        <v>741</v>
      </c>
      <c r="D47" s="255" t="s">
        <v>742</v>
      </c>
      <c r="E47" s="222">
        <v>1</v>
      </c>
      <c r="F47" s="222" t="s">
        <v>418</v>
      </c>
      <c r="G47" s="222">
        <v>230</v>
      </c>
      <c r="H47" s="222">
        <v>60</v>
      </c>
      <c r="I47" s="222">
        <v>1</v>
      </c>
      <c r="J47" s="255" t="s">
        <v>680</v>
      </c>
    </row>
    <row r="48" spans="1:10" ht="75" x14ac:dyDescent="0.3">
      <c r="A48" s="222" t="s">
        <v>772</v>
      </c>
      <c r="B48" s="222">
        <v>1</v>
      </c>
      <c r="C48" s="255" t="s">
        <v>741</v>
      </c>
      <c r="D48" s="255" t="s">
        <v>742</v>
      </c>
      <c r="E48" s="222">
        <v>1</v>
      </c>
      <c r="F48" s="222" t="s">
        <v>419</v>
      </c>
      <c r="G48" s="222">
        <v>230</v>
      </c>
      <c r="H48" s="222">
        <v>60</v>
      </c>
      <c r="I48" s="222">
        <v>1</v>
      </c>
      <c r="J48" s="255" t="s">
        <v>680</v>
      </c>
    </row>
    <row r="49" spans="1:10" ht="75" x14ac:dyDescent="0.3">
      <c r="A49" s="222" t="s">
        <v>773</v>
      </c>
      <c r="B49" s="222">
        <v>3</v>
      </c>
      <c r="C49" s="255" t="s">
        <v>741</v>
      </c>
      <c r="D49" s="255" t="s">
        <v>742</v>
      </c>
      <c r="E49" s="222">
        <v>2</v>
      </c>
      <c r="F49" s="222" t="s">
        <v>308</v>
      </c>
      <c r="G49" s="222">
        <v>230</v>
      </c>
      <c r="H49" s="222">
        <v>60</v>
      </c>
      <c r="I49" s="222">
        <v>1</v>
      </c>
      <c r="J49" s="255" t="s">
        <v>680</v>
      </c>
    </row>
    <row r="50" spans="1:10" ht="75" x14ac:dyDescent="0.3">
      <c r="A50" s="222" t="s">
        <v>774</v>
      </c>
      <c r="B50" s="222">
        <v>1</v>
      </c>
      <c r="C50" s="255" t="s">
        <v>741</v>
      </c>
      <c r="D50" s="255" t="s">
        <v>742</v>
      </c>
      <c r="E50" s="222">
        <v>1</v>
      </c>
      <c r="F50" s="222" t="s">
        <v>72</v>
      </c>
      <c r="G50" s="222">
        <v>230</v>
      </c>
      <c r="H50" s="222">
        <v>60</v>
      </c>
      <c r="I50" s="222">
        <v>1</v>
      </c>
      <c r="J50" s="255" t="s">
        <v>680</v>
      </c>
    </row>
    <row r="51" spans="1:10" ht="75" x14ac:dyDescent="0.3">
      <c r="A51" s="222" t="s">
        <v>775</v>
      </c>
      <c r="B51" s="222">
        <v>1</v>
      </c>
      <c r="C51" s="255" t="s">
        <v>741</v>
      </c>
      <c r="D51" s="255" t="s">
        <v>742</v>
      </c>
      <c r="E51" s="222">
        <v>1</v>
      </c>
      <c r="F51" s="222" t="s">
        <v>75</v>
      </c>
      <c r="G51" s="222">
        <v>230</v>
      </c>
      <c r="H51" s="222">
        <v>60</v>
      </c>
      <c r="I51" s="222">
        <v>1</v>
      </c>
      <c r="J51" s="255" t="s">
        <v>680</v>
      </c>
    </row>
    <row r="52" spans="1:10" ht="75" x14ac:dyDescent="0.3">
      <c r="A52" s="222" t="s">
        <v>776</v>
      </c>
      <c r="B52" s="222">
        <v>1</v>
      </c>
      <c r="C52" s="255" t="s">
        <v>741</v>
      </c>
      <c r="D52" s="255" t="s">
        <v>742</v>
      </c>
      <c r="E52" s="222">
        <v>1</v>
      </c>
      <c r="F52" s="222" t="s">
        <v>76</v>
      </c>
      <c r="G52" s="222">
        <v>230</v>
      </c>
      <c r="H52" s="222">
        <v>60</v>
      </c>
      <c r="I52" s="222">
        <v>1</v>
      </c>
      <c r="J52" s="255" t="s">
        <v>680</v>
      </c>
    </row>
    <row r="53" spans="1:10" ht="75" x14ac:dyDescent="0.3">
      <c r="A53" s="222" t="s">
        <v>777</v>
      </c>
      <c r="B53" s="222">
        <v>2</v>
      </c>
      <c r="C53" s="255" t="s">
        <v>741</v>
      </c>
      <c r="D53" s="255" t="s">
        <v>742</v>
      </c>
      <c r="E53" s="222">
        <v>3.5</v>
      </c>
      <c r="F53" s="222" t="s">
        <v>421</v>
      </c>
      <c r="G53" s="222">
        <v>230</v>
      </c>
      <c r="H53" s="222">
        <v>60</v>
      </c>
      <c r="I53" s="222">
        <v>1</v>
      </c>
      <c r="J53" s="255" t="s">
        <v>680</v>
      </c>
    </row>
    <row r="54" spans="1:10" x14ac:dyDescent="0.3">
      <c r="J54" s="225"/>
    </row>
    <row r="55" spans="1:10" x14ac:dyDescent="0.3">
      <c r="J55" s="225"/>
    </row>
    <row r="56" spans="1:10" ht="15.6" x14ac:dyDescent="0.3">
      <c r="A56" s="313" t="s">
        <v>728</v>
      </c>
      <c r="B56" s="313"/>
      <c r="C56" s="313"/>
      <c r="D56" s="313"/>
      <c r="E56" s="313"/>
      <c r="F56" s="313"/>
      <c r="G56" s="313"/>
      <c r="H56" s="313"/>
      <c r="I56" s="313"/>
      <c r="J56" s="313"/>
    </row>
    <row r="57" spans="1:10" ht="15.6" thickBot="1" x14ac:dyDescent="0.35">
      <c r="A57" s="325" t="s">
        <v>778</v>
      </c>
      <c r="B57" s="325"/>
      <c r="C57" s="325"/>
      <c r="D57" s="325"/>
      <c r="E57" s="325"/>
      <c r="F57" s="325"/>
      <c r="G57" s="325"/>
      <c r="H57" s="325"/>
      <c r="I57" s="325"/>
      <c r="J57" s="325"/>
    </row>
    <row r="58" spans="1:10" ht="15.6" thickBot="1" x14ac:dyDescent="0.35">
      <c r="A58" s="317" t="s">
        <v>666</v>
      </c>
      <c r="B58" s="317" t="s">
        <v>667</v>
      </c>
      <c r="C58" s="317" t="s">
        <v>668</v>
      </c>
      <c r="D58" s="317" t="s">
        <v>669</v>
      </c>
      <c r="E58" s="317" t="s">
        <v>739</v>
      </c>
      <c r="F58" s="326" t="s">
        <v>671</v>
      </c>
      <c r="G58" s="328" t="s">
        <v>672</v>
      </c>
      <c r="H58" s="329"/>
      <c r="I58" s="330"/>
      <c r="J58" s="317" t="s">
        <v>673</v>
      </c>
    </row>
    <row r="59" spans="1:10" ht="15.6" thickBot="1" x14ac:dyDescent="0.35">
      <c r="A59" s="318"/>
      <c r="B59" s="318"/>
      <c r="C59" s="318"/>
      <c r="D59" s="318"/>
      <c r="E59" s="318"/>
      <c r="F59" s="327"/>
      <c r="G59" s="256" t="s">
        <v>674</v>
      </c>
      <c r="H59" s="257" t="s">
        <v>675</v>
      </c>
      <c r="I59" s="258" t="s">
        <v>676</v>
      </c>
      <c r="J59" s="318"/>
    </row>
    <row r="60" spans="1:10" ht="75" x14ac:dyDescent="0.3">
      <c r="A60" s="252" t="s">
        <v>779</v>
      </c>
      <c r="B60" s="252">
        <v>2</v>
      </c>
      <c r="C60" s="253" t="s">
        <v>741</v>
      </c>
      <c r="D60" s="253" t="s">
        <v>742</v>
      </c>
      <c r="E60" s="252">
        <v>2.5</v>
      </c>
      <c r="F60" s="252" t="s">
        <v>123</v>
      </c>
      <c r="G60" s="252">
        <v>230</v>
      </c>
      <c r="H60" s="252">
        <v>60</v>
      </c>
      <c r="I60" s="252">
        <v>1</v>
      </c>
      <c r="J60" s="253" t="s">
        <v>680</v>
      </c>
    </row>
    <row r="61" spans="1:10" ht="75" x14ac:dyDescent="0.3">
      <c r="A61" s="222" t="s">
        <v>780</v>
      </c>
      <c r="B61" s="222">
        <v>2</v>
      </c>
      <c r="C61" s="255" t="s">
        <v>741</v>
      </c>
      <c r="D61" s="255" t="s">
        <v>742</v>
      </c>
      <c r="E61" s="222">
        <v>2.5</v>
      </c>
      <c r="F61" s="222" t="s">
        <v>169</v>
      </c>
      <c r="G61" s="222">
        <v>230</v>
      </c>
      <c r="H61" s="222">
        <v>60</v>
      </c>
      <c r="I61" s="222">
        <v>1</v>
      </c>
      <c r="J61" s="255" t="s">
        <v>680</v>
      </c>
    </row>
    <row r="62" spans="1:10" ht="75" x14ac:dyDescent="0.3">
      <c r="A62" s="222" t="s">
        <v>781</v>
      </c>
      <c r="B62" s="222">
        <v>2</v>
      </c>
      <c r="C62" s="255" t="s">
        <v>741</v>
      </c>
      <c r="D62" s="255" t="s">
        <v>742</v>
      </c>
      <c r="E62" s="222">
        <v>2.5</v>
      </c>
      <c r="F62" s="222" t="s">
        <v>124</v>
      </c>
      <c r="G62" s="222">
        <v>230</v>
      </c>
      <c r="H62" s="222">
        <v>60</v>
      </c>
      <c r="I62" s="222">
        <v>1</v>
      </c>
      <c r="J62" s="255" t="s">
        <v>680</v>
      </c>
    </row>
    <row r="63" spans="1:10" ht="75" x14ac:dyDescent="0.3">
      <c r="A63" s="222" t="s">
        <v>782</v>
      </c>
      <c r="B63" s="222">
        <v>2</v>
      </c>
      <c r="C63" s="255" t="s">
        <v>741</v>
      </c>
      <c r="D63" s="255" t="s">
        <v>742</v>
      </c>
      <c r="E63" s="222">
        <v>2.5</v>
      </c>
      <c r="F63" s="222" t="s">
        <v>125</v>
      </c>
      <c r="G63" s="222">
        <v>230</v>
      </c>
      <c r="H63" s="222">
        <v>60</v>
      </c>
      <c r="I63" s="222">
        <v>1</v>
      </c>
      <c r="J63" s="255" t="s">
        <v>680</v>
      </c>
    </row>
    <row r="64" spans="1:10" ht="75" x14ac:dyDescent="0.3">
      <c r="A64" s="222" t="s">
        <v>783</v>
      </c>
      <c r="B64" s="212">
        <v>1</v>
      </c>
      <c r="C64" s="255" t="s">
        <v>741</v>
      </c>
      <c r="D64" s="255" t="s">
        <v>742</v>
      </c>
      <c r="E64" s="222">
        <v>1</v>
      </c>
      <c r="F64" s="222" t="s">
        <v>171</v>
      </c>
      <c r="G64" s="222">
        <v>230</v>
      </c>
      <c r="H64" s="222">
        <v>60</v>
      </c>
      <c r="I64" s="222">
        <v>1</v>
      </c>
      <c r="J64" s="255" t="s">
        <v>680</v>
      </c>
    </row>
    <row r="65" spans="1:10" ht="75" x14ac:dyDescent="0.3">
      <c r="A65" s="222" t="s">
        <v>784</v>
      </c>
      <c r="B65" s="212">
        <v>1</v>
      </c>
      <c r="C65" s="255" t="s">
        <v>741</v>
      </c>
      <c r="D65" s="255" t="s">
        <v>742</v>
      </c>
      <c r="E65" s="222">
        <v>1</v>
      </c>
      <c r="F65" s="222" t="s">
        <v>172</v>
      </c>
      <c r="G65" s="222">
        <v>230</v>
      </c>
      <c r="H65" s="222">
        <v>60</v>
      </c>
      <c r="I65" s="222">
        <v>1</v>
      </c>
      <c r="J65" s="255" t="s">
        <v>680</v>
      </c>
    </row>
    <row r="66" spans="1:10" ht="75" x14ac:dyDescent="0.3">
      <c r="A66" s="222" t="s">
        <v>785</v>
      </c>
      <c r="B66" s="212">
        <v>1</v>
      </c>
      <c r="C66" s="255" t="s">
        <v>741</v>
      </c>
      <c r="D66" s="255" t="s">
        <v>742</v>
      </c>
      <c r="E66" s="222">
        <v>2.5</v>
      </c>
      <c r="F66" s="222" t="s">
        <v>173</v>
      </c>
      <c r="G66" s="222">
        <v>230</v>
      </c>
      <c r="H66" s="222">
        <v>60</v>
      </c>
      <c r="I66" s="222">
        <v>1</v>
      </c>
      <c r="J66" s="255" t="s">
        <v>680</v>
      </c>
    </row>
    <row r="67" spans="1:10" ht="75" x14ac:dyDescent="0.3">
      <c r="A67" s="222" t="s">
        <v>786</v>
      </c>
      <c r="B67" s="212">
        <v>1</v>
      </c>
      <c r="C67" s="255" t="s">
        <v>741</v>
      </c>
      <c r="D67" s="255" t="s">
        <v>742</v>
      </c>
      <c r="E67" s="222">
        <v>1.5</v>
      </c>
      <c r="F67" s="222" t="s">
        <v>174</v>
      </c>
      <c r="G67" s="222">
        <v>230</v>
      </c>
      <c r="H67" s="222">
        <v>60</v>
      </c>
      <c r="I67" s="222">
        <v>1</v>
      </c>
      <c r="J67" s="255" t="s">
        <v>680</v>
      </c>
    </row>
    <row r="68" spans="1:10" ht="75" x14ac:dyDescent="0.3">
      <c r="A68" s="222" t="s">
        <v>787</v>
      </c>
      <c r="B68" s="212">
        <v>1</v>
      </c>
      <c r="C68" s="255" t="s">
        <v>741</v>
      </c>
      <c r="D68" s="255" t="s">
        <v>742</v>
      </c>
      <c r="E68" s="222">
        <v>1</v>
      </c>
      <c r="F68" s="222" t="s">
        <v>178</v>
      </c>
      <c r="G68" s="222">
        <v>230</v>
      </c>
      <c r="H68" s="222">
        <v>60</v>
      </c>
      <c r="I68" s="222">
        <v>1</v>
      </c>
      <c r="J68" s="255" t="s">
        <v>680</v>
      </c>
    </row>
    <row r="69" spans="1:10" ht="75" x14ac:dyDescent="0.3">
      <c r="A69" s="222" t="s">
        <v>788</v>
      </c>
      <c r="B69" s="212">
        <v>1</v>
      </c>
      <c r="C69" s="255" t="s">
        <v>741</v>
      </c>
      <c r="D69" s="255" t="s">
        <v>742</v>
      </c>
      <c r="E69" s="222">
        <v>1</v>
      </c>
      <c r="F69" s="222" t="s">
        <v>179</v>
      </c>
      <c r="G69" s="222">
        <v>230</v>
      </c>
      <c r="H69" s="222">
        <v>60</v>
      </c>
      <c r="I69" s="222">
        <v>1</v>
      </c>
      <c r="J69" s="255" t="s">
        <v>680</v>
      </c>
    </row>
    <row r="70" spans="1:10" ht="75" x14ac:dyDescent="0.3">
      <c r="A70" s="222" t="s">
        <v>789</v>
      </c>
      <c r="B70" s="212">
        <v>1</v>
      </c>
      <c r="C70" s="255" t="s">
        <v>741</v>
      </c>
      <c r="D70" s="255" t="s">
        <v>742</v>
      </c>
      <c r="E70" s="222">
        <v>1</v>
      </c>
      <c r="F70" s="222" t="s">
        <v>182</v>
      </c>
      <c r="G70" s="222">
        <v>230</v>
      </c>
      <c r="H70" s="222">
        <v>60</v>
      </c>
      <c r="I70" s="222">
        <v>1</v>
      </c>
      <c r="J70" s="255" t="s">
        <v>680</v>
      </c>
    </row>
    <row r="71" spans="1:10" ht="75" x14ac:dyDescent="0.3">
      <c r="A71" s="222" t="s">
        <v>790</v>
      </c>
      <c r="B71" s="212">
        <v>1</v>
      </c>
      <c r="C71" s="255" t="s">
        <v>741</v>
      </c>
      <c r="D71" s="255" t="s">
        <v>742</v>
      </c>
      <c r="E71" s="222">
        <v>1</v>
      </c>
      <c r="F71" s="222" t="s">
        <v>186</v>
      </c>
      <c r="G71" s="222">
        <v>230</v>
      </c>
      <c r="H71" s="222">
        <v>60</v>
      </c>
      <c r="I71" s="222">
        <v>1</v>
      </c>
      <c r="J71" s="255" t="s">
        <v>680</v>
      </c>
    </row>
    <row r="72" spans="1:10" ht="75" x14ac:dyDescent="0.3">
      <c r="A72" s="222" t="s">
        <v>791</v>
      </c>
      <c r="B72" s="212">
        <v>1</v>
      </c>
      <c r="C72" s="255" t="s">
        <v>741</v>
      </c>
      <c r="D72" s="255" t="s">
        <v>742</v>
      </c>
      <c r="E72" s="222">
        <v>1</v>
      </c>
      <c r="F72" s="222" t="s">
        <v>189</v>
      </c>
      <c r="G72" s="222">
        <v>230</v>
      </c>
      <c r="H72" s="222">
        <v>60</v>
      </c>
      <c r="I72" s="222">
        <v>1</v>
      </c>
      <c r="J72" s="255" t="s">
        <v>680</v>
      </c>
    </row>
    <row r="73" spans="1:10" ht="75" x14ac:dyDescent="0.3">
      <c r="A73" s="222" t="s">
        <v>792</v>
      </c>
      <c r="B73" s="212">
        <v>1</v>
      </c>
      <c r="C73" s="255" t="s">
        <v>741</v>
      </c>
      <c r="D73" s="255" t="s">
        <v>742</v>
      </c>
      <c r="E73" s="222">
        <v>1</v>
      </c>
      <c r="F73" s="222" t="s">
        <v>190</v>
      </c>
      <c r="G73" s="222">
        <v>230</v>
      </c>
      <c r="H73" s="222">
        <v>60</v>
      </c>
      <c r="I73" s="222">
        <v>1</v>
      </c>
      <c r="J73" s="255" t="s">
        <v>680</v>
      </c>
    </row>
    <row r="74" spans="1:10" ht="75" x14ac:dyDescent="0.3">
      <c r="A74" s="222" t="s">
        <v>793</v>
      </c>
      <c r="B74" s="212">
        <v>1</v>
      </c>
      <c r="C74" s="255" t="s">
        <v>741</v>
      </c>
      <c r="D74" s="255" t="s">
        <v>742</v>
      </c>
      <c r="E74" s="222">
        <v>1</v>
      </c>
      <c r="F74" s="222" t="s">
        <v>181</v>
      </c>
      <c r="G74" s="222">
        <v>230</v>
      </c>
      <c r="H74" s="222">
        <v>60</v>
      </c>
      <c r="I74" s="222">
        <v>1</v>
      </c>
      <c r="J74" s="255" t="s">
        <v>680</v>
      </c>
    </row>
    <row r="75" spans="1:10" ht="75" x14ac:dyDescent="0.3">
      <c r="A75" s="222" t="s">
        <v>794</v>
      </c>
      <c r="B75" s="212">
        <v>2</v>
      </c>
      <c r="C75" s="255" t="s">
        <v>741</v>
      </c>
      <c r="D75" s="255" t="s">
        <v>742</v>
      </c>
      <c r="E75" s="222">
        <v>2</v>
      </c>
      <c r="F75" s="222" t="s">
        <v>142</v>
      </c>
      <c r="G75" s="222">
        <v>230</v>
      </c>
      <c r="H75" s="222">
        <v>60</v>
      </c>
      <c r="I75" s="222">
        <v>1</v>
      </c>
      <c r="J75" s="255" t="s">
        <v>680</v>
      </c>
    </row>
    <row r="76" spans="1:10" ht="75" x14ac:dyDescent="0.3">
      <c r="A76" s="222" t="s">
        <v>795</v>
      </c>
      <c r="B76" s="212">
        <v>2</v>
      </c>
      <c r="C76" s="255" t="s">
        <v>741</v>
      </c>
      <c r="D76" s="255" t="s">
        <v>742</v>
      </c>
      <c r="E76" s="222">
        <v>2</v>
      </c>
      <c r="F76" s="222" t="s">
        <v>141</v>
      </c>
      <c r="G76" s="222">
        <v>230</v>
      </c>
      <c r="H76" s="222">
        <v>60</v>
      </c>
      <c r="I76" s="222">
        <v>1</v>
      </c>
      <c r="J76" s="255" t="s">
        <v>680</v>
      </c>
    </row>
    <row r="77" spans="1:10" ht="75" x14ac:dyDescent="0.3">
      <c r="A77" s="222" t="s">
        <v>796</v>
      </c>
      <c r="B77" s="212">
        <v>2</v>
      </c>
      <c r="C77" s="255" t="s">
        <v>741</v>
      </c>
      <c r="D77" s="255" t="s">
        <v>742</v>
      </c>
      <c r="E77" s="222">
        <v>2</v>
      </c>
      <c r="F77" s="222" t="s">
        <v>140</v>
      </c>
      <c r="G77" s="222">
        <v>230</v>
      </c>
      <c r="H77" s="222">
        <v>60</v>
      </c>
      <c r="I77" s="222">
        <v>1</v>
      </c>
      <c r="J77" s="255" t="s">
        <v>680</v>
      </c>
    </row>
    <row r="78" spans="1:10" ht="75" x14ac:dyDescent="0.3">
      <c r="A78" s="222" t="s">
        <v>797</v>
      </c>
      <c r="B78" s="212">
        <v>1</v>
      </c>
      <c r="C78" s="255" t="s">
        <v>741</v>
      </c>
      <c r="D78" s="255" t="s">
        <v>742</v>
      </c>
      <c r="E78" s="222">
        <v>1</v>
      </c>
      <c r="F78" s="222" t="s">
        <v>183</v>
      </c>
      <c r="G78" s="222">
        <v>230</v>
      </c>
      <c r="H78" s="222">
        <v>60</v>
      </c>
      <c r="I78" s="222">
        <v>1</v>
      </c>
      <c r="J78" s="255" t="s">
        <v>680</v>
      </c>
    </row>
    <row r="79" spans="1:10" ht="75" x14ac:dyDescent="0.3">
      <c r="A79" s="222" t="s">
        <v>798</v>
      </c>
      <c r="B79" s="212">
        <v>1</v>
      </c>
      <c r="C79" s="255" t="s">
        <v>741</v>
      </c>
      <c r="D79" s="255" t="s">
        <v>742</v>
      </c>
      <c r="E79" s="222">
        <v>2</v>
      </c>
      <c r="F79" s="222" t="s">
        <v>185</v>
      </c>
      <c r="G79" s="222">
        <v>230</v>
      </c>
      <c r="H79" s="222">
        <v>60</v>
      </c>
      <c r="I79" s="222">
        <v>1</v>
      </c>
      <c r="J79" s="255" t="s">
        <v>680</v>
      </c>
    </row>
    <row r="80" spans="1:10" ht="75" x14ac:dyDescent="0.3">
      <c r="A80" s="222" t="s">
        <v>799</v>
      </c>
      <c r="B80" s="212">
        <v>1</v>
      </c>
      <c r="C80" s="255" t="s">
        <v>741</v>
      </c>
      <c r="D80" s="255" t="s">
        <v>742</v>
      </c>
      <c r="E80" s="222">
        <v>2</v>
      </c>
      <c r="F80" s="222" t="s">
        <v>187</v>
      </c>
      <c r="G80" s="222">
        <v>230</v>
      </c>
      <c r="H80" s="222">
        <v>60</v>
      </c>
      <c r="I80" s="222">
        <v>1</v>
      </c>
      <c r="J80" s="255" t="s">
        <v>680</v>
      </c>
    </row>
    <row r="81" spans="1:10" ht="75" x14ac:dyDescent="0.3">
      <c r="A81" s="222" t="s">
        <v>800</v>
      </c>
      <c r="B81" s="212">
        <v>1</v>
      </c>
      <c r="C81" s="255" t="s">
        <v>741</v>
      </c>
      <c r="D81" s="255" t="s">
        <v>742</v>
      </c>
      <c r="E81" s="222">
        <v>1</v>
      </c>
      <c r="F81" s="222" t="s">
        <v>188</v>
      </c>
      <c r="G81" s="222">
        <v>230</v>
      </c>
      <c r="H81" s="222">
        <v>60</v>
      </c>
      <c r="I81" s="222">
        <v>1</v>
      </c>
      <c r="J81" s="255" t="s">
        <v>680</v>
      </c>
    </row>
    <row r="82" spans="1:10" ht="75" x14ac:dyDescent="0.3">
      <c r="A82" s="222" t="s">
        <v>801</v>
      </c>
      <c r="B82" s="212">
        <v>1</v>
      </c>
      <c r="C82" s="255" t="s">
        <v>741</v>
      </c>
      <c r="D82" s="255" t="s">
        <v>742</v>
      </c>
      <c r="E82" s="222">
        <v>1</v>
      </c>
      <c r="F82" s="222" t="s">
        <v>127</v>
      </c>
      <c r="G82" s="222">
        <v>230</v>
      </c>
      <c r="H82" s="222">
        <v>60</v>
      </c>
      <c r="I82" s="222">
        <v>1</v>
      </c>
      <c r="J82" s="255" t="s">
        <v>680</v>
      </c>
    </row>
    <row r="83" spans="1:10" ht="75" x14ac:dyDescent="0.3">
      <c r="A83" s="222" t="s">
        <v>802</v>
      </c>
      <c r="B83" s="212">
        <v>1</v>
      </c>
      <c r="C83" s="255" t="s">
        <v>741</v>
      </c>
      <c r="D83" s="255" t="s">
        <v>742</v>
      </c>
      <c r="E83" s="222">
        <v>1</v>
      </c>
      <c r="F83" s="222" t="s">
        <v>407</v>
      </c>
      <c r="G83" s="222">
        <v>230</v>
      </c>
      <c r="H83" s="222">
        <v>60</v>
      </c>
      <c r="I83" s="222">
        <v>1</v>
      </c>
      <c r="J83" s="255" t="s">
        <v>680</v>
      </c>
    </row>
    <row r="84" spans="1:10" ht="75" x14ac:dyDescent="0.3">
      <c r="A84" s="222" t="s">
        <v>803</v>
      </c>
      <c r="B84" s="212">
        <v>2</v>
      </c>
      <c r="C84" s="255" t="s">
        <v>741</v>
      </c>
      <c r="D84" s="255" t="s">
        <v>742</v>
      </c>
      <c r="E84" s="222">
        <v>2</v>
      </c>
      <c r="F84" s="222" t="s">
        <v>804</v>
      </c>
      <c r="G84" s="222">
        <v>230</v>
      </c>
      <c r="H84" s="222">
        <v>60</v>
      </c>
      <c r="I84" s="222">
        <v>1</v>
      </c>
      <c r="J84" s="255" t="s">
        <v>680</v>
      </c>
    </row>
    <row r="85" spans="1:10" ht="75" x14ac:dyDescent="0.3">
      <c r="A85" s="222" t="s">
        <v>805</v>
      </c>
      <c r="B85" s="212">
        <v>2</v>
      </c>
      <c r="C85" s="255" t="s">
        <v>741</v>
      </c>
      <c r="D85" s="255" t="s">
        <v>742</v>
      </c>
      <c r="E85" s="222">
        <v>2</v>
      </c>
      <c r="F85" s="222" t="s">
        <v>131</v>
      </c>
      <c r="G85" s="222">
        <v>230</v>
      </c>
      <c r="H85" s="222">
        <v>60</v>
      </c>
      <c r="I85" s="222">
        <v>1</v>
      </c>
      <c r="J85" s="255" t="s">
        <v>680</v>
      </c>
    </row>
    <row r="86" spans="1:10" ht="75" x14ac:dyDescent="0.3">
      <c r="A86" s="222" t="s">
        <v>806</v>
      </c>
      <c r="B86" s="212">
        <v>1</v>
      </c>
      <c r="C86" s="255" t="s">
        <v>741</v>
      </c>
      <c r="D86" s="255" t="s">
        <v>742</v>
      </c>
      <c r="E86" s="222">
        <v>1</v>
      </c>
      <c r="F86" s="222" t="s">
        <v>403</v>
      </c>
      <c r="G86" s="222">
        <v>230</v>
      </c>
      <c r="H86" s="222">
        <v>60</v>
      </c>
      <c r="I86" s="222">
        <v>1</v>
      </c>
      <c r="J86" s="255" t="s">
        <v>680</v>
      </c>
    </row>
    <row r="87" spans="1:10" ht="75" x14ac:dyDescent="0.3">
      <c r="A87" s="222" t="s">
        <v>807</v>
      </c>
      <c r="B87" s="212">
        <v>1</v>
      </c>
      <c r="C87" s="255" t="s">
        <v>741</v>
      </c>
      <c r="D87" s="255" t="s">
        <v>742</v>
      </c>
      <c r="E87" s="222">
        <v>1</v>
      </c>
      <c r="F87" s="222" t="s">
        <v>193</v>
      </c>
      <c r="G87" s="222">
        <v>230</v>
      </c>
      <c r="H87" s="222">
        <v>60</v>
      </c>
      <c r="I87" s="222">
        <v>1</v>
      </c>
      <c r="J87" s="255" t="s">
        <v>680</v>
      </c>
    </row>
    <row r="88" spans="1:10" ht="75" x14ac:dyDescent="0.3">
      <c r="A88" s="222" t="s">
        <v>808</v>
      </c>
      <c r="B88" s="212">
        <v>1</v>
      </c>
      <c r="C88" s="255" t="s">
        <v>741</v>
      </c>
      <c r="D88" s="255" t="s">
        <v>742</v>
      </c>
      <c r="E88" s="222">
        <v>1</v>
      </c>
      <c r="F88" s="222" t="s">
        <v>410</v>
      </c>
      <c r="G88" s="222">
        <v>230</v>
      </c>
      <c r="H88" s="222">
        <v>60</v>
      </c>
      <c r="I88" s="222">
        <v>1</v>
      </c>
      <c r="J88" s="255" t="s">
        <v>680</v>
      </c>
    </row>
    <row r="89" spans="1:10" ht="75" x14ac:dyDescent="0.3">
      <c r="A89" s="222" t="s">
        <v>809</v>
      </c>
      <c r="B89" s="222">
        <v>1</v>
      </c>
      <c r="C89" s="255" t="s">
        <v>741</v>
      </c>
      <c r="D89" s="255" t="s">
        <v>742</v>
      </c>
      <c r="E89" s="222">
        <v>1</v>
      </c>
      <c r="F89" s="222" t="s">
        <v>137</v>
      </c>
      <c r="G89" s="222">
        <v>230</v>
      </c>
      <c r="H89" s="222">
        <v>60</v>
      </c>
      <c r="I89" s="222">
        <v>1</v>
      </c>
      <c r="J89" s="255" t="s">
        <v>680</v>
      </c>
    </row>
    <row r="93" spans="1:10" ht="15.6" x14ac:dyDescent="0.3">
      <c r="A93" s="313" t="s">
        <v>728</v>
      </c>
      <c r="B93" s="313"/>
      <c r="C93" s="313"/>
      <c r="D93" s="313"/>
      <c r="E93" s="313"/>
      <c r="F93" s="313"/>
      <c r="G93" s="313"/>
      <c r="H93" s="313"/>
      <c r="I93" s="313"/>
      <c r="J93" s="313"/>
    </row>
    <row r="94" spans="1:10" ht="15.6" thickBot="1" x14ac:dyDescent="0.35">
      <c r="A94" s="325" t="s">
        <v>810</v>
      </c>
      <c r="B94" s="325"/>
      <c r="C94" s="325"/>
      <c r="D94" s="325"/>
      <c r="E94" s="325"/>
      <c r="F94" s="325"/>
      <c r="G94" s="325"/>
      <c r="H94" s="325"/>
      <c r="I94" s="325"/>
      <c r="J94" s="325"/>
    </row>
    <row r="95" spans="1:10" ht="15.6" thickBot="1" x14ac:dyDescent="0.35">
      <c r="A95" s="317" t="s">
        <v>666</v>
      </c>
      <c r="B95" s="317" t="s">
        <v>667</v>
      </c>
      <c r="C95" s="317" t="s">
        <v>668</v>
      </c>
      <c r="D95" s="317" t="s">
        <v>669</v>
      </c>
      <c r="E95" s="317" t="s">
        <v>739</v>
      </c>
      <c r="F95" s="326" t="s">
        <v>671</v>
      </c>
      <c r="G95" s="331" t="s">
        <v>672</v>
      </c>
      <c r="H95" s="331"/>
      <c r="I95" s="331"/>
      <c r="J95" s="317" t="s">
        <v>673</v>
      </c>
    </row>
    <row r="96" spans="1:10" ht="15.6" thickBot="1" x14ac:dyDescent="0.35">
      <c r="A96" s="318"/>
      <c r="B96" s="318"/>
      <c r="C96" s="318"/>
      <c r="D96" s="318"/>
      <c r="E96" s="318"/>
      <c r="F96" s="327"/>
      <c r="G96" s="256" t="s">
        <v>674</v>
      </c>
      <c r="H96" s="257" t="s">
        <v>675</v>
      </c>
      <c r="I96" s="257" t="s">
        <v>676</v>
      </c>
      <c r="J96" s="318"/>
    </row>
    <row r="97" spans="1:10" ht="75" x14ac:dyDescent="0.3">
      <c r="A97" s="252" t="s">
        <v>811</v>
      </c>
      <c r="B97" s="252">
        <v>1</v>
      </c>
      <c r="C97" s="253" t="s">
        <v>741</v>
      </c>
      <c r="D97" s="253" t="s">
        <v>742</v>
      </c>
      <c r="E97" s="252" t="s">
        <v>812</v>
      </c>
      <c r="F97" s="252" t="s">
        <v>345</v>
      </c>
      <c r="G97" s="252">
        <v>230</v>
      </c>
      <c r="H97" s="252">
        <v>60</v>
      </c>
      <c r="I97" s="252">
        <v>1</v>
      </c>
      <c r="J97" s="253" t="s">
        <v>680</v>
      </c>
    </row>
    <row r="98" spans="1:10" ht="75" x14ac:dyDescent="0.3">
      <c r="A98" s="222" t="s">
        <v>813</v>
      </c>
      <c r="B98" s="222">
        <v>1</v>
      </c>
      <c r="C98" s="255" t="s">
        <v>741</v>
      </c>
      <c r="D98" s="255" t="s">
        <v>742</v>
      </c>
      <c r="E98" s="222">
        <v>1</v>
      </c>
      <c r="F98" s="222" t="s">
        <v>55</v>
      </c>
      <c r="G98" s="222">
        <v>230</v>
      </c>
      <c r="H98" s="222">
        <v>60</v>
      </c>
      <c r="I98" s="222">
        <v>1</v>
      </c>
      <c r="J98" s="255" t="s">
        <v>680</v>
      </c>
    </row>
    <row r="99" spans="1:10" ht="75" x14ac:dyDescent="0.3">
      <c r="A99" s="222" t="s">
        <v>814</v>
      </c>
      <c r="B99" s="222">
        <v>1</v>
      </c>
      <c r="C99" s="255" t="s">
        <v>741</v>
      </c>
      <c r="D99" s="255" t="s">
        <v>742</v>
      </c>
      <c r="E99" s="222">
        <v>1</v>
      </c>
      <c r="F99" s="222" t="s">
        <v>347</v>
      </c>
      <c r="G99" s="222">
        <v>230</v>
      </c>
      <c r="H99" s="222">
        <v>60</v>
      </c>
      <c r="I99" s="222">
        <v>1</v>
      </c>
      <c r="J99" s="255" t="s">
        <v>680</v>
      </c>
    </row>
    <row r="100" spans="1:10" ht="75" x14ac:dyDescent="0.3">
      <c r="A100" s="222" t="s">
        <v>815</v>
      </c>
      <c r="B100" s="222">
        <v>1</v>
      </c>
      <c r="C100" s="255" t="s">
        <v>741</v>
      </c>
      <c r="D100" s="255" t="s">
        <v>742</v>
      </c>
      <c r="E100" s="222">
        <v>1</v>
      </c>
      <c r="F100" s="222" t="s">
        <v>816</v>
      </c>
      <c r="G100" s="222">
        <v>230</v>
      </c>
      <c r="H100" s="222">
        <v>60</v>
      </c>
      <c r="I100" s="222">
        <v>1</v>
      </c>
      <c r="J100" s="255" t="s">
        <v>680</v>
      </c>
    </row>
    <row r="101" spans="1:10" ht="75" x14ac:dyDescent="0.3">
      <c r="A101" s="222" t="s">
        <v>817</v>
      </c>
      <c r="B101" s="212">
        <v>1</v>
      </c>
      <c r="C101" s="255" t="s">
        <v>741</v>
      </c>
      <c r="D101" s="255" t="s">
        <v>742</v>
      </c>
      <c r="E101" s="222">
        <v>1</v>
      </c>
      <c r="F101" s="222" t="s">
        <v>818</v>
      </c>
      <c r="G101" s="222">
        <v>230</v>
      </c>
      <c r="H101" s="222">
        <v>60</v>
      </c>
      <c r="I101" s="222">
        <v>1</v>
      </c>
      <c r="J101" s="255" t="s">
        <v>680</v>
      </c>
    </row>
    <row r="102" spans="1:10" ht="75" x14ac:dyDescent="0.3">
      <c r="A102" s="222" t="s">
        <v>819</v>
      </c>
      <c r="B102" s="212">
        <v>1</v>
      </c>
      <c r="C102" s="255" t="s">
        <v>741</v>
      </c>
      <c r="D102" s="255" t="s">
        <v>742</v>
      </c>
      <c r="E102" s="222">
        <v>1</v>
      </c>
      <c r="F102" s="222" t="s">
        <v>489</v>
      </c>
      <c r="G102" s="222">
        <v>230</v>
      </c>
      <c r="H102" s="222">
        <v>60</v>
      </c>
      <c r="I102" s="222">
        <v>1</v>
      </c>
      <c r="J102" s="255" t="s">
        <v>680</v>
      </c>
    </row>
    <row r="103" spans="1:10" ht="75" x14ac:dyDescent="0.3">
      <c r="A103" s="222" t="s">
        <v>820</v>
      </c>
      <c r="B103" s="212">
        <v>1</v>
      </c>
      <c r="C103" s="255" t="s">
        <v>741</v>
      </c>
      <c r="D103" s="255" t="s">
        <v>742</v>
      </c>
      <c r="E103" s="222">
        <v>1</v>
      </c>
      <c r="F103" s="222" t="s">
        <v>438</v>
      </c>
      <c r="G103" s="222">
        <v>230</v>
      </c>
      <c r="H103" s="222">
        <v>60</v>
      </c>
      <c r="I103" s="222">
        <v>1</v>
      </c>
      <c r="J103" s="255" t="s">
        <v>680</v>
      </c>
    </row>
    <row r="104" spans="1:10" ht="75" x14ac:dyDescent="0.3">
      <c r="A104" s="222" t="s">
        <v>821</v>
      </c>
      <c r="B104" s="212">
        <v>1</v>
      </c>
      <c r="C104" s="255" t="s">
        <v>741</v>
      </c>
      <c r="D104" s="255" t="s">
        <v>742</v>
      </c>
      <c r="E104" s="222">
        <v>1</v>
      </c>
      <c r="F104" s="222" t="s">
        <v>606</v>
      </c>
      <c r="G104" s="222">
        <v>230</v>
      </c>
      <c r="H104" s="222">
        <v>60</v>
      </c>
      <c r="I104" s="222">
        <v>1</v>
      </c>
      <c r="J104" s="255" t="s">
        <v>680</v>
      </c>
    </row>
    <row r="105" spans="1:10" ht="75" x14ac:dyDescent="0.3">
      <c r="A105" s="222" t="s">
        <v>822</v>
      </c>
      <c r="B105" s="212">
        <v>1</v>
      </c>
      <c r="C105" s="255" t="s">
        <v>741</v>
      </c>
      <c r="D105" s="255" t="s">
        <v>742</v>
      </c>
      <c r="E105" s="222">
        <v>1</v>
      </c>
      <c r="F105" s="222" t="s">
        <v>607</v>
      </c>
      <c r="G105" s="222">
        <v>230</v>
      </c>
      <c r="H105" s="222">
        <v>60</v>
      </c>
      <c r="I105" s="222">
        <v>1</v>
      </c>
      <c r="J105" s="255" t="s">
        <v>680</v>
      </c>
    </row>
    <row r="106" spans="1:10" ht="75" x14ac:dyDescent="0.3">
      <c r="A106" s="222" t="s">
        <v>823</v>
      </c>
      <c r="B106" s="212">
        <v>1</v>
      </c>
      <c r="C106" s="255" t="s">
        <v>741</v>
      </c>
      <c r="D106" s="255" t="s">
        <v>742</v>
      </c>
      <c r="E106" s="222">
        <v>1</v>
      </c>
      <c r="F106" s="222" t="s">
        <v>360</v>
      </c>
      <c r="G106" s="222">
        <v>230</v>
      </c>
      <c r="H106" s="222">
        <v>60</v>
      </c>
      <c r="I106" s="222">
        <v>1</v>
      </c>
      <c r="J106" s="255" t="s">
        <v>680</v>
      </c>
    </row>
    <row r="107" spans="1:10" ht="75" x14ac:dyDescent="0.3">
      <c r="A107" s="222" t="s">
        <v>824</v>
      </c>
      <c r="B107" s="212">
        <v>1</v>
      </c>
      <c r="C107" s="255" t="s">
        <v>741</v>
      </c>
      <c r="D107" s="255" t="s">
        <v>742</v>
      </c>
      <c r="E107" s="222">
        <v>1</v>
      </c>
      <c r="F107" s="222" t="s">
        <v>361</v>
      </c>
      <c r="G107" s="222">
        <v>230</v>
      </c>
      <c r="H107" s="222">
        <v>60</v>
      </c>
      <c r="I107" s="222">
        <v>1</v>
      </c>
      <c r="J107" s="255" t="s">
        <v>680</v>
      </c>
    </row>
    <row r="108" spans="1:10" ht="75" x14ac:dyDescent="0.3">
      <c r="A108" s="222" t="s">
        <v>825</v>
      </c>
      <c r="B108" s="212">
        <v>1</v>
      </c>
      <c r="C108" s="255" t="s">
        <v>741</v>
      </c>
      <c r="D108" s="255" t="s">
        <v>742</v>
      </c>
      <c r="E108" s="222">
        <v>1</v>
      </c>
      <c r="F108" s="222" t="s">
        <v>444</v>
      </c>
      <c r="G108" s="222">
        <v>230</v>
      </c>
      <c r="H108" s="222">
        <v>60</v>
      </c>
      <c r="I108" s="222">
        <v>1</v>
      </c>
      <c r="J108" s="255" t="s">
        <v>680</v>
      </c>
    </row>
    <row r="109" spans="1:10" ht="75" x14ac:dyDescent="0.3">
      <c r="A109" s="222" t="s">
        <v>826</v>
      </c>
      <c r="B109" s="212">
        <v>1</v>
      </c>
      <c r="C109" s="255" t="s">
        <v>741</v>
      </c>
      <c r="D109" s="255" t="s">
        <v>742</v>
      </c>
      <c r="E109" s="222">
        <v>1</v>
      </c>
      <c r="F109" s="222" t="s">
        <v>443</v>
      </c>
      <c r="G109" s="222">
        <v>230</v>
      </c>
      <c r="H109" s="222">
        <v>60</v>
      </c>
      <c r="I109" s="222">
        <v>1</v>
      </c>
      <c r="J109" s="255" t="s">
        <v>680</v>
      </c>
    </row>
    <row r="110" spans="1:10" ht="75" x14ac:dyDescent="0.3">
      <c r="A110" s="222" t="s">
        <v>827</v>
      </c>
      <c r="B110" s="212">
        <v>1</v>
      </c>
      <c r="C110" s="255" t="s">
        <v>741</v>
      </c>
      <c r="D110" s="255" t="s">
        <v>742</v>
      </c>
      <c r="E110" s="222">
        <v>1</v>
      </c>
      <c r="F110" s="222" t="s">
        <v>355</v>
      </c>
      <c r="G110" s="222">
        <v>230</v>
      </c>
      <c r="H110" s="222">
        <v>60</v>
      </c>
      <c r="I110" s="222">
        <v>1</v>
      </c>
      <c r="J110" s="255" t="s">
        <v>680</v>
      </c>
    </row>
    <row r="111" spans="1:10" ht="75" x14ac:dyDescent="0.3">
      <c r="A111" s="222" t="s">
        <v>828</v>
      </c>
      <c r="B111" s="212">
        <v>1</v>
      </c>
      <c r="C111" s="255" t="s">
        <v>741</v>
      </c>
      <c r="D111" s="255" t="s">
        <v>742</v>
      </c>
      <c r="E111" s="222">
        <v>1</v>
      </c>
      <c r="F111" s="222" t="s">
        <v>829</v>
      </c>
      <c r="G111" s="222">
        <v>230</v>
      </c>
      <c r="H111" s="222">
        <v>60</v>
      </c>
      <c r="I111" s="222">
        <v>1</v>
      </c>
      <c r="J111" s="255" t="s">
        <v>680</v>
      </c>
    </row>
    <row r="112" spans="1:10" ht="75" x14ac:dyDescent="0.3">
      <c r="A112" s="222" t="s">
        <v>830</v>
      </c>
      <c r="B112" s="212">
        <v>1</v>
      </c>
      <c r="C112" s="255" t="s">
        <v>741</v>
      </c>
      <c r="D112" s="255" t="s">
        <v>742</v>
      </c>
      <c r="E112" s="222">
        <v>2.5</v>
      </c>
      <c r="F112" s="222" t="s">
        <v>383</v>
      </c>
      <c r="G112" s="222">
        <v>230</v>
      </c>
      <c r="H112" s="222">
        <v>60</v>
      </c>
      <c r="I112" s="222">
        <v>1</v>
      </c>
      <c r="J112" s="255" t="s">
        <v>680</v>
      </c>
    </row>
    <row r="113" spans="1:11" ht="75" x14ac:dyDescent="0.3">
      <c r="A113" s="222" t="s">
        <v>831</v>
      </c>
      <c r="B113" s="212">
        <v>1</v>
      </c>
      <c r="C113" s="255" t="s">
        <v>741</v>
      </c>
      <c r="D113" s="255" t="s">
        <v>742</v>
      </c>
      <c r="E113" s="222">
        <v>1</v>
      </c>
      <c r="F113" s="222" t="s">
        <v>492</v>
      </c>
      <c r="G113" s="222">
        <v>230</v>
      </c>
      <c r="H113" s="222">
        <v>60</v>
      </c>
      <c r="I113" s="222">
        <v>1</v>
      </c>
      <c r="J113" s="255" t="s">
        <v>680</v>
      </c>
    </row>
    <row r="114" spans="1:11" ht="75" x14ac:dyDescent="0.3">
      <c r="A114" s="222" t="s">
        <v>832</v>
      </c>
      <c r="B114" s="212">
        <v>2</v>
      </c>
      <c r="C114" s="255" t="s">
        <v>741</v>
      </c>
      <c r="D114" s="255" t="s">
        <v>742</v>
      </c>
      <c r="E114" s="222">
        <v>1.5</v>
      </c>
      <c r="F114" s="222" t="s">
        <v>115</v>
      </c>
      <c r="G114" s="222">
        <v>230</v>
      </c>
      <c r="H114" s="222">
        <v>60</v>
      </c>
      <c r="I114" s="222">
        <v>1</v>
      </c>
      <c r="J114" s="255" t="s">
        <v>680</v>
      </c>
    </row>
    <row r="115" spans="1:11" ht="75" x14ac:dyDescent="0.3">
      <c r="A115" s="222" t="s">
        <v>833</v>
      </c>
      <c r="B115" s="212">
        <v>2</v>
      </c>
      <c r="C115" s="255" t="s">
        <v>741</v>
      </c>
      <c r="D115" s="255" t="s">
        <v>742</v>
      </c>
      <c r="E115" s="222">
        <v>1</v>
      </c>
      <c r="F115" s="222" t="s">
        <v>385</v>
      </c>
      <c r="G115" s="222">
        <v>230</v>
      </c>
      <c r="H115" s="222">
        <v>60</v>
      </c>
      <c r="I115" s="222">
        <v>1</v>
      </c>
      <c r="J115" s="255" t="s">
        <v>680</v>
      </c>
    </row>
    <row r="116" spans="1:11" ht="75" x14ac:dyDescent="0.3">
      <c r="A116" s="222" t="s">
        <v>834</v>
      </c>
      <c r="B116" s="212">
        <v>1</v>
      </c>
      <c r="C116" s="255" t="s">
        <v>741</v>
      </c>
      <c r="D116" s="255" t="s">
        <v>742</v>
      </c>
      <c r="E116" s="222">
        <v>1.5</v>
      </c>
      <c r="F116" s="222" t="s">
        <v>367</v>
      </c>
      <c r="G116" s="222">
        <v>230</v>
      </c>
      <c r="H116" s="222">
        <v>60</v>
      </c>
      <c r="I116" s="222">
        <v>1</v>
      </c>
      <c r="J116" s="255" t="s">
        <v>680</v>
      </c>
    </row>
    <row r="117" spans="1:11" ht="75" x14ac:dyDescent="0.3">
      <c r="A117" s="222" t="s">
        <v>835</v>
      </c>
      <c r="B117" s="212">
        <v>1</v>
      </c>
      <c r="C117" s="255" t="s">
        <v>741</v>
      </c>
      <c r="D117" s="255" t="s">
        <v>742</v>
      </c>
      <c r="E117" s="222">
        <v>1</v>
      </c>
      <c r="F117" s="222" t="s">
        <v>370</v>
      </c>
      <c r="G117" s="222">
        <v>230</v>
      </c>
      <c r="H117" s="222">
        <v>60</v>
      </c>
      <c r="I117" s="222">
        <v>1</v>
      </c>
      <c r="J117" s="255" t="s">
        <v>680</v>
      </c>
    </row>
    <row r="118" spans="1:11" ht="75" x14ac:dyDescent="0.3">
      <c r="A118" s="222" t="s">
        <v>836</v>
      </c>
      <c r="B118" s="212">
        <v>1</v>
      </c>
      <c r="C118" s="255" t="s">
        <v>741</v>
      </c>
      <c r="D118" s="255" t="s">
        <v>742</v>
      </c>
      <c r="E118" s="222">
        <v>1</v>
      </c>
      <c r="F118" s="222" t="s">
        <v>837</v>
      </c>
      <c r="G118" s="222">
        <v>230</v>
      </c>
      <c r="H118" s="222">
        <v>60</v>
      </c>
      <c r="I118" s="222">
        <v>1</v>
      </c>
      <c r="J118" s="255" t="s">
        <v>680</v>
      </c>
    </row>
    <row r="119" spans="1:11" ht="75" x14ac:dyDescent="0.3">
      <c r="A119" s="222" t="s">
        <v>838</v>
      </c>
      <c r="B119" s="212">
        <v>9</v>
      </c>
      <c r="C119" s="255" t="s">
        <v>741</v>
      </c>
      <c r="D119" s="255" t="s">
        <v>742</v>
      </c>
      <c r="E119" s="222">
        <v>1.5</v>
      </c>
      <c r="F119" s="222" t="s">
        <v>30</v>
      </c>
      <c r="G119" s="222">
        <v>230</v>
      </c>
      <c r="H119" s="222">
        <v>60</v>
      </c>
      <c r="I119" s="222">
        <v>1</v>
      </c>
      <c r="J119" s="255" t="s">
        <v>680</v>
      </c>
    </row>
    <row r="120" spans="1:11" ht="75" x14ac:dyDescent="0.3">
      <c r="A120" s="222" t="s">
        <v>839</v>
      </c>
      <c r="B120" s="212">
        <v>1</v>
      </c>
      <c r="C120" s="255" t="s">
        <v>741</v>
      </c>
      <c r="D120" s="255" t="s">
        <v>742</v>
      </c>
      <c r="E120" s="222">
        <v>1</v>
      </c>
      <c r="F120" s="222" t="s">
        <v>840</v>
      </c>
      <c r="G120" s="222">
        <v>230</v>
      </c>
      <c r="H120" s="222">
        <v>60</v>
      </c>
      <c r="I120" s="222">
        <v>1</v>
      </c>
      <c r="J120" s="255" t="s">
        <v>680</v>
      </c>
    </row>
    <row r="121" spans="1:11" ht="75" x14ac:dyDescent="0.3">
      <c r="A121" s="222" t="s">
        <v>841</v>
      </c>
      <c r="B121" s="212">
        <v>1</v>
      </c>
      <c r="C121" s="255" t="s">
        <v>741</v>
      </c>
      <c r="D121" s="255" t="s">
        <v>742</v>
      </c>
      <c r="E121" s="222">
        <v>1</v>
      </c>
      <c r="F121" s="222" t="s">
        <v>35</v>
      </c>
      <c r="G121" s="222">
        <v>230</v>
      </c>
      <c r="H121" s="222">
        <v>60</v>
      </c>
      <c r="I121" s="222">
        <v>1</v>
      </c>
      <c r="J121" s="255" t="s">
        <v>680</v>
      </c>
    </row>
    <row r="122" spans="1:11" ht="75" x14ac:dyDescent="0.3">
      <c r="A122" s="222" t="s">
        <v>842</v>
      </c>
      <c r="B122" s="212">
        <v>1</v>
      </c>
      <c r="C122" s="255" t="s">
        <v>741</v>
      </c>
      <c r="D122" s="255" t="s">
        <v>742</v>
      </c>
      <c r="E122" s="222">
        <v>1</v>
      </c>
      <c r="F122" s="222" t="s">
        <v>453</v>
      </c>
      <c r="G122" s="222">
        <v>230</v>
      </c>
      <c r="H122" s="222">
        <v>60</v>
      </c>
      <c r="I122" s="222">
        <v>1</v>
      </c>
      <c r="J122" s="255" t="s">
        <v>680</v>
      </c>
    </row>
    <row r="123" spans="1:11" ht="75" x14ac:dyDescent="0.3">
      <c r="A123" s="222" t="s">
        <v>843</v>
      </c>
      <c r="B123" s="212">
        <v>1</v>
      </c>
      <c r="C123" s="255" t="s">
        <v>741</v>
      </c>
      <c r="D123" s="255" t="s">
        <v>742</v>
      </c>
      <c r="E123" s="222">
        <v>1</v>
      </c>
      <c r="F123" s="222" t="s">
        <v>844</v>
      </c>
      <c r="G123" s="222">
        <v>230</v>
      </c>
      <c r="H123" s="222">
        <v>60</v>
      </c>
      <c r="I123" s="222">
        <v>1</v>
      </c>
      <c r="J123" s="255" t="s">
        <v>680</v>
      </c>
    </row>
    <row r="124" spans="1:11" ht="75" x14ac:dyDescent="0.3">
      <c r="A124" s="222" t="s">
        <v>845</v>
      </c>
      <c r="B124" s="212">
        <v>1</v>
      </c>
      <c r="C124" s="255" t="s">
        <v>741</v>
      </c>
      <c r="D124" s="255" t="s">
        <v>742</v>
      </c>
      <c r="E124" s="222">
        <v>1</v>
      </c>
      <c r="F124" s="222" t="s">
        <v>76</v>
      </c>
      <c r="G124" s="222">
        <v>230</v>
      </c>
      <c r="H124" s="222">
        <v>60</v>
      </c>
      <c r="I124" s="222">
        <v>1</v>
      </c>
      <c r="J124" s="255" t="s">
        <v>680</v>
      </c>
    </row>
    <row r="125" spans="1:11" ht="75.599999999999994" thickBot="1" x14ac:dyDescent="0.35">
      <c r="A125" s="222" t="s">
        <v>846</v>
      </c>
      <c r="B125" s="212">
        <v>1</v>
      </c>
      <c r="C125" s="255" t="s">
        <v>741</v>
      </c>
      <c r="D125" s="255" t="s">
        <v>742</v>
      </c>
      <c r="E125" s="222">
        <v>1</v>
      </c>
      <c r="F125" s="222" t="s">
        <v>75</v>
      </c>
      <c r="G125" s="222">
        <v>230</v>
      </c>
      <c r="H125" s="222">
        <v>60</v>
      </c>
      <c r="I125" s="222">
        <v>1</v>
      </c>
      <c r="J125" s="255" t="s">
        <v>680</v>
      </c>
    </row>
    <row r="126" spans="1:11" ht="75.599999999999994" thickBot="1" x14ac:dyDescent="0.35">
      <c r="A126" s="222" t="s">
        <v>847</v>
      </c>
      <c r="B126" s="222">
        <v>1</v>
      </c>
      <c r="C126" s="255" t="s">
        <v>741</v>
      </c>
      <c r="D126" s="255" t="s">
        <v>742</v>
      </c>
      <c r="E126" s="222">
        <v>1</v>
      </c>
      <c r="F126" s="222" t="s">
        <v>72</v>
      </c>
      <c r="G126" s="222">
        <v>230</v>
      </c>
      <c r="H126" s="222">
        <v>60</v>
      </c>
      <c r="I126" s="222">
        <v>1</v>
      </c>
      <c r="J126" s="255" t="s">
        <v>680</v>
      </c>
      <c r="K126" s="259"/>
    </row>
    <row r="127" spans="1:11" ht="75" x14ac:dyDescent="0.3">
      <c r="A127" s="222" t="s">
        <v>848</v>
      </c>
      <c r="B127" s="212">
        <v>1</v>
      </c>
      <c r="C127" s="255" t="s">
        <v>741</v>
      </c>
      <c r="D127" s="255" t="s">
        <v>742</v>
      </c>
      <c r="E127" s="212">
        <v>1</v>
      </c>
      <c r="F127" s="212" t="s">
        <v>362</v>
      </c>
      <c r="G127" s="222">
        <v>230</v>
      </c>
      <c r="H127" s="222">
        <v>60</v>
      </c>
      <c r="I127" s="222">
        <v>1</v>
      </c>
      <c r="J127" s="255" t="s">
        <v>680</v>
      </c>
      <c r="K127" s="224"/>
    </row>
    <row r="128" spans="1:11" ht="75" x14ac:dyDescent="0.3">
      <c r="A128" s="222" t="s">
        <v>849</v>
      </c>
      <c r="B128" s="212">
        <v>1</v>
      </c>
      <c r="C128" s="255" t="s">
        <v>741</v>
      </c>
      <c r="D128" s="255" t="s">
        <v>742</v>
      </c>
      <c r="E128" s="212">
        <v>1</v>
      </c>
      <c r="F128" s="212" t="s">
        <v>363</v>
      </c>
      <c r="G128" s="222">
        <v>230</v>
      </c>
      <c r="H128" s="222">
        <v>60</v>
      </c>
      <c r="I128" s="222">
        <v>1</v>
      </c>
      <c r="J128" s="255" t="s">
        <v>680</v>
      </c>
    </row>
    <row r="129" spans="1:11" ht="75" x14ac:dyDescent="0.3">
      <c r="A129" s="222" t="s">
        <v>850</v>
      </c>
      <c r="B129" s="212">
        <v>1</v>
      </c>
      <c r="C129" s="255" t="s">
        <v>741</v>
      </c>
      <c r="D129" s="255" t="s">
        <v>742</v>
      </c>
      <c r="E129" s="212">
        <v>1</v>
      </c>
      <c r="F129" s="212" t="s">
        <v>517</v>
      </c>
      <c r="G129" s="222">
        <v>230</v>
      </c>
      <c r="H129" s="222">
        <v>60</v>
      </c>
      <c r="I129" s="222">
        <v>1</v>
      </c>
      <c r="J129" s="255" t="s">
        <v>680</v>
      </c>
    </row>
    <row r="130" spans="1:11" ht="75" x14ac:dyDescent="0.3">
      <c r="A130" s="222" t="s">
        <v>851</v>
      </c>
      <c r="B130" s="212">
        <v>1</v>
      </c>
      <c r="C130" s="255" t="s">
        <v>741</v>
      </c>
      <c r="D130" s="255" t="s">
        <v>742</v>
      </c>
      <c r="E130" s="212">
        <v>1</v>
      </c>
      <c r="F130" s="212" t="s">
        <v>516</v>
      </c>
      <c r="G130" s="222">
        <v>230</v>
      </c>
      <c r="H130" s="222">
        <v>60</v>
      </c>
      <c r="I130" s="222">
        <v>1</v>
      </c>
      <c r="J130" s="255" t="s">
        <v>680</v>
      </c>
    </row>
    <row r="131" spans="1:11" ht="75" x14ac:dyDescent="0.3">
      <c r="A131" s="222" t="s">
        <v>852</v>
      </c>
      <c r="B131" s="212">
        <v>1</v>
      </c>
      <c r="C131" s="255" t="s">
        <v>741</v>
      </c>
      <c r="D131" s="255" t="s">
        <v>742</v>
      </c>
      <c r="E131" s="212">
        <v>1</v>
      </c>
      <c r="F131" s="212" t="s">
        <v>844</v>
      </c>
      <c r="G131" s="222">
        <v>230</v>
      </c>
      <c r="H131" s="222">
        <v>60</v>
      </c>
      <c r="I131" s="222">
        <v>1</v>
      </c>
      <c r="J131" s="255" t="s">
        <v>680</v>
      </c>
    </row>
    <row r="132" spans="1:11" ht="75" x14ac:dyDescent="0.3">
      <c r="A132" s="222" t="s">
        <v>853</v>
      </c>
      <c r="B132" s="212">
        <v>1</v>
      </c>
      <c r="C132" s="255" t="s">
        <v>741</v>
      </c>
      <c r="D132" s="255" t="s">
        <v>742</v>
      </c>
      <c r="E132" s="222">
        <v>1</v>
      </c>
      <c r="F132" s="212" t="s">
        <v>453</v>
      </c>
      <c r="G132" s="222">
        <v>230</v>
      </c>
      <c r="H132" s="222">
        <v>60</v>
      </c>
      <c r="I132" s="222">
        <v>1</v>
      </c>
      <c r="J132" s="255" t="s">
        <v>680</v>
      </c>
    </row>
    <row r="133" spans="1:11" x14ac:dyDescent="0.3">
      <c r="J133" s="260"/>
      <c r="K133" s="224"/>
    </row>
    <row r="134" spans="1:11" x14ac:dyDescent="0.3">
      <c r="J134" s="260"/>
    </row>
    <row r="135" spans="1:11" x14ac:dyDescent="0.3">
      <c r="J135" s="260"/>
    </row>
    <row r="136" spans="1:11" x14ac:dyDescent="0.3">
      <c r="J136" s="260"/>
    </row>
    <row r="137" spans="1:11" x14ac:dyDescent="0.3">
      <c r="J137" s="260"/>
    </row>
    <row r="138" spans="1:11" x14ac:dyDescent="0.3">
      <c r="J138" s="260"/>
    </row>
    <row r="139" spans="1:11" x14ac:dyDescent="0.3">
      <c r="J139" s="260"/>
    </row>
    <row r="140" spans="1:11" x14ac:dyDescent="0.3">
      <c r="J140" s="260"/>
    </row>
    <row r="141" spans="1:11" x14ac:dyDescent="0.3">
      <c r="J141" s="260"/>
    </row>
  </sheetData>
  <mergeCells count="50">
    <mergeCell ref="A93:J93"/>
    <mergeCell ref="A94:J94"/>
    <mergeCell ref="A95:A96"/>
    <mergeCell ref="B95:B96"/>
    <mergeCell ref="C95:C96"/>
    <mergeCell ref="D95:D96"/>
    <mergeCell ref="E95:E96"/>
    <mergeCell ref="F95:F96"/>
    <mergeCell ref="G95:I95"/>
    <mergeCell ref="J95:J96"/>
    <mergeCell ref="A56:J56"/>
    <mergeCell ref="A57:J57"/>
    <mergeCell ref="A58:A59"/>
    <mergeCell ref="B58:B59"/>
    <mergeCell ref="C58:C59"/>
    <mergeCell ref="D58:D59"/>
    <mergeCell ref="E58:E59"/>
    <mergeCell ref="F58:F59"/>
    <mergeCell ref="G58:I58"/>
    <mergeCell ref="J58:J59"/>
    <mergeCell ref="A20:J20"/>
    <mergeCell ref="A21:J21"/>
    <mergeCell ref="A22:A23"/>
    <mergeCell ref="B22:B23"/>
    <mergeCell ref="C22:C23"/>
    <mergeCell ref="D22:D23"/>
    <mergeCell ref="E22:E23"/>
    <mergeCell ref="F22:F23"/>
    <mergeCell ref="G22:I22"/>
    <mergeCell ref="J22:J23"/>
    <mergeCell ref="A11:J11"/>
    <mergeCell ref="A12:J12"/>
    <mergeCell ref="A13:A14"/>
    <mergeCell ref="B13:B14"/>
    <mergeCell ref="C13:C14"/>
    <mergeCell ref="D13:D14"/>
    <mergeCell ref="E13:E14"/>
    <mergeCell ref="F13:F14"/>
    <mergeCell ref="G13:I13"/>
    <mergeCell ref="J13:J14"/>
    <mergeCell ref="A3:J3"/>
    <mergeCell ref="A4:J4"/>
    <mergeCell ref="A5:A6"/>
    <mergeCell ref="B5:B6"/>
    <mergeCell ref="C5:C6"/>
    <mergeCell ref="D5:D6"/>
    <mergeCell ref="E5:E6"/>
    <mergeCell ref="F5:F6"/>
    <mergeCell ref="G5:I5"/>
    <mergeCell ref="J5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T101"/>
  <sheetViews>
    <sheetView topLeftCell="A106" workbookViewId="0">
      <selection activeCell="P22" sqref="L14:P22"/>
    </sheetView>
  </sheetViews>
  <sheetFormatPr defaultRowHeight="14.4" x14ac:dyDescent="0.3"/>
  <cols>
    <col min="1" max="1" width="38" customWidth="1"/>
    <col min="2" max="2" width="12.33203125" customWidth="1"/>
    <col min="10" max="11" width="9.33203125" customWidth="1"/>
  </cols>
  <sheetData>
    <row r="1" spans="1:20" ht="23.4" x14ac:dyDescent="0.3">
      <c r="A1" s="277" t="s">
        <v>11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</row>
    <row r="2" spans="1:20" ht="24" thickBot="1" x14ac:dyDescent="0.5">
      <c r="A2" s="276" t="s">
        <v>160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</row>
    <row r="3" spans="1:20" ht="15" thickBot="1" x14ac:dyDescent="0.35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278" t="s">
        <v>539</v>
      </c>
      <c r="P3" s="278"/>
      <c r="Q3" s="278"/>
      <c r="R3" s="278"/>
      <c r="S3" s="278"/>
      <c r="T3" s="278"/>
    </row>
    <row r="4" spans="1:20" ht="15" thickBot="1" x14ac:dyDescent="0.35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279"/>
      <c r="P4" s="279"/>
      <c r="Q4" s="279"/>
      <c r="R4" s="132" t="s">
        <v>541</v>
      </c>
      <c r="S4" s="132" t="s">
        <v>542</v>
      </c>
      <c r="T4" s="132" t="s">
        <v>430</v>
      </c>
    </row>
    <row r="5" spans="1:20" ht="15" thickBot="1" x14ac:dyDescent="0.35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280" t="s">
        <v>160</v>
      </c>
      <c r="P5" s="280"/>
      <c r="Q5" s="280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" thickBot="1" x14ac:dyDescent="0.35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280" t="s">
        <v>41</v>
      </c>
      <c r="P6" s="280"/>
      <c r="Q6" s="280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" thickBot="1" x14ac:dyDescent="0.35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280" t="s">
        <v>59</v>
      </c>
      <c r="P7" s="280"/>
      <c r="Q7" s="280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" thickBot="1" x14ac:dyDescent="0.35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281" t="s">
        <v>540</v>
      </c>
      <c r="P8" s="281"/>
      <c r="Q8" s="281"/>
      <c r="R8" s="282">
        <f>SUM(R5:R7)</f>
        <v>38633.611499999999</v>
      </c>
      <c r="S8" s="282">
        <f>SUM(S5:S7)</f>
        <v>5763.8469070000001</v>
      </c>
      <c r="T8" s="282">
        <f>T5+T6+T7</f>
        <v>44397.458406999998</v>
      </c>
    </row>
    <row r="9" spans="1:20" ht="15" thickBot="1" x14ac:dyDescent="0.35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281"/>
      <c r="P9" s="281"/>
      <c r="Q9" s="281"/>
      <c r="R9" s="283"/>
      <c r="S9" s="283"/>
      <c r="T9" s="283"/>
    </row>
    <row r="10" spans="1:20" ht="15" thickBot="1" x14ac:dyDescent="0.35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" thickBot="1" x14ac:dyDescent="0.35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" thickBot="1" x14ac:dyDescent="0.35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" thickBot="1" x14ac:dyDescent="0.35">
      <c r="A13" s="151" t="s">
        <v>64</v>
      </c>
      <c r="B13" s="152" t="s">
        <v>48</v>
      </c>
      <c r="C13" s="152">
        <v>2.8721999999999999</v>
      </c>
      <c r="D13" s="152">
        <v>34.5</v>
      </c>
      <c r="E13" s="152">
        <v>28</v>
      </c>
      <c r="F13" s="152">
        <f>References!E14*References!F14</f>
        <v>2.75</v>
      </c>
      <c r="G13" s="152">
        <f t="shared" si="1"/>
        <v>685</v>
      </c>
      <c r="H13" s="152">
        <f t="shared" si="2"/>
        <v>0.82</v>
      </c>
      <c r="I13" s="152">
        <v>0.55000000000000004</v>
      </c>
      <c r="J13" s="152">
        <f t="shared" si="3"/>
        <v>849.57124999999996</v>
      </c>
      <c r="K13" s="153">
        <f t="shared" si="0"/>
        <v>51.340574999999994</v>
      </c>
    </row>
    <row r="14" spans="1:20" ht="15" thickBot="1" x14ac:dyDescent="0.35">
      <c r="A14" s="151" t="s">
        <v>64</v>
      </c>
      <c r="B14" s="152" t="s">
        <v>48</v>
      </c>
      <c r="C14" s="152">
        <v>2.8210999999999999</v>
      </c>
      <c r="D14" s="152">
        <v>34.5</v>
      </c>
      <c r="E14" s="152">
        <v>28</v>
      </c>
      <c r="F14" s="152">
        <f>References!E15*References!F15</f>
        <v>9</v>
      </c>
      <c r="G14" s="152">
        <f t="shared" si="1"/>
        <v>685</v>
      </c>
      <c r="H14" s="152">
        <f t="shared" si="2"/>
        <v>0.82</v>
      </c>
      <c r="I14" s="152">
        <v>0.55000000000000004</v>
      </c>
      <c r="J14" s="152">
        <f t="shared" si="3"/>
        <v>2780.415</v>
      </c>
      <c r="K14" s="153">
        <f t="shared" si="0"/>
        <v>165.03435000000002</v>
      </c>
    </row>
    <row r="15" spans="1:20" ht="15" thickBot="1" x14ac:dyDescent="0.35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" thickBot="1" x14ac:dyDescent="0.35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" thickBot="1" x14ac:dyDescent="0.35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8"/>
      <c r="N17" s="118"/>
      <c r="O17" s="118"/>
    </row>
    <row r="18" spans="1:15" ht="15" thickBot="1" x14ac:dyDescent="0.35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8"/>
      <c r="N18" s="118"/>
      <c r="O18" s="118"/>
    </row>
    <row r="19" spans="1:15" ht="15" thickBot="1" x14ac:dyDescent="0.35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" thickBot="1" x14ac:dyDescent="0.35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" thickBot="1" x14ac:dyDescent="0.35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" thickBot="1" x14ac:dyDescent="0.35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" thickBot="1" x14ac:dyDescent="0.35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" thickBot="1" x14ac:dyDescent="0.35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" thickBot="1" x14ac:dyDescent="0.35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" thickBot="1" x14ac:dyDescent="0.35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" thickBot="1" x14ac:dyDescent="0.35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50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" thickBot="1" x14ac:dyDescent="0.35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" thickBot="1" x14ac:dyDescent="0.35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" thickBot="1" x14ac:dyDescent="0.35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" thickBot="1" x14ac:dyDescent="0.35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" thickBot="1" x14ac:dyDescent="0.35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" thickBot="1" x14ac:dyDescent="0.35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8" customFormat="1" ht="15" thickBot="1" x14ac:dyDescent="0.35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" thickBot="1" x14ac:dyDescent="0.35">
      <c r="H35" s="284" t="s">
        <v>122</v>
      </c>
      <c r="I35" s="284"/>
      <c r="J35" s="41">
        <f>SUM(J4:J33)</f>
        <v>14479.770250000001</v>
      </c>
      <c r="K35" s="41">
        <f>SUM(K4:K33)</f>
        <v>2026.92127</v>
      </c>
    </row>
    <row r="36" spans="1:11" ht="15" thickBot="1" x14ac:dyDescent="0.35">
      <c r="H36" s="284" t="s">
        <v>166</v>
      </c>
      <c r="I36" s="284"/>
      <c r="J36" s="285">
        <f>J35+K35</f>
        <v>16506.69152</v>
      </c>
      <c r="K36" s="286"/>
    </row>
    <row r="37" spans="1:11" x14ac:dyDescent="0.3">
      <c r="H37" s="3"/>
      <c r="I37" s="3"/>
      <c r="J37" s="3"/>
      <c r="K37" s="3"/>
    </row>
    <row r="38" spans="1:11" ht="23.4" x14ac:dyDescent="0.45">
      <c r="A38" s="276" t="s">
        <v>41</v>
      </c>
      <c r="B38" s="276"/>
      <c r="C38" s="276"/>
      <c r="D38" s="276"/>
      <c r="E38" s="276"/>
      <c r="F38" s="276"/>
      <c r="G38" s="276"/>
      <c r="H38" s="276"/>
      <c r="I38" s="276"/>
      <c r="J38" s="276"/>
      <c r="K38" s="276"/>
    </row>
    <row r="39" spans="1:11" ht="15" thickBot="1" x14ac:dyDescent="0.35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" thickBot="1" x14ac:dyDescent="0.35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" thickBot="1" x14ac:dyDescent="0.35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" thickBot="1" x14ac:dyDescent="0.35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" thickBot="1" x14ac:dyDescent="0.35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" thickBot="1" x14ac:dyDescent="0.35">
      <c r="A44" s="151" t="s">
        <v>64</v>
      </c>
      <c r="B44" s="152" t="s">
        <v>48</v>
      </c>
      <c r="C44" s="152">
        <v>2.8210999999999999</v>
      </c>
      <c r="D44" s="152">
        <v>34.5</v>
      </c>
      <c r="E44" s="152">
        <v>28</v>
      </c>
      <c r="F44" s="152">
        <v>2.7</v>
      </c>
      <c r="G44" s="152">
        <f t="shared" si="7"/>
        <v>685</v>
      </c>
      <c r="H44" s="152">
        <f t="shared" si="5"/>
        <v>0.82</v>
      </c>
      <c r="I44" s="152">
        <v>0.55000000000000004</v>
      </c>
      <c r="J44" s="152">
        <f t="shared" si="6"/>
        <v>834.12450000000001</v>
      </c>
      <c r="K44" s="153">
        <f t="shared" si="4"/>
        <v>49.510305000000002</v>
      </c>
    </row>
    <row r="45" spans="1:11" ht="15" thickBot="1" x14ac:dyDescent="0.35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" thickBot="1" x14ac:dyDescent="0.35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" thickBot="1" x14ac:dyDescent="0.35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" thickBot="1" x14ac:dyDescent="0.35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" thickBot="1" x14ac:dyDescent="0.35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" thickBot="1" x14ac:dyDescent="0.35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" thickBot="1" x14ac:dyDescent="0.35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" thickBot="1" x14ac:dyDescent="0.35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" thickBot="1" x14ac:dyDescent="0.35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" thickBot="1" x14ac:dyDescent="0.35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" thickBot="1" x14ac:dyDescent="0.35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" thickBot="1" x14ac:dyDescent="0.35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" thickBot="1" x14ac:dyDescent="0.35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" thickBot="1" x14ac:dyDescent="0.35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" thickBot="1" x14ac:dyDescent="0.35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" thickBot="1" x14ac:dyDescent="0.35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" thickBot="1" x14ac:dyDescent="0.35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" thickBot="1" x14ac:dyDescent="0.35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" thickBot="1" x14ac:dyDescent="0.35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" thickBot="1" x14ac:dyDescent="0.35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" thickBot="1" x14ac:dyDescent="0.35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" thickBot="1" x14ac:dyDescent="0.35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" thickBot="1" x14ac:dyDescent="0.35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" thickBot="1" x14ac:dyDescent="0.35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" thickBot="1" x14ac:dyDescent="0.35">
      <c r="H69" s="284" t="s">
        <v>122</v>
      </c>
      <c r="I69" s="284"/>
      <c r="J69" s="41">
        <f>SUM(J40:J68)</f>
        <v>12911.636650000004</v>
      </c>
      <c r="K69" s="41">
        <f>SUM(K40:K68)</f>
        <v>2185.8239429999999</v>
      </c>
    </row>
    <row r="70" spans="1:11" ht="15" thickBot="1" x14ac:dyDescent="0.35">
      <c r="H70" s="284" t="s">
        <v>167</v>
      </c>
      <c r="I70" s="284"/>
      <c r="J70" s="285">
        <f>J69+K69</f>
        <v>15097.460593000003</v>
      </c>
      <c r="K70" s="286"/>
    </row>
    <row r="72" spans="1:11" ht="23.4" x14ac:dyDescent="0.45">
      <c r="A72" s="276" t="s">
        <v>59</v>
      </c>
      <c r="B72" s="276"/>
      <c r="C72" s="276"/>
      <c r="D72" s="276"/>
      <c r="E72" s="276"/>
      <c r="F72" s="276"/>
      <c r="G72" s="276"/>
      <c r="H72" s="276"/>
      <c r="I72" s="276"/>
      <c r="J72" s="276"/>
      <c r="K72" s="276"/>
    </row>
    <row r="73" spans="1:11" ht="15" thickBot="1" x14ac:dyDescent="0.35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" thickBot="1" x14ac:dyDescent="0.35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" thickBot="1" x14ac:dyDescent="0.35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" thickBot="1" x14ac:dyDescent="0.35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" thickBot="1" x14ac:dyDescent="0.35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" thickBot="1" x14ac:dyDescent="0.35">
      <c r="A78" s="151" t="s">
        <v>64</v>
      </c>
      <c r="B78" s="152" t="s">
        <v>48</v>
      </c>
      <c r="C78" s="152">
        <v>2.8721999999999999</v>
      </c>
      <c r="D78" s="152">
        <v>34.5</v>
      </c>
      <c r="E78" s="152">
        <v>28</v>
      </c>
      <c r="F78" s="152">
        <f>References!E45*References!F45</f>
        <v>2.7</v>
      </c>
      <c r="G78" s="155">
        <f t="shared" si="9"/>
        <v>685</v>
      </c>
      <c r="H78" s="155">
        <f t="shared" si="10"/>
        <v>0.82</v>
      </c>
      <c r="I78" s="155">
        <v>0.55000000000000004</v>
      </c>
      <c r="J78" s="155">
        <f t="shared" si="11"/>
        <v>834.12450000000001</v>
      </c>
      <c r="K78" s="165">
        <f t="shared" si="8"/>
        <v>50.407110000000003</v>
      </c>
    </row>
    <row r="79" spans="1:11" ht="15" thickBot="1" x14ac:dyDescent="0.35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" thickBot="1" x14ac:dyDescent="0.35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" thickBot="1" x14ac:dyDescent="0.35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" thickBot="1" x14ac:dyDescent="0.35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" thickBot="1" x14ac:dyDescent="0.35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" thickBot="1" x14ac:dyDescent="0.35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" thickBot="1" x14ac:dyDescent="0.35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" thickBot="1" x14ac:dyDescent="0.35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" thickBot="1" x14ac:dyDescent="0.35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" thickBot="1" x14ac:dyDescent="0.35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" thickBot="1" x14ac:dyDescent="0.35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" thickBot="1" x14ac:dyDescent="0.35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" thickBot="1" x14ac:dyDescent="0.35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" thickBot="1" x14ac:dyDescent="0.35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" thickBot="1" x14ac:dyDescent="0.35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" thickBot="1" x14ac:dyDescent="0.35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" thickBot="1" x14ac:dyDescent="0.35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" thickBot="1" x14ac:dyDescent="0.35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" thickBot="1" x14ac:dyDescent="0.35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" thickBot="1" x14ac:dyDescent="0.35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" thickBot="1" x14ac:dyDescent="0.35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" thickBot="1" x14ac:dyDescent="0.35">
      <c r="H100" s="284" t="s">
        <v>122</v>
      </c>
      <c r="I100" s="284"/>
      <c r="J100" s="41">
        <f>SUM(J74:J99)</f>
        <v>11242.204599999995</v>
      </c>
      <c r="K100" s="41">
        <f>SUM(K74:K99)</f>
        <v>1551.101694</v>
      </c>
    </row>
    <row r="101" spans="1:11" ht="15" thickBot="1" x14ac:dyDescent="0.35">
      <c r="H101" s="284" t="s">
        <v>167</v>
      </c>
      <c r="I101" s="284"/>
      <c r="J101" s="285">
        <f>J100+K100</f>
        <v>12793.306293999995</v>
      </c>
      <c r="K101" s="286"/>
    </row>
  </sheetData>
  <mergeCells count="22"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  <mergeCell ref="O6:Q6"/>
    <mergeCell ref="O7:Q7"/>
    <mergeCell ref="O8:Q9"/>
    <mergeCell ref="O3:T3"/>
    <mergeCell ref="O4:Q4"/>
    <mergeCell ref="O5:Q5"/>
    <mergeCell ref="T8:T9"/>
    <mergeCell ref="S8:S9"/>
    <mergeCell ref="R8:R9"/>
  </mergeCells>
  <conditionalFormatting sqref="A73:K99">
    <cfRule type="cellIs" dxfId="338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J25"/>
  <sheetViews>
    <sheetView workbookViewId="0">
      <selection activeCell="H8" sqref="H8"/>
    </sheetView>
  </sheetViews>
  <sheetFormatPr defaultColWidth="9.109375" defaultRowHeight="15" x14ac:dyDescent="0.3"/>
  <cols>
    <col min="1" max="1" width="7.44140625" style="51" customWidth="1"/>
    <col min="2" max="2" width="9.109375" style="51"/>
    <col min="3" max="3" width="14.6640625" style="51" customWidth="1"/>
    <col min="4" max="4" width="15.33203125" style="51" customWidth="1"/>
    <col min="5" max="5" width="12.6640625" style="51" customWidth="1"/>
    <col min="6" max="6" width="21.33203125" style="51" customWidth="1"/>
    <col min="7" max="9" width="9.109375" style="51"/>
    <col min="10" max="10" width="24.109375" style="51" customWidth="1"/>
    <col min="11" max="16384" width="9.109375" style="51"/>
  </cols>
  <sheetData>
    <row r="1" spans="1:10" ht="15.6" x14ac:dyDescent="0.3">
      <c r="A1" s="337" t="s">
        <v>666</v>
      </c>
      <c r="B1" s="339" t="s">
        <v>667</v>
      </c>
      <c r="C1" s="339" t="s">
        <v>668</v>
      </c>
      <c r="D1" s="339" t="s">
        <v>669</v>
      </c>
      <c r="E1" s="339" t="s">
        <v>670</v>
      </c>
      <c r="F1" s="341" t="s">
        <v>671</v>
      </c>
      <c r="G1" s="332" t="s">
        <v>672</v>
      </c>
      <c r="H1" s="333"/>
      <c r="I1" s="334"/>
      <c r="J1" s="335" t="s">
        <v>673</v>
      </c>
    </row>
    <row r="2" spans="1:10" ht="16.2" thickBot="1" x14ac:dyDescent="0.35">
      <c r="A2" s="338"/>
      <c r="B2" s="340"/>
      <c r="C2" s="340"/>
      <c r="D2" s="340"/>
      <c r="E2" s="340"/>
      <c r="F2" s="342"/>
      <c r="G2" s="226" t="s">
        <v>674</v>
      </c>
      <c r="H2" s="226" t="s">
        <v>675</v>
      </c>
      <c r="I2" s="226" t="s">
        <v>676</v>
      </c>
      <c r="J2" s="336"/>
    </row>
    <row r="3" spans="1:10" ht="60" x14ac:dyDescent="0.3">
      <c r="A3" s="51" t="s">
        <v>677</v>
      </c>
      <c r="B3" s="51">
        <v>1</v>
      </c>
      <c r="C3" s="225" t="s">
        <v>678</v>
      </c>
      <c r="D3" s="51" t="s">
        <v>679</v>
      </c>
      <c r="E3" s="51">
        <v>504.40899999999999</v>
      </c>
      <c r="F3" s="225" t="s">
        <v>102</v>
      </c>
      <c r="G3" s="51">
        <v>230</v>
      </c>
      <c r="H3" s="51">
        <v>60</v>
      </c>
      <c r="I3" s="51">
        <v>1</v>
      </c>
      <c r="J3" s="225" t="s">
        <v>680</v>
      </c>
    </row>
    <row r="4" spans="1:10" ht="60" x14ac:dyDescent="0.3">
      <c r="A4" s="51" t="s">
        <v>681</v>
      </c>
      <c r="B4" s="51">
        <v>1</v>
      </c>
      <c r="C4" s="225" t="s">
        <v>678</v>
      </c>
      <c r="D4" s="51" t="s">
        <v>679</v>
      </c>
      <c r="E4" s="51">
        <v>1210.5820000000001</v>
      </c>
      <c r="F4" s="225" t="s">
        <v>682</v>
      </c>
      <c r="G4" s="51">
        <v>230</v>
      </c>
      <c r="H4" s="51">
        <v>60</v>
      </c>
      <c r="I4" s="51">
        <v>1</v>
      </c>
      <c r="J4" s="225" t="s">
        <v>680</v>
      </c>
    </row>
    <row r="5" spans="1:10" ht="60" x14ac:dyDescent="0.3">
      <c r="A5" s="51" t="s">
        <v>683</v>
      </c>
      <c r="B5" s="51">
        <v>1</v>
      </c>
      <c r="C5" s="225" t="s">
        <v>678</v>
      </c>
      <c r="D5" s="51" t="s">
        <v>679</v>
      </c>
      <c r="E5" s="51">
        <v>302.6454</v>
      </c>
      <c r="F5" s="51" t="s">
        <v>40</v>
      </c>
      <c r="G5" s="51">
        <v>230</v>
      </c>
      <c r="H5" s="51">
        <v>60</v>
      </c>
      <c r="I5" s="51">
        <v>1</v>
      </c>
      <c r="J5" s="225" t="s">
        <v>680</v>
      </c>
    </row>
    <row r="6" spans="1:10" ht="60" x14ac:dyDescent="0.3">
      <c r="A6" s="51" t="s">
        <v>684</v>
      </c>
      <c r="B6" s="51">
        <v>2</v>
      </c>
      <c r="C6" s="225" t="s">
        <v>678</v>
      </c>
      <c r="D6" s="51" t="s">
        <v>679</v>
      </c>
      <c r="E6" s="51">
        <v>605.29079999999999</v>
      </c>
      <c r="F6" s="51" t="s">
        <v>120</v>
      </c>
      <c r="G6" s="51">
        <v>230</v>
      </c>
      <c r="H6" s="51">
        <v>60</v>
      </c>
      <c r="I6" s="51">
        <v>1</v>
      </c>
      <c r="J6" s="225" t="s">
        <v>680</v>
      </c>
    </row>
    <row r="7" spans="1:10" ht="60" x14ac:dyDescent="0.3">
      <c r="A7" s="51" t="s">
        <v>685</v>
      </c>
      <c r="B7" s="51">
        <v>2</v>
      </c>
      <c r="C7" s="225" t="s">
        <v>678</v>
      </c>
      <c r="D7" s="51" t="s">
        <v>679</v>
      </c>
      <c r="E7" s="51">
        <v>1008.818</v>
      </c>
      <c r="F7" s="51" t="s">
        <v>139</v>
      </c>
      <c r="G7" s="51">
        <v>230</v>
      </c>
      <c r="H7" s="51">
        <v>60</v>
      </c>
      <c r="I7" s="51">
        <v>1</v>
      </c>
      <c r="J7" s="225" t="s">
        <v>680</v>
      </c>
    </row>
    <row r="8" spans="1:10" ht="60" x14ac:dyDescent="0.3">
      <c r="A8" s="51" t="s">
        <v>686</v>
      </c>
      <c r="B8" s="51">
        <v>1</v>
      </c>
      <c r="C8" s="225" t="s">
        <v>678</v>
      </c>
      <c r="D8" s="51" t="s">
        <v>679</v>
      </c>
      <c r="E8" s="51">
        <v>1008.818</v>
      </c>
      <c r="F8" s="51" t="s">
        <v>687</v>
      </c>
      <c r="G8" s="51">
        <v>230</v>
      </c>
      <c r="H8" s="51">
        <v>60</v>
      </c>
      <c r="I8" s="51">
        <v>1</v>
      </c>
      <c r="J8" s="225" t="s">
        <v>680</v>
      </c>
    </row>
    <row r="9" spans="1:10" ht="60" x14ac:dyDescent="0.3">
      <c r="A9" s="51" t="s">
        <v>688</v>
      </c>
      <c r="B9" s="51">
        <v>1</v>
      </c>
      <c r="C9" s="225" t="s">
        <v>678</v>
      </c>
      <c r="D9" s="51" t="s">
        <v>679</v>
      </c>
      <c r="E9" s="51">
        <v>403.52719999999999</v>
      </c>
      <c r="F9" s="51" t="s">
        <v>192</v>
      </c>
      <c r="G9" s="51">
        <v>230</v>
      </c>
      <c r="H9" s="51">
        <v>60</v>
      </c>
      <c r="I9" s="51">
        <v>1</v>
      </c>
      <c r="J9" s="225" t="s">
        <v>680</v>
      </c>
    </row>
    <row r="10" spans="1:10" ht="60" x14ac:dyDescent="0.3">
      <c r="A10" s="51" t="s">
        <v>689</v>
      </c>
      <c r="B10" s="51">
        <v>2</v>
      </c>
      <c r="C10" s="225" t="s">
        <v>678</v>
      </c>
      <c r="D10" s="51" t="s">
        <v>679</v>
      </c>
      <c r="E10" s="51">
        <v>403.52719999999999</v>
      </c>
      <c r="F10" s="51" t="s">
        <v>690</v>
      </c>
      <c r="G10" s="51">
        <v>230</v>
      </c>
      <c r="H10" s="51">
        <v>60</v>
      </c>
      <c r="I10" s="51">
        <v>1</v>
      </c>
      <c r="J10" s="225" t="s">
        <v>680</v>
      </c>
    </row>
    <row r="11" spans="1:10" ht="60" x14ac:dyDescent="0.3">
      <c r="A11" s="51" t="s">
        <v>691</v>
      </c>
      <c r="B11" s="51">
        <v>1</v>
      </c>
      <c r="C11" s="225" t="s">
        <v>678</v>
      </c>
      <c r="D11" s="51" t="s">
        <v>679</v>
      </c>
      <c r="E11" s="51">
        <v>201.7636</v>
      </c>
      <c r="F11" s="51" t="s">
        <v>195</v>
      </c>
      <c r="G11" s="51">
        <v>230</v>
      </c>
      <c r="H11" s="51">
        <v>60</v>
      </c>
      <c r="I11" s="51">
        <v>1</v>
      </c>
      <c r="J11" s="225" t="s">
        <v>680</v>
      </c>
    </row>
    <row r="12" spans="1:10" ht="60" x14ac:dyDescent="0.3">
      <c r="A12" s="51" t="s">
        <v>692</v>
      </c>
      <c r="B12" s="51">
        <v>1</v>
      </c>
      <c r="C12" s="225" t="s">
        <v>678</v>
      </c>
      <c r="D12" s="51" t="s">
        <v>679</v>
      </c>
      <c r="E12" s="51">
        <v>504.40899999999999</v>
      </c>
      <c r="F12" s="51" t="s">
        <v>405</v>
      </c>
      <c r="G12" s="51">
        <v>230</v>
      </c>
      <c r="H12" s="51">
        <v>60</v>
      </c>
      <c r="I12" s="51">
        <v>1</v>
      </c>
      <c r="J12" s="225" t="s">
        <v>680</v>
      </c>
    </row>
    <row r="13" spans="1:10" ht="60" x14ac:dyDescent="0.3">
      <c r="A13" s="51" t="s">
        <v>693</v>
      </c>
      <c r="B13" s="51">
        <v>2</v>
      </c>
      <c r="C13" s="225" t="s">
        <v>678</v>
      </c>
      <c r="D13" s="51" t="s">
        <v>679</v>
      </c>
      <c r="E13" s="51">
        <v>807.05439999999999</v>
      </c>
      <c r="F13" s="51" t="s">
        <v>129</v>
      </c>
      <c r="G13" s="51">
        <v>230</v>
      </c>
      <c r="H13" s="51">
        <v>60</v>
      </c>
      <c r="I13" s="51">
        <v>1</v>
      </c>
      <c r="J13" s="225" t="s">
        <v>680</v>
      </c>
    </row>
    <row r="14" spans="1:10" ht="60" x14ac:dyDescent="0.3">
      <c r="A14" s="51" t="s">
        <v>694</v>
      </c>
      <c r="B14" s="51">
        <v>1</v>
      </c>
      <c r="C14" s="225" t="s">
        <v>678</v>
      </c>
      <c r="D14" s="51" t="s">
        <v>679</v>
      </c>
      <c r="E14" s="51">
        <v>201.7636</v>
      </c>
      <c r="F14" s="51" t="s">
        <v>170</v>
      </c>
      <c r="G14" s="51">
        <v>230</v>
      </c>
      <c r="H14" s="51">
        <v>60</v>
      </c>
      <c r="I14" s="51">
        <v>1</v>
      </c>
      <c r="J14" s="225" t="s">
        <v>680</v>
      </c>
    </row>
    <row r="15" spans="1:10" ht="60" x14ac:dyDescent="0.3">
      <c r="A15" s="51" t="s">
        <v>695</v>
      </c>
      <c r="B15" s="51">
        <v>1</v>
      </c>
      <c r="C15" s="225" t="s">
        <v>678</v>
      </c>
      <c r="D15" s="51" t="s">
        <v>679</v>
      </c>
      <c r="E15" s="51">
        <v>201.7636</v>
      </c>
      <c r="F15" s="51" t="s">
        <v>180</v>
      </c>
      <c r="G15" s="51">
        <v>230</v>
      </c>
      <c r="H15" s="51">
        <v>60</v>
      </c>
      <c r="I15" s="51">
        <v>1</v>
      </c>
      <c r="J15" s="225" t="s">
        <v>680</v>
      </c>
    </row>
    <row r="16" spans="1:10" ht="60" x14ac:dyDescent="0.3">
      <c r="A16" s="51" t="s">
        <v>696</v>
      </c>
      <c r="B16" s="51">
        <v>1</v>
      </c>
      <c r="C16" s="225" t="s">
        <v>678</v>
      </c>
      <c r="D16" s="51" t="s">
        <v>679</v>
      </c>
      <c r="E16" s="51">
        <v>201.7636</v>
      </c>
      <c r="F16" s="51" t="s">
        <v>697</v>
      </c>
      <c r="G16" s="51">
        <v>230</v>
      </c>
      <c r="H16" s="51">
        <v>60</v>
      </c>
      <c r="I16" s="51">
        <v>1</v>
      </c>
      <c r="J16" s="225" t="s">
        <v>680</v>
      </c>
    </row>
    <row r="17" spans="1:10" ht="60" x14ac:dyDescent="0.3">
      <c r="A17" s="51" t="s">
        <v>698</v>
      </c>
      <c r="B17" s="51">
        <v>1</v>
      </c>
      <c r="C17" s="225" t="s">
        <v>678</v>
      </c>
      <c r="D17" s="51" t="s">
        <v>679</v>
      </c>
      <c r="E17" s="51">
        <v>201.7636</v>
      </c>
      <c r="F17" s="51" t="s">
        <v>699</v>
      </c>
      <c r="G17" s="51">
        <v>230</v>
      </c>
      <c r="H17" s="51">
        <v>60</v>
      </c>
      <c r="I17" s="51">
        <v>1</v>
      </c>
      <c r="J17" s="225" t="s">
        <v>680</v>
      </c>
    </row>
    <row r="18" spans="1:10" x14ac:dyDescent="0.3">
      <c r="J18" s="225"/>
    </row>
    <row r="19" spans="1:10" x14ac:dyDescent="0.3">
      <c r="J19" s="225"/>
    </row>
    <row r="20" spans="1:10" x14ac:dyDescent="0.3">
      <c r="J20" s="225"/>
    </row>
    <row r="21" spans="1:10" x14ac:dyDescent="0.3">
      <c r="J21" s="225"/>
    </row>
    <row r="22" spans="1:10" x14ac:dyDescent="0.3">
      <c r="J22" s="225"/>
    </row>
    <row r="23" spans="1:10" x14ac:dyDescent="0.3">
      <c r="J23" s="225"/>
    </row>
    <row r="24" spans="1:10" x14ac:dyDescent="0.3">
      <c r="J24" s="225"/>
    </row>
    <row r="25" spans="1:10" x14ac:dyDescent="0.3">
      <c r="J25" s="225"/>
    </row>
  </sheetData>
  <mergeCells count="8">
    <mergeCell ref="G1:I1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/>
  </sheetPr>
  <dimension ref="A1:E14"/>
  <sheetViews>
    <sheetView workbookViewId="0">
      <selection activeCell="B28" sqref="B28"/>
    </sheetView>
  </sheetViews>
  <sheetFormatPr defaultColWidth="9.109375" defaultRowHeight="15" x14ac:dyDescent="0.3"/>
  <cols>
    <col min="1" max="1" width="19.33203125" style="51" customWidth="1"/>
    <col min="2" max="3" width="14.33203125" style="51" customWidth="1"/>
    <col min="4" max="4" width="17.5546875" style="51" customWidth="1"/>
    <col min="5" max="16384" width="9.109375" style="51"/>
  </cols>
  <sheetData>
    <row r="1" spans="1:5" ht="15.6" x14ac:dyDescent="0.3">
      <c r="A1" s="345" t="s">
        <v>700</v>
      </c>
      <c r="B1" s="345"/>
      <c r="C1" s="345"/>
      <c r="D1" s="345"/>
      <c r="E1" s="234"/>
    </row>
    <row r="2" spans="1:5" ht="15.6" x14ac:dyDescent="0.3">
      <c r="A2" s="345"/>
      <c r="B2" s="345"/>
      <c r="C2" s="345"/>
      <c r="D2" s="345"/>
      <c r="E2" s="345"/>
    </row>
    <row r="3" spans="1:5" ht="15.6" thickBot="1" x14ac:dyDescent="0.35">
      <c r="E3" s="225"/>
    </row>
    <row r="4" spans="1:5" ht="16.8" thickTop="1" thickBot="1" x14ac:dyDescent="0.35">
      <c r="A4" s="235" t="s">
        <v>701</v>
      </c>
      <c r="B4" s="346" t="s">
        <v>702</v>
      </c>
      <c r="C4" s="347"/>
      <c r="D4" s="348"/>
      <c r="E4" s="225"/>
    </row>
    <row r="5" spans="1:5" ht="16.2" thickBot="1" x14ac:dyDescent="0.35">
      <c r="A5" s="231"/>
      <c r="B5" s="236" t="s">
        <v>703</v>
      </c>
      <c r="C5" s="236" t="s">
        <v>704</v>
      </c>
      <c r="D5" s="237" t="s">
        <v>705</v>
      </c>
      <c r="E5" s="225"/>
    </row>
    <row r="6" spans="1:5" ht="15.6" thickTop="1" x14ac:dyDescent="0.3">
      <c r="A6" s="349" t="s">
        <v>706</v>
      </c>
      <c r="B6" s="227" t="s">
        <v>707</v>
      </c>
      <c r="C6" s="227" t="s">
        <v>708</v>
      </c>
      <c r="D6" s="228" t="s">
        <v>709</v>
      </c>
      <c r="E6" s="225"/>
    </row>
    <row r="7" spans="1:5" ht="15.6" thickBot="1" x14ac:dyDescent="0.35">
      <c r="A7" s="350"/>
      <c r="B7" s="229" t="s">
        <v>710</v>
      </c>
      <c r="C7" s="229" t="s">
        <v>711</v>
      </c>
      <c r="D7" s="230" t="s">
        <v>712</v>
      </c>
      <c r="E7" s="225"/>
    </row>
    <row r="8" spans="1:5" x14ac:dyDescent="0.3">
      <c r="A8" s="351" t="s">
        <v>41</v>
      </c>
      <c r="B8" s="227" t="s">
        <v>713</v>
      </c>
      <c r="C8" s="227" t="s">
        <v>714</v>
      </c>
      <c r="D8" s="228" t="s">
        <v>715</v>
      </c>
      <c r="E8" s="225"/>
    </row>
    <row r="9" spans="1:5" ht="15.6" thickBot="1" x14ac:dyDescent="0.35">
      <c r="A9" s="350"/>
      <c r="B9" s="229" t="s">
        <v>716</v>
      </c>
      <c r="C9" s="229" t="s">
        <v>717</v>
      </c>
      <c r="D9" s="230" t="s">
        <v>718</v>
      </c>
      <c r="E9" s="225"/>
    </row>
    <row r="10" spans="1:5" x14ac:dyDescent="0.3">
      <c r="A10" s="351" t="s">
        <v>59</v>
      </c>
      <c r="B10" s="227" t="s">
        <v>719</v>
      </c>
      <c r="C10" s="227" t="s">
        <v>720</v>
      </c>
      <c r="D10" s="228"/>
      <c r="E10" s="225"/>
    </row>
    <row r="11" spans="1:5" ht="15.6" thickBot="1" x14ac:dyDescent="0.35">
      <c r="A11" s="350"/>
      <c r="B11" s="229" t="s">
        <v>721</v>
      </c>
      <c r="C11" s="231" t="s">
        <v>722</v>
      </c>
      <c r="D11" s="232" t="s">
        <v>723</v>
      </c>
      <c r="E11" s="225"/>
    </row>
    <row r="12" spans="1:5" ht="16.2" thickTop="1" thickBot="1" x14ac:dyDescent="0.35">
      <c r="B12" s="238"/>
      <c r="C12" s="343" t="s">
        <v>724</v>
      </c>
      <c r="D12" s="233" t="s">
        <v>725</v>
      </c>
      <c r="E12" s="225"/>
    </row>
    <row r="13" spans="1:5" ht="16.2" thickTop="1" thickBot="1" x14ac:dyDescent="0.35">
      <c r="B13" s="238"/>
      <c r="C13" s="344"/>
      <c r="D13" s="233" t="s">
        <v>726</v>
      </c>
      <c r="E13" s="225"/>
    </row>
    <row r="14" spans="1:5" ht="15.6" thickTop="1" x14ac:dyDescent="0.3"/>
  </sheetData>
  <mergeCells count="7">
    <mergeCell ref="C12:C13"/>
    <mergeCell ref="A1:D1"/>
    <mergeCell ref="A2:E2"/>
    <mergeCell ref="B4:D4"/>
    <mergeCell ref="A6:A7"/>
    <mergeCell ref="A8:A9"/>
    <mergeCell ref="A10:A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/>
  </sheetPr>
  <dimension ref="A1:F79"/>
  <sheetViews>
    <sheetView workbookViewId="0">
      <selection activeCell="F10" sqref="F10"/>
    </sheetView>
  </sheetViews>
  <sheetFormatPr defaultColWidth="9.109375" defaultRowHeight="15" x14ac:dyDescent="0.3"/>
  <cols>
    <col min="1" max="1" width="25" style="51" customWidth="1"/>
    <col min="2" max="2" width="13.109375" style="51" customWidth="1"/>
    <col min="3" max="3" width="9.109375" style="51"/>
    <col min="4" max="4" width="13.33203125" style="51" customWidth="1"/>
    <col min="5" max="5" width="13.88671875" style="51" customWidth="1"/>
    <col min="6" max="16384" width="9.109375" style="51"/>
  </cols>
  <sheetData>
    <row r="1" spans="1:6" ht="15.6" x14ac:dyDescent="0.3">
      <c r="A1" s="312" t="s">
        <v>854</v>
      </c>
      <c r="B1" s="312"/>
      <c r="C1" s="312"/>
      <c r="D1" s="312"/>
      <c r="E1" s="312"/>
      <c r="F1" s="261"/>
    </row>
    <row r="2" spans="1:6" ht="15.6" x14ac:dyDescent="0.3">
      <c r="A2" s="223" t="s">
        <v>95</v>
      </c>
      <c r="B2" s="222"/>
      <c r="C2" s="222"/>
      <c r="D2" s="222"/>
      <c r="E2" s="222"/>
    </row>
    <row r="3" spans="1:6" ht="15.6" x14ac:dyDescent="0.3">
      <c r="A3" s="223" t="s">
        <v>0</v>
      </c>
      <c r="B3" s="223" t="s">
        <v>855</v>
      </c>
      <c r="C3" s="223" t="s">
        <v>856</v>
      </c>
      <c r="D3" s="223" t="s">
        <v>857</v>
      </c>
      <c r="E3" s="223" t="s">
        <v>858</v>
      </c>
    </row>
    <row r="4" spans="1:6" x14ac:dyDescent="0.3">
      <c r="A4" s="222" t="s">
        <v>859</v>
      </c>
      <c r="B4" s="222">
        <v>11.35</v>
      </c>
      <c r="C4" s="222">
        <v>10</v>
      </c>
      <c r="D4" s="262">
        <f>(B4*C4)/3600</f>
        <v>3.152777777777778E-2</v>
      </c>
      <c r="E4" s="262">
        <f>D4*1000</f>
        <v>31.527777777777779</v>
      </c>
    </row>
    <row r="5" spans="1:6" x14ac:dyDescent="0.3">
      <c r="A5" s="222" t="s">
        <v>860</v>
      </c>
      <c r="B5" s="222">
        <v>14.8348</v>
      </c>
      <c r="C5" s="222">
        <v>10</v>
      </c>
      <c r="D5" s="262">
        <f t="shared" ref="D5:D15" si="0">(B5*C5)/3600</f>
        <v>4.1207777777777774E-2</v>
      </c>
      <c r="E5" s="262">
        <f t="shared" ref="E5:E15" si="1">D5*1000</f>
        <v>41.207777777777771</v>
      </c>
    </row>
    <row r="6" spans="1:6" x14ac:dyDescent="0.3">
      <c r="A6" s="222" t="s">
        <v>861</v>
      </c>
      <c r="B6" s="222">
        <v>11.9092</v>
      </c>
      <c r="C6" s="222">
        <v>10</v>
      </c>
      <c r="D6" s="262">
        <f t="shared" si="0"/>
        <v>3.308111111111111E-2</v>
      </c>
      <c r="E6" s="262">
        <f t="shared" si="1"/>
        <v>33.081111111111113</v>
      </c>
    </row>
    <row r="7" spans="1:6" x14ac:dyDescent="0.3">
      <c r="A7" s="222" t="s">
        <v>119</v>
      </c>
      <c r="B7" s="222">
        <v>12.9452</v>
      </c>
      <c r="C7" s="222">
        <v>10</v>
      </c>
      <c r="D7" s="262">
        <f t="shared" si="0"/>
        <v>3.5958888888888887E-2</v>
      </c>
      <c r="E7" s="262">
        <f t="shared" si="1"/>
        <v>35.958888888888886</v>
      </c>
    </row>
    <row r="8" spans="1:6" x14ac:dyDescent="0.3">
      <c r="A8" s="222" t="s">
        <v>58</v>
      </c>
      <c r="B8" s="222">
        <v>69.039599999999993</v>
      </c>
      <c r="C8" s="222">
        <v>10</v>
      </c>
      <c r="D8" s="262">
        <f t="shared" si="0"/>
        <v>0.19177666666666665</v>
      </c>
      <c r="E8" s="262">
        <f t="shared" si="1"/>
        <v>191.77666666666664</v>
      </c>
    </row>
    <row r="9" spans="1:6" x14ac:dyDescent="0.3">
      <c r="A9" s="222" t="s">
        <v>57</v>
      </c>
      <c r="B9" s="222">
        <v>68.171199999999999</v>
      </c>
      <c r="C9" s="222">
        <v>10</v>
      </c>
      <c r="D9" s="262">
        <f t="shared" si="0"/>
        <v>0.18936444444444445</v>
      </c>
      <c r="E9" s="262">
        <f t="shared" si="1"/>
        <v>189.36444444444444</v>
      </c>
    </row>
    <row r="10" spans="1:6" x14ac:dyDescent="0.3">
      <c r="A10" s="222" t="s">
        <v>106</v>
      </c>
      <c r="B10" s="222">
        <v>10.137600000000001</v>
      </c>
      <c r="C10" s="222">
        <v>10</v>
      </c>
      <c r="D10" s="262">
        <f t="shared" si="0"/>
        <v>2.8160000000000001E-2</v>
      </c>
      <c r="E10" s="262">
        <f t="shared" si="1"/>
        <v>28.16</v>
      </c>
    </row>
    <row r="11" spans="1:6" x14ac:dyDescent="0.3">
      <c r="A11" s="222" t="s">
        <v>383</v>
      </c>
      <c r="B11" s="222">
        <v>136.86080000000001</v>
      </c>
      <c r="C11" s="222">
        <v>10</v>
      </c>
      <c r="D11" s="262">
        <f t="shared" si="0"/>
        <v>0.38016888888888895</v>
      </c>
      <c r="E11" s="262">
        <f t="shared" si="1"/>
        <v>380.16888888888894</v>
      </c>
    </row>
    <row r="12" spans="1:6" x14ac:dyDescent="0.3">
      <c r="A12" s="222" t="s">
        <v>862</v>
      </c>
      <c r="B12" s="222">
        <v>7.78</v>
      </c>
      <c r="C12" s="222">
        <v>10</v>
      </c>
      <c r="D12" s="262">
        <f t="shared" si="0"/>
        <v>2.1611111111111109E-2</v>
      </c>
      <c r="E12" s="262">
        <f t="shared" si="1"/>
        <v>21.611111111111107</v>
      </c>
    </row>
    <row r="13" spans="1:6" x14ac:dyDescent="0.3">
      <c r="A13" s="222" t="s">
        <v>863</v>
      </c>
      <c r="B13" s="222">
        <v>10.137600000000001</v>
      </c>
      <c r="C13" s="222">
        <v>10</v>
      </c>
      <c r="D13" s="262">
        <f t="shared" si="0"/>
        <v>2.8160000000000001E-2</v>
      </c>
      <c r="E13" s="262">
        <f t="shared" si="1"/>
        <v>28.16</v>
      </c>
    </row>
    <row r="14" spans="1:6" x14ac:dyDescent="0.3">
      <c r="A14" s="222" t="s">
        <v>450</v>
      </c>
      <c r="B14" s="222">
        <v>9.6</v>
      </c>
      <c r="C14" s="222">
        <v>10</v>
      </c>
      <c r="D14" s="262">
        <f t="shared" si="0"/>
        <v>2.6666666666666668E-2</v>
      </c>
      <c r="E14" s="262">
        <f t="shared" si="1"/>
        <v>26.666666666666668</v>
      </c>
    </row>
    <row r="15" spans="1:6" x14ac:dyDescent="0.3">
      <c r="A15" s="222" t="s">
        <v>40</v>
      </c>
      <c r="B15" s="222">
        <v>78.551199999999994</v>
      </c>
      <c r="C15" s="222">
        <v>10</v>
      </c>
      <c r="D15" s="262">
        <f t="shared" si="0"/>
        <v>0.21819777777777777</v>
      </c>
      <c r="E15" s="262">
        <f t="shared" si="1"/>
        <v>218.19777777777776</v>
      </c>
    </row>
    <row r="16" spans="1:6" x14ac:dyDescent="0.3">
      <c r="A16" s="222"/>
      <c r="B16" s="222"/>
      <c r="C16" s="222"/>
      <c r="D16" s="222"/>
      <c r="E16" s="222"/>
    </row>
    <row r="17" spans="1:5" ht="15.6" x14ac:dyDescent="0.3">
      <c r="A17" s="223" t="s">
        <v>864</v>
      </c>
      <c r="B17" s="222"/>
      <c r="C17" s="222"/>
      <c r="D17" s="222"/>
      <c r="E17" s="222"/>
    </row>
    <row r="18" spans="1:5" ht="15.6" x14ac:dyDescent="0.3">
      <c r="A18" s="223" t="s">
        <v>0</v>
      </c>
      <c r="B18" s="223" t="s">
        <v>855</v>
      </c>
      <c r="C18" s="223" t="s">
        <v>856</v>
      </c>
      <c r="D18" s="223" t="s">
        <v>857</v>
      </c>
      <c r="E18" s="223" t="s">
        <v>858</v>
      </c>
    </row>
    <row r="19" spans="1:5" x14ac:dyDescent="0.3">
      <c r="A19" s="222" t="s">
        <v>865</v>
      </c>
      <c r="B19" s="222">
        <v>10.47</v>
      </c>
      <c r="C19" s="222">
        <v>10</v>
      </c>
      <c r="D19" s="263">
        <f>(B19*C19)/3600</f>
        <v>2.9083333333333333E-2</v>
      </c>
      <c r="E19" s="262">
        <f>D19*1000</f>
        <v>29.083333333333332</v>
      </c>
    </row>
    <row r="20" spans="1:5" x14ac:dyDescent="0.3">
      <c r="A20" s="222" t="s">
        <v>866</v>
      </c>
      <c r="B20" s="222">
        <v>10.47</v>
      </c>
      <c r="C20" s="222">
        <v>10</v>
      </c>
      <c r="D20" s="263">
        <f t="shared" ref="D20:D46" si="2">(B20*C20)/3600</f>
        <v>2.9083333333333333E-2</v>
      </c>
      <c r="E20" s="262">
        <f t="shared" ref="E20:E46" si="3">D20*1000</f>
        <v>29.083333333333332</v>
      </c>
    </row>
    <row r="21" spans="1:5" x14ac:dyDescent="0.3">
      <c r="A21" s="222" t="s">
        <v>867</v>
      </c>
      <c r="B21" s="222">
        <v>10.47</v>
      </c>
      <c r="C21" s="222">
        <v>10</v>
      </c>
      <c r="D21" s="263">
        <f t="shared" si="2"/>
        <v>2.9083333333333333E-2</v>
      </c>
      <c r="E21" s="262">
        <f t="shared" si="3"/>
        <v>29.083333333333332</v>
      </c>
    </row>
    <row r="22" spans="1:5" x14ac:dyDescent="0.3">
      <c r="A22" s="222" t="s">
        <v>868</v>
      </c>
      <c r="B22" s="222">
        <v>10.47</v>
      </c>
      <c r="C22" s="222">
        <v>10</v>
      </c>
      <c r="D22" s="263">
        <f t="shared" si="2"/>
        <v>2.9083333333333333E-2</v>
      </c>
      <c r="E22" s="262">
        <f t="shared" si="3"/>
        <v>29.083333333333332</v>
      </c>
    </row>
    <row r="23" spans="1:5" x14ac:dyDescent="0.3">
      <c r="A23" s="222" t="s">
        <v>209</v>
      </c>
      <c r="B23" s="222">
        <v>10.4924</v>
      </c>
      <c r="C23" s="222">
        <v>10</v>
      </c>
      <c r="D23" s="263">
        <f t="shared" si="2"/>
        <v>2.9145555555555556E-2</v>
      </c>
      <c r="E23" s="262">
        <f t="shared" si="3"/>
        <v>29.145555555555557</v>
      </c>
    </row>
    <row r="24" spans="1:5" x14ac:dyDescent="0.3">
      <c r="A24" s="222" t="s">
        <v>215</v>
      </c>
      <c r="B24" s="222">
        <v>10.485200000000001</v>
      </c>
      <c r="C24" s="222">
        <v>10</v>
      </c>
      <c r="D24" s="263">
        <f t="shared" si="2"/>
        <v>2.9125555555555557E-2</v>
      </c>
      <c r="E24" s="262">
        <f t="shared" si="3"/>
        <v>29.125555555555557</v>
      </c>
    </row>
    <row r="25" spans="1:5" x14ac:dyDescent="0.3">
      <c r="A25" s="222" t="s">
        <v>210</v>
      </c>
      <c r="B25" s="222">
        <v>10.462</v>
      </c>
      <c r="C25" s="222">
        <v>10</v>
      </c>
      <c r="D25" s="263">
        <f t="shared" si="2"/>
        <v>2.9061111111111114E-2</v>
      </c>
      <c r="E25" s="262">
        <f t="shared" si="3"/>
        <v>29.061111111111114</v>
      </c>
    </row>
    <row r="26" spans="1:5" x14ac:dyDescent="0.3">
      <c r="A26" s="222" t="s">
        <v>211</v>
      </c>
      <c r="B26" s="222">
        <v>10.4788</v>
      </c>
      <c r="C26" s="222">
        <v>10</v>
      </c>
      <c r="D26" s="263">
        <f t="shared" si="2"/>
        <v>2.9107777777777778E-2</v>
      </c>
      <c r="E26" s="262">
        <f t="shared" si="3"/>
        <v>29.107777777777777</v>
      </c>
    </row>
    <row r="27" spans="1:5" x14ac:dyDescent="0.3">
      <c r="A27" s="222" t="s">
        <v>212</v>
      </c>
      <c r="B27" s="222">
        <v>10.5496</v>
      </c>
      <c r="C27" s="222">
        <v>10</v>
      </c>
      <c r="D27" s="263">
        <f t="shared" si="2"/>
        <v>2.9304444444444442E-2</v>
      </c>
      <c r="E27" s="262">
        <f t="shared" si="3"/>
        <v>29.304444444444442</v>
      </c>
    </row>
    <row r="28" spans="1:5" x14ac:dyDescent="0.3">
      <c r="A28" s="222" t="s">
        <v>204</v>
      </c>
      <c r="B28" s="222">
        <v>9.6484000000000005</v>
      </c>
      <c r="C28" s="222">
        <v>10</v>
      </c>
      <c r="D28" s="263">
        <f t="shared" si="2"/>
        <v>2.6801111111111112E-2</v>
      </c>
      <c r="E28" s="262">
        <f t="shared" si="3"/>
        <v>26.801111111111112</v>
      </c>
    </row>
    <row r="29" spans="1:5" x14ac:dyDescent="0.3">
      <c r="A29" s="222" t="s">
        <v>213</v>
      </c>
      <c r="B29" s="222">
        <v>10.47</v>
      </c>
      <c r="C29" s="222">
        <v>10</v>
      </c>
      <c r="D29" s="263">
        <f t="shared" si="2"/>
        <v>2.9083333333333333E-2</v>
      </c>
      <c r="E29" s="262">
        <f t="shared" si="3"/>
        <v>29.083333333333332</v>
      </c>
    </row>
    <row r="30" spans="1:5" x14ac:dyDescent="0.3">
      <c r="A30" s="222" t="s">
        <v>214</v>
      </c>
      <c r="B30" s="222">
        <v>10.47</v>
      </c>
      <c r="C30" s="222">
        <v>10</v>
      </c>
      <c r="D30" s="263">
        <f t="shared" si="2"/>
        <v>2.9083333333333333E-2</v>
      </c>
      <c r="E30" s="262">
        <f t="shared" si="3"/>
        <v>29.083333333333332</v>
      </c>
    </row>
    <row r="31" spans="1:5" x14ac:dyDescent="0.3">
      <c r="A31" s="222" t="s">
        <v>216</v>
      </c>
      <c r="B31" s="222">
        <v>10.56</v>
      </c>
      <c r="C31" s="222">
        <v>10</v>
      </c>
      <c r="D31" s="263">
        <f t="shared" si="2"/>
        <v>2.9333333333333336E-2</v>
      </c>
      <c r="E31" s="262">
        <f t="shared" si="3"/>
        <v>29.333333333333336</v>
      </c>
    </row>
    <row r="32" spans="1:5" x14ac:dyDescent="0.3">
      <c r="A32" s="222" t="s">
        <v>217</v>
      </c>
      <c r="B32" s="222">
        <v>27.1784</v>
      </c>
      <c r="C32" s="222">
        <v>10</v>
      </c>
      <c r="D32" s="263">
        <f t="shared" si="2"/>
        <v>7.5495555555555552E-2</v>
      </c>
      <c r="E32" s="262">
        <f t="shared" si="3"/>
        <v>75.495555555555555</v>
      </c>
    </row>
    <row r="33" spans="1:5" x14ac:dyDescent="0.3">
      <c r="A33" s="222" t="s">
        <v>218</v>
      </c>
      <c r="B33" s="222">
        <v>10.434799999999999</v>
      </c>
      <c r="C33" s="222">
        <v>10</v>
      </c>
      <c r="D33" s="263">
        <f t="shared" si="2"/>
        <v>2.8985555555555553E-2</v>
      </c>
      <c r="E33" s="262">
        <f t="shared" si="3"/>
        <v>28.985555555555553</v>
      </c>
    </row>
    <row r="34" spans="1:5" x14ac:dyDescent="0.3">
      <c r="A34" s="222" t="s">
        <v>219</v>
      </c>
      <c r="B34" s="222">
        <v>10.434799999999999</v>
      </c>
      <c r="C34" s="222">
        <v>10</v>
      </c>
      <c r="D34" s="263">
        <f t="shared" si="2"/>
        <v>2.8985555555555553E-2</v>
      </c>
      <c r="E34" s="262">
        <f t="shared" si="3"/>
        <v>28.985555555555553</v>
      </c>
    </row>
    <row r="35" spans="1:5" x14ac:dyDescent="0.3">
      <c r="A35" s="222" t="s">
        <v>221</v>
      </c>
      <c r="B35" s="222">
        <v>10.434799999999999</v>
      </c>
      <c r="C35" s="222">
        <v>10</v>
      </c>
      <c r="D35" s="263">
        <f t="shared" si="2"/>
        <v>2.8985555555555553E-2</v>
      </c>
      <c r="E35" s="262">
        <f t="shared" si="3"/>
        <v>28.985555555555553</v>
      </c>
    </row>
    <row r="36" spans="1:5" x14ac:dyDescent="0.3">
      <c r="A36" s="222" t="s">
        <v>222</v>
      </c>
      <c r="B36" s="222">
        <v>10.434799999999999</v>
      </c>
      <c r="C36" s="222">
        <v>10</v>
      </c>
      <c r="D36" s="263">
        <f t="shared" si="2"/>
        <v>2.8985555555555553E-2</v>
      </c>
      <c r="E36" s="262">
        <f t="shared" si="3"/>
        <v>28.985555555555553</v>
      </c>
    </row>
    <row r="37" spans="1:5" x14ac:dyDescent="0.3">
      <c r="A37" s="222" t="s">
        <v>220</v>
      </c>
      <c r="B37" s="222">
        <v>10.56</v>
      </c>
      <c r="C37" s="222">
        <v>10</v>
      </c>
      <c r="D37" s="263">
        <f t="shared" si="2"/>
        <v>2.9333333333333336E-2</v>
      </c>
      <c r="E37" s="262">
        <f t="shared" si="3"/>
        <v>29.333333333333336</v>
      </c>
    </row>
    <row r="38" spans="1:5" x14ac:dyDescent="0.3">
      <c r="A38" s="222" t="s">
        <v>223</v>
      </c>
      <c r="B38" s="222">
        <v>10.56</v>
      </c>
      <c r="C38" s="222">
        <v>10</v>
      </c>
      <c r="D38" s="263">
        <f t="shared" si="2"/>
        <v>2.9333333333333336E-2</v>
      </c>
      <c r="E38" s="262">
        <f t="shared" si="3"/>
        <v>29.333333333333336</v>
      </c>
    </row>
    <row r="39" spans="1:5" x14ac:dyDescent="0.3">
      <c r="A39" s="222" t="s">
        <v>224</v>
      </c>
      <c r="B39" s="222">
        <v>10.56</v>
      </c>
      <c r="C39" s="222">
        <v>10</v>
      </c>
      <c r="D39" s="263">
        <f t="shared" si="2"/>
        <v>2.9333333333333336E-2</v>
      </c>
      <c r="E39" s="262">
        <f t="shared" si="3"/>
        <v>29.333333333333336</v>
      </c>
    </row>
    <row r="40" spans="1:5" x14ac:dyDescent="0.3">
      <c r="A40" s="222" t="s">
        <v>225</v>
      </c>
      <c r="B40" s="222">
        <v>6.6584000000000003</v>
      </c>
      <c r="C40" s="222">
        <v>10</v>
      </c>
      <c r="D40" s="263">
        <f t="shared" si="2"/>
        <v>1.8495555555555557E-2</v>
      </c>
      <c r="E40" s="262">
        <f t="shared" si="3"/>
        <v>18.495555555555558</v>
      </c>
    </row>
    <row r="41" spans="1:5" x14ac:dyDescent="0.3">
      <c r="A41" s="222" t="s">
        <v>226</v>
      </c>
      <c r="B41" s="222">
        <v>15.452</v>
      </c>
      <c r="C41" s="222">
        <v>10</v>
      </c>
      <c r="D41" s="263">
        <f t="shared" si="2"/>
        <v>4.2922222222222223E-2</v>
      </c>
      <c r="E41" s="262">
        <f t="shared" si="3"/>
        <v>42.922222222222224</v>
      </c>
    </row>
    <row r="42" spans="1:5" x14ac:dyDescent="0.3">
      <c r="A42" s="222" t="s">
        <v>478</v>
      </c>
      <c r="B42" s="222">
        <v>6.72</v>
      </c>
      <c r="C42" s="222">
        <v>10</v>
      </c>
      <c r="D42" s="263">
        <f t="shared" si="2"/>
        <v>1.8666666666666668E-2</v>
      </c>
      <c r="E42" s="262">
        <f t="shared" si="3"/>
        <v>18.666666666666668</v>
      </c>
    </row>
    <row r="43" spans="1:5" x14ac:dyDescent="0.3">
      <c r="A43" s="222" t="s">
        <v>132</v>
      </c>
      <c r="B43" s="222">
        <v>11.2</v>
      </c>
      <c r="C43" s="222">
        <v>10</v>
      </c>
      <c r="D43" s="263">
        <f t="shared" si="2"/>
        <v>3.111111111111111E-2</v>
      </c>
      <c r="E43" s="262">
        <f t="shared" si="3"/>
        <v>31.111111111111111</v>
      </c>
    </row>
    <row r="44" spans="1:5" x14ac:dyDescent="0.3">
      <c r="A44" s="222" t="s">
        <v>133</v>
      </c>
      <c r="B44" s="222">
        <v>11.2</v>
      </c>
      <c r="C44" s="222">
        <v>10</v>
      </c>
      <c r="D44" s="263">
        <f t="shared" si="2"/>
        <v>3.111111111111111E-2</v>
      </c>
      <c r="E44" s="262">
        <f t="shared" si="3"/>
        <v>31.111111111111111</v>
      </c>
    </row>
    <row r="45" spans="1:5" x14ac:dyDescent="0.3">
      <c r="A45" s="222" t="s">
        <v>134</v>
      </c>
      <c r="B45" s="222">
        <v>11.2</v>
      </c>
      <c r="C45" s="222">
        <v>10</v>
      </c>
      <c r="D45" s="263">
        <f t="shared" si="2"/>
        <v>3.111111111111111E-2</v>
      </c>
      <c r="E45" s="262">
        <f t="shared" si="3"/>
        <v>31.111111111111111</v>
      </c>
    </row>
    <row r="46" spans="1:5" x14ac:dyDescent="0.3">
      <c r="A46" s="222" t="s">
        <v>155</v>
      </c>
      <c r="B46" s="222">
        <v>8.3604000000000003</v>
      </c>
      <c r="C46" s="222">
        <v>10</v>
      </c>
      <c r="D46" s="263">
        <f t="shared" si="2"/>
        <v>2.3223333333333332E-2</v>
      </c>
      <c r="E46" s="262">
        <f t="shared" si="3"/>
        <v>23.223333333333333</v>
      </c>
    </row>
    <row r="47" spans="1:5" x14ac:dyDescent="0.3">
      <c r="A47" s="222"/>
      <c r="B47" s="222"/>
      <c r="C47" s="222"/>
      <c r="D47" s="263"/>
      <c r="E47" s="222"/>
    </row>
    <row r="48" spans="1:5" x14ac:dyDescent="0.3">
      <c r="A48" s="222"/>
      <c r="B48" s="222"/>
      <c r="C48" s="222"/>
      <c r="D48" s="263"/>
      <c r="E48" s="222"/>
    </row>
    <row r="49" spans="1:5" ht="15.6" x14ac:dyDescent="0.3">
      <c r="A49" s="223" t="s">
        <v>59</v>
      </c>
      <c r="B49" s="222"/>
      <c r="C49" s="222"/>
      <c r="D49" s="222"/>
      <c r="E49" s="222"/>
    </row>
    <row r="50" spans="1:5" ht="15.6" x14ac:dyDescent="0.3">
      <c r="A50" s="223" t="s">
        <v>0</v>
      </c>
      <c r="B50" s="223" t="s">
        <v>855</v>
      </c>
      <c r="C50" s="223" t="s">
        <v>856</v>
      </c>
      <c r="D50" s="223" t="s">
        <v>858</v>
      </c>
      <c r="E50" s="223" t="s">
        <v>857</v>
      </c>
    </row>
    <row r="51" spans="1:5" x14ac:dyDescent="0.3">
      <c r="A51" s="222" t="s">
        <v>865</v>
      </c>
      <c r="B51" s="222">
        <v>10.47</v>
      </c>
      <c r="C51" s="222">
        <v>10</v>
      </c>
      <c r="D51" s="263">
        <f>(B51*C51)/3600</f>
        <v>2.9083333333333333E-2</v>
      </c>
      <c r="E51" s="262">
        <f>D51*1000</f>
        <v>29.083333333333332</v>
      </c>
    </row>
    <row r="52" spans="1:5" x14ac:dyDescent="0.3">
      <c r="A52" s="222" t="s">
        <v>869</v>
      </c>
      <c r="B52" s="222">
        <v>10.47</v>
      </c>
      <c r="C52" s="222">
        <v>10</v>
      </c>
      <c r="D52" s="263">
        <f t="shared" ref="D52:D79" si="4">(B52*C52)/3600</f>
        <v>2.9083333333333333E-2</v>
      </c>
      <c r="E52" s="262">
        <f t="shared" ref="E52:E79" si="5">D52*1000</f>
        <v>29.083333333333332</v>
      </c>
    </row>
    <row r="53" spans="1:5" x14ac:dyDescent="0.3">
      <c r="A53" s="222" t="s">
        <v>867</v>
      </c>
      <c r="B53" s="222">
        <v>10.47</v>
      </c>
      <c r="C53" s="222">
        <v>10</v>
      </c>
      <c r="D53" s="263">
        <f t="shared" si="4"/>
        <v>2.9083333333333333E-2</v>
      </c>
      <c r="E53" s="262">
        <f t="shared" si="5"/>
        <v>29.083333333333332</v>
      </c>
    </row>
    <row r="54" spans="1:5" x14ac:dyDescent="0.3">
      <c r="A54" s="222" t="s">
        <v>868</v>
      </c>
      <c r="B54" s="222">
        <v>10.47</v>
      </c>
      <c r="C54" s="222">
        <v>10</v>
      </c>
      <c r="D54" s="263">
        <f t="shared" si="4"/>
        <v>2.9083333333333333E-2</v>
      </c>
      <c r="E54" s="262">
        <f t="shared" si="5"/>
        <v>29.083333333333332</v>
      </c>
    </row>
    <row r="55" spans="1:5" x14ac:dyDescent="0.3">
      <c r="A55" s="222" t="s">
        <v>210</v>
      </c>
      <c r="B55" s="222">
        <v>10.462</v>
      </c>
      <c r="C55" s="222">
        <v>10</v>
      </c>
      <c r="D55" s="263">
        <f t="shared" si="4"/>
        <v>2.9061111111111114E-2</v>
      </c>
      <c r="E55" s="262">
        <f t="shared" si="5"/>
        <v>29.061111111111114</v>
      </c>
    </row>
    <row r="56" spans="1:5" x14ac:dyDescent="0.3">
      <c r="A56" s="222" t="s">
        <v>211</v>
      </c>
      <c r="B56" s="222">
        <v>10.474399999999999</v>
      </c>
      <c r="C56" s="222">
        <v>10</v>
      </c>
      <c r="D56" s="263">
        <f t="shared" si="4"/>
        <v>2.9095555555555555E-2</v>
      </c>
      <c r="E56" s="262">
        <f t="shared" si="5"/>
        <v>29.095555555555556</v>
      </c>
    </row>
    <row r="57" spans="1:5" x14ac:dyDescent="0.3">
      <c r="A57" s="222" t="s">
        <v>212</v>
      </c>
      <c r="B57" s="222">
        <v>10.5496</v>
      </c>
      <c r="C57" s="222">
        <v>10</v>
      </c>
      <c r="D57" s="263">
        <f t="shared" si="4"/>
        <v>2.9304444444444442E-2</v>
      </c>
      <c r="E57" s="262">
        <f t="shared" si="5"/>
        <v>29.304444444444442</v>
      </c>
    </row>
    <row r="58" spans="1:5" x14ac:dyDescent="0.3">
      <c r="A58" s="222" t="s">
        <v>204</v>
      </c>
      <c r="B58" s="222">
        <v>9.66</v>
      </c>
      <c r="C58" s="222">
        <v>10</v>
      </c>
      <c r="D58" s="263">
        <f t="shared" si="4"/>
        <v>2.6833333333333331E-2</v>
      </c>
      <c r="E58" s="262">
        <f t="shared" si="5"/>
        <v>26.833333333333332</v>
      </c>
    </row>
    <row r="59" spans="1:5" x14ac:dyDescent="0.3">
      <c r="A59" s="222" t="s">
        <v>213</v>
      </c>
      <c r="B59" s="222">
        <v>10.47</v>
      </c>
      <c r="C59" s="222">
        <v>10</v>
      </c>
      <c r="D59" s="263">
        <f t="shared" si="4"/>
        <v>2.9083333333333333E-2</v>
      </c>
      <c r="E59" s="262">
        <f t="shared" si="5"/>
        <v>29.083333333333332</v>
      </c>
    </row>
    <row r="60" spans="1:5" x14ac:dyDescent="0.3">
      <c r="A60" s="222" t="s">
        <v>214</v>
      </c>
      <c r="B60" s="222">
        <v>10.47</v>
      </c>
      <c r="C60" s="222">
        <v>10</v>
      </c>
      <c r="D60" s="263">
        <f t="shared" si="4"/>
        <v>2.9083333333333333E-2</v>
      </c>
      <c r="E60" s="262">
        <f t="shared" si="5"/>
        <v>29.083333333333332</v>
      </c>
    </row>
    <row r="61" spans="1:5" x14ac:dyDescent="0.3">
      <c r="A61" s="222" t="s">
        <v>209</v>
      </c>
      <c r="B61" s="222">
        <v>10.488799999999999</v>
      </c>
      <c r="C61" s="222">
        <v>10</v>
      </c>
      <c r="D61" s="263">
        <f t="shared" si="4"/>
        <v>2.9135555555555553E-2</v>
      </c>
      <c r="E61" s="262">
        <f t="shared" si="5"/>
        <v>29.135555555555552</v>
      </c>
    </row>
    <row r="62" spans="1:5" x14ac:dyDescent="0.3">
      <c r="A62" s="222" t="s">
        <v>215</v>
      </c>
      <c r="B62" s="222">
        <v>10.485200000000001</v>
      </c>
      <c r="C62" s="222">
        <v>10</v>
      </c>
      <c r="D62" s="263">
        <f t="shared" si="4"/>
        <v>2.9125555555555557E-2</v>
      </c>
      <c r="E62" s="262">
        <f t="shared" si="5"/>
        <v>29.125555555555557</v>
      </c>
    </row>
    <row r="63" spans="1:5" x14ac:dyDescent="0.3">
      <c r="A63" s="222" t="s">
        <v>216</v>
      </c>
      <c r="B63" s="222">
        <v>10.56</v>
      </c>
      <c r="C63" s="222">
        <v>10</v>
      </c>
      <c r="D63" s="263">
        <f t="shared" si="4"/>
        <v>2.9333333333333336E-2</v>
      </c>
      <c r="E63" s="262">
        <f t="shared" si="5"/>
        <v>29.333333333333336</v>
      </c>
    </row>
    <row r="64" spans="1:5" x14ac:dyDescent="0.3">
      <c r="A64" s="222" t="s">
        <v>220</v>
      </c>
      <c r="B64" s="222">
        <v>10.56</v>
      </c>
      <c r="C64" s="222">
        <v>10</v>
      </c>
      <c r="D64" s="263">
        <f t="shared" si="4"/>
        <v>2.9333333333333336E-2</v>
      </c>
      <c r="E64" s="262">
        <f t="shared" si="5"/>
        <v>29.333333333333336</v>
      </c>
    </row>
    <row r="65" spans="1:5" x14ac:dyDescent="0.3">
      <c r="A65" s="222" t="s">
        <v>870</v>
      </c>
      <c r="B65" s="222">
        <v>10.56</v>
      </c>
      <c r="C65" s="222">
        <v>10</v>
      </c>
      <c r="D65" s="263">
        <f t="shared" si="4"/>
        <v>2.9333333333333336E-2</v>
      </c>
      <c r="E65" s="262">
        <f t="shared" si="5"/>
        <v>29.333333333333336</v>
      </c>
    </row>
    <row r="66" spans="1:5" x14ac:dyDescent="0.3">
      <c r="A66" s="222" t="s">
        <v>871</v>
      </c>
      <c r="B66" s="222">
        <v>10.56</v>
      </c>
      <c r="C66" s="222">
        <v>10</v>
      </c>
      <c r="D66" s="263">
        <f t="shared" si="4"/>
        <v>2.9333333333333336E-2</v>
      </c>
      <c r="E66" s="262">
        <f t="shared" si="5"/>
        <v>29.333333333333336</v>
      </c>
    </row>
    <row r="67" spans="1:5" x14ac:dyDescent="0.3">
      <c r="A67" s="222" t="s">
        <v>223</v>
      </c>
      <c r="B67" s="222">
        <v>10.56</v>
      </c>
      <c r="C67" s="222">
        <v>10</v>
      </c>
      <c r="D67" s="263">
        <f t="shared" si="4"/>
        <v>2.9333333333333336E-2</v>
      </c>
      <c r="E67" s="262">
        <f t="shared" si="5"/>
        <v>29.333333333333336</v>
      </c>
    </row>
    <row r="68" spans="1:5" x14ac:dyDescent="0.3">
      <c r="A68" s="222" t="s">
        <v>224</v>
      </c>
      <c r="B68" s="222">
        <v>10.56</v>
      </c>
      <c r="C68" s="222">
        <v>10</v>
      </c>
      <c r="D68" s="263">
        <f t="shared" si="4"/>
        <v>2.9333333333333336E-2</v>
      </c>
      <c r="E68" s="262">
        <f t="shared" si="5"/>
        <v>29.333333333333336</v>
      </c>
    </row>
    <row r="69" spans="1:5" x14ac:dyDescent="0.3">
      <c r="A69" s="222" t="s">
        <v>326</v>
      </c>
      <c r="B69" s="222">
        <v>10.56</v>
      </c>
      <c r="C69" s="222">
        <v>10</v>
      </c>
      <c r="D69" s="263">
        <f t="shared" si="4"/>
        <v>2.9333333333333336E-2</v>
      </c>
      <c r="E69" s="262">
        <f t="shared" si="5"/>
        <v>29.333333333333336</v>
      </c>
    </row>
    <row r="70" spans="1:5" x14ac:dyDescent="0.3">
      <c r="A70" s="222" t="s">
        <v>327</v>
      </c>
      <c r="B70" s="222">
        <v>10.56</v>
      </c>
      <c r="C70" s="222">
        <v>10</v>
      </c>
      <c r="D70" s="263">
        <f t="shared" si="4"/>
        <v>2.9333333333333336E-2</v>
      </c>
      <c r="E70" s="262">
        <f t="shared" si="5"/>
        <v>29.333333333333336</v>
      </c>
    </row>
    <row r="71" spans="1:5" x14ac:dyDescent="0.3">
      <c r="A71" s="222" t="s">
        <v>328</v>
      </c>
      <c r="B71" s="222">
        <v>10.56</v>
      </c>
      <c r="C71" s="222">
        <v>10</v>
      </c>
      <c r="D71" s="263">
        <f t="shared" si="4"/>
        <v>2.9333333333333336E-2</v>
      </c>
      <c r="E71" s="262">
        <f t="shared" si="5"/>
        <v>29.333333333333336</v>
      </c>
    </row>
    <row r="72" spans="1:5" x14ac:dyDescent="0.3">
      <c r="A72" s="222" t="s">
        <v>329</v>
      </c>
      <c r="B72" s="222">
        <v>10.56</v>
      </c>
      <c r="C72" s="222">
        <v>10</v>
      </c>
      <c r="D72" s="263">
        <f t="shared" si="4"/>
        <v>2.9333333333333336E-2</v>
      </c>
      <c r="E72" s="262">
        <f t="shared" si="5"/>
        <v>29.333333333333336</v>
      </c>
    </row>
    <row r="73" spans="1:5" x14ac:dyDescent="0.3">
      <c r="A73" s="222" t="s">
        <v>330</v>
      </c>
      <c r="B73" s="222">
        <v>10.56</v>
      </c>
      <c r="C73" s="222">
        <v>10</v>
      </c>
      <c r="D73" s="263">
        <f t="shared" si="4"/>
        <v>2.9333333333333336E-2</v>
      </c>
      <c r="E73" s="262">
        <f t="shared" si="5"/>
        <v>29.333333333333336</v>
      </c>
    </row>
    <row r="74" spans="1:5" x14ac:dyDescent="0.3">
      <c r="A74" s="222" t="s">
        <v>331</v>
      </c>
      <c r="B74" s="222">
        <v>10.56</v>
      </c>
      <c r="C74" s="222">
        <v>10</v>
      </c>
      <c r="D74" s="263">
        <f t="shared" si="4"/>
        <v>2.9333333333333336E-2</v>
      </c>
      <c r="E74" s="262">
        <f t="shared" si="5"/>
        <v>29.333333333333336</v>
      </c>
    </row>
    <row r="75" spans="1:5" x14ac:dyDescent="0.3">
      <c r="A75" s="222" t="s">
        <v>872</v>
      </c>
      <c r="B75" s="222">
        <v>69.780799999999999</v>
      </c>
      <c r="C75" s="222">
        <v>10</v>
      </c>
      <c r="D75" s="263">
        <f t="shared" si="4"/>
        <v>0.19383555555555557</v>
      </c>
      <c r="E75" s="262">
        <f t="shared" si="5"/>
        <v>193.83555555555557</v>
      </c>
    </row>
    <row r="76" spans="1:5" x14ac:dyDescent="0.3">
      <c r="A76" s="222" t="s">
        <v>57</v>
      </c>
      <c r="B76" s="222">
        <v>69.922399999999996</v>
      </c>
      <c r="C76" s="222">
        <v>10</v>
      </c>
      <c r="D76" s="263">
        <f t="shared" si="4"/>
        <v>0.19422888888888887</v>
      </c>
      <c r="E76" s="262">
        <f t="shared" si="5"/>
        <v>194.22888888888886</v>
      </c>
    </row>
    <row r="77" spans="1:5" x14ac:dyDescent="0.3">
      <c r="A77" s="222" t="s">
        <v>89</v>
      </c>
      <c r="B77" s="222">
        <v>10.56</v>
      </c>
      <c r="C77" s="222">
        <v>10</v>
      </c>
      <c r="D77" s="263">
        <f t="shared" si="4"/>
        <v>2.9333333333333336E-2</v>
      </c>
      <c r="E77" s="262">
        <f t="shared" si="5"/>
        <v>29.333333333333336</v>
      </c>
    </row>
    <row r="78" spans="1:5" x14ac:dyDescent="0.3">
      <c r="A78" s="222" t="s">
        <v>554</v>
      </c>
      <c r="B78" s="222">
        <v>10.8</v>
      </c>
      <c r="C78" s="222">
        <v>10</v>
      </c>
      <c r="D78" s="263">
        <f t="shared" si="4"/>
        <v>0.03</v>
      </c>
      <c r="E78" s="262">
        <f t="shared" si="5"/>
        <v>30</v>
      </c>
    </row>
    <row r="79" spans="1:5" x14ac:dyDescent="0.3">
      <c r="A79" s="222" t="s">
        <v>555</v>
      </c>
      <c r="B79" s="222">
        <v>10.4</v>
      </c>
      <c r="C79" s="222">
        <v>10</v>
      </c>
      <c r="D79" s="263">
        <f t="shared" si="4"/>
        <v>2.8888888888888888E-2</v>
      </c>
      <c r="E79" s="262">
        <f t="shared" si="5"/>
        <v>28.888888888888889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6"/>
  </sheetPr>
  <dimension ref="A1:G45"/>
  <sheetViews>
    <sheetView topLeftCell="A24" workbookViewId="0">
      <selection activeCell="E24" sqref="E24"/>
    </sheetView>
  </sheetViews>
  <sheetFormatPr defaultColWidth="9.109375" defaultRowHeight="15" x14ac:dyDescent="0.3"/>
  <cols>
    <col min="1" max="1" width="20.6640625" style="211" customWidth="1"/>
    <col min="2" max="2" width="20.44140625" style="211" customWidth="1"/>
    <col min="3" max="3" width="20" style="211" customWidth="1"/>
    <col min="4" max="4" width="9.109375" style="211"/>
    <col min="5" max="5" width="20.6640625" style="211" customWidth="1"/>
    <col min="6" max="6" width="18.88671875" style="211" customWidth="1"/>
    <col min="7" max="7" width="20.88671875" style="211" customWidth="1"/>
    <col min="8" max="16384" width="9.109375" style="211"/>
  </cols>
  <sheetData>
    <row r="1" spans="1:7" ht="16.2" thickBot="1" x14ac:dyDescent="0.35">
      <c r="A1" s="352" t="s">
        <v>873</v>
      </c>
      <c r="B1" s="353"/>
      <c r="C1" s="354"/>
      <c r="E1" s="308" t="s">
        <v>874</v>
      </c>
      <c r="F1" s="308"/>
      <c r="G1" s="308"/>
    </row>
    <row r="2" spans="1:7" ht="15.6" x14ac:dyDescent="0.3">
      <c r="A2" s="268" t="s">
        <v>875</v>
      </c>
      <c r="B2" s="268" t="s">
        <v>23</v>
      </c>
      <c r="C2" s="268" t="s">
        <v>24</v>
      </c>
      <c r="E2" s="221" t="s">
        <v>875</v>
      </c>
      <c r="F2" s="221" t="s">
        <v>23</v>
      </c>
      <c r="G2" s="221" t="s">
        <v>24</v>
      </c>
    </row>
    <row r="3" spans="1:7" x14ac:dyDescent="0.3">
      <c r="A3" s="212" t="s">
        <v>876</v>
      </c>
      <c r="B3" s="212">
        <v>1945.68192</v>
      </c>
      <c r="C3" s="212">
        <v>0</v>
      </c>
      <c r="E3" s="212" t="s">
        <v>876</v>
      </c>
      <c r="F3" s="212">
        <v>4465.3239999999996</v>
      </c>
      <c r="G3" s="212">
        <v>0</v>
      </c>
    </row>
    <row r="4" spans="1:7" x14ac:dyDescent="0.3">
      <c r="A4" s="212" t="s">
        <v>877</v>
      </c>
      <c r="B4" s="212">
        <v>962.04399999999998</v>
      </c>
      <c r="C4" s="212">
        <v>0</v>
      </c>
      <c r="E4" s="212" t="s">
        <v>877</v>
      </c>
      <c r="F4" s="212">
        <v>3846.3609999999999</v>
      </c>
      <c r="G4" s="212">
        <v>0</v>
      </c>
    </row>
    <row r="5" spans="1:7" x14ac:dyDescent="0.3">
      <c r="A5" s="212" t="s">
        <v>878</v>
      </c>
      <c r="B5" s="212">
        <v>257.46230000000003</v>
      </c>
      <c r="C5" s="212">
        <v>497.38679999999999</v>
      </c>
      <c r="E5" s="212" t="s">
        <v>878</v>
      </c>
      <c r="F5" s="212">
        <v>0</v>
      </c>
      <c r="G5" s="212">
        <v>0</v>
      </c>
    </row>
    <row r="6" spans="1:7" x14ac:dyDescent="0.3">
      <c r="A6" s="212" t="s">
        <v>879</v>
      </c>
      <c r="B6" s="212">
        <v>1309</v>
      </c>
      <c r="C6" s="212">
        <v>2528.8329600000002</v>
      </c>
      <c r="E6" s="212" t="s">
        <v>879</v>
      </c>
      <c r="F6" s="212">
        <v>2845.6120999999998</v>
      </c>
      <c r="G6" s="212">
        <v>3649.7103000000002</v>
      </c>
    </row>
    <row r="7" spans="1:7" x14ac:dyDescent="0.3">
      <c r="A7" s="212" t="s">
        <v>880</v>
      </c>
      <c r="B7" s="212">
        <v>532.87947999999994</v>
      </c>
      <c r="C7" s="212">
        <v>0</v>
      </c>
      <c r="E7" s="212" t="s">
        <v>880</v>
      </c>
      <c r="F7" s="212">
        <v>9622.2090000000007</v>
      </c>
      <c r="G7" s="212">
        <v>0</v>
      </c>
    </row>
    <row r="8" spans="1:7" x14ac:dyDescent="0.3">
      <c r="A8" s="212" t="s">
        <v>881</v>
      </c>
      <c r="B8" s="212">
        <v>483</v>
      </c>
      <c r="C8" s="212">
        <v>138</v>
      </c>
      <c r="E8" s="212" t="s">
        <v>881</v>
      </c>
      <c r="F8" s="212">
        <v>0</v>
      </c>
      <c r="G8" s="212">
        <v>0</v>
      </c>
    </row>
    <row r="9" spans="1:7" x14ac:dyDescent="0.3">
      <c r="A9" s="212" t="s">
        <v>882</v>
      </c>
      <c r="B9" s="212">
        <v>796.78502000000003</v>
      </c>
      <c r="C9" s="212">
        <v>0</v>
      </c>
      <c r="E9" s="212" t="s">
        <v>882</v>
      </c>
      <c r="F9" s="212">
        <v>0</v>
      </c>
      <c r="G9" s="212">
        <v>0</v>
      </c>
    </row>
    <row r="10" spans="1:7" x14ac:dyDescent="0.3">
      <c r="A10" s="212" t="s">
        <v>883</v>
      </c>
      <c r="B10" s="212">
        <v>5.8940000000000001</v>
      </c>
      <c r="C10" s="212">
        <v>0</v>
      </c>
      <c r="E10" s="212" t="s">
        <v>883</v>
      </c>
      <c r="F10" s="212"/>
      <c r="G10" s="212">
        <v>0</v>
      </c>
    </row>
    <row r="11" spans="1:7" x14ac:dyDescent="0.3">
      <c r="A11" s="212" t="s">
        <v>884</v>
      </c>
      <c r="B11" s="212">
        <v>723.6979</v>
      </c>
      <c r="C11" s="212">
        <v>365.50400000000002</v>
      </c>
      <c r="E11" s="212" t="s">
        <v>884</v>
      </c>
      <c r="F11" s="212">
        <v>19.578240000000001</v>
      </c>
      <c r="G11" s="212">
        <v>9.8879999999999999</v>
      </c>
    </row>
    <row r="12" spans="1:7" ht="15.6" x14ac:dyDescent="0.3">
      <c r="A12" s="212" t="s">
        <v>540</v>
      </c>
      <c r="B12" s="221">
        <f>SUM(B3:B11)</f>
        <v>7016.4446200000002</v>
      </c>
      <c r="C12" s="221">
        <f>SUM(C3:C11)</f>
        <v>3529.7237599999999</v>
      </c>
      <c r="E12" s="212" t="s">
        <v>540</v>
      </c>
      <c r="F12" s="221">
        <f>SUM(F3:F11)</f>
        <v>20799.084339999998</v>
      </c>
      <c r="G12" s="221">
        <f>SUM(G3:G11)</f>
        <v>3659.5983000000001</v>
      </c>
    </row>
    <row r="13" spans="1:7" x14ac:dyDescent="0.3">
      <c r="A13" s="212" t="s">
        <v>885</v>
      </c>
      <c r="B13" s="269">
        <f>SUM(B12:C12)</f>
        <v>10546.168379999999</v>
      </c>
      <c r="C13" s="212"/>
      <c r="E13" s="212" t="s">
        <v>885</v>
      </c>
      <c r="F13" s="269">
        <f>SUM(F12:G12)</f>
        <v>24458.682639999999</v>
      </c>
      <c r="G13" s="212"/>
    </row>
    <row r="16" spans="1:7" ht="15.6" thickBot="1" x14ac:dyDescent="0.35"/>
    <row r="17" spans="1:3" ht="16.2" thickBot="1" x14ac:dyDescent="0.35">
      <c r="A17" s="352" t="s">
        <v>886</v>
      </c>
      <c r="B17" s="353"/>
      <c r="C17" s="354"/>
    </row>
    <row r="18" spans="1:3" ht="15.6" x14ac:dyDescent="0.3">
      <c r="A18" s="268" t="s">
        <v>875</v>
      </c>
      <c r="B18" s="268" t="s">
        <v>23</v>
      </c>
      <c r="C18" s="268" t="s">
        <v>24</v>
      </c>
    </row>
    <row r="19" spans="1:3" x14ac:dyDescent="0.3">
      <c r="A19" s="212" t="s">
        <v>876</v>
      </c>
      <c r="B19" s="212">
        <v>16186.72723</v>
      </c>
      <c r="C19" s="212">
        <v>0</v>
      </c>
    </row>
    <row r="20" spans="1:3" x14ac:dyDescent="0.3">
      <c r="A20" s="212" t="s">
        <v>877</v>
      </c>
      <c r="B20" s="212">
        <v>6662.64419</v>
      </c>
      <c r="C20" s="212">
        <v>0</v>
      </c>
    </row>
    <row r="21" spans="1:3" x14ac:dyDescent="0.3">
      <c r="A21" s="212" t="s">
        <v>878</v>
      </c>
      <c r="B21" s="212">
        <v>3885.6215999999999</v>
      </c>
      <c r="C21" s="212">
        <v>7455.7825000000003</v>
      </c>
    </row>
    <row r="22" spans="1:3" x14ac:dyDescent="0.3">
      <c r="A22" s="212" t="s">
        <v>879</v>
      </c>
      <c r="B22" s="212">
        <v>5884.0320000000002</v>
      </c>
      <c r="C22" s="212">
        <v>11457.012479999999</v>
      </c>
    </row>
    <row r="23" spans="1:3" x14ac:dyDescent="0.3">
      <c r="A23" s="212" t="s">
        <v>880</v>
      </c>
      <c r="B23" s="212">
        <v>7216.6544999999996</v>
      </c>
      <c r="C23" s="212">
        <v>0</v>
      </c>
    </row>
    <row r="24" spans="1:3" x14ac:dyDescent="0.3">
      <c r="A24" s="212" t="s">
        <v>881</v>
      </c>
      <c r="B24" s="212">
        <v>4845.18</v>
      </c>
      <c r="C24" s="212">
        <v>1713.96</v>
      </c>
    </row>
    <row r="25" spans="1:3" x14ac:dyDescent="0.3">
      <c r="A25" s="212" t="s">
        <v>882</v>
      </c>
      <c r="B25" s="212">
        <v>14155.419980000001</v>
      </c>
      <c r="C25" s="212">
        <v>0</v>
      </c>
    </row>
    <row r="26" spans="1:3" x14ac:dyDescent="0.3">
      <c r="A26" s="212" t="s">
        <v>883</v>
      </c>
      <c r="B26" s="212">
        <v>1130.0429999999999</v>
      </c>
      <c r="C26" s="212">
        <v>0</v>
      </c>
    </row>
    <row r="27" spans="1:3" x14ac:dyDescent="0.3">
      <c r="A27" s="212" t="s">
        <v>884</v>
      </c>
      <c r="B27" s="212">
        <v>380.20432599999998</v>
      </c>
      <c r="C27" s="212">
        <v>1920.2239999999999</v>
      </c>
    </row>
    <row r="28" spans="1:3" ht="15.6" x14ac:dyDescent="0.3">
      <c r="A28" s="212" t="s">
        <v>540</v>
      </c>
      <c r="B28" s="221">
        <f>SUM(B19:B27)</f>
        <v>60346.526825999994</v>
      </c>
      <c r="C28" s="221">
        <f>SUM(C19:C27)</f>
        <v>22546.978979999996</v>
      </c>
    </row>
    <row r="29" spans="1:3" x14ac:dyDescent="0.3">
      <c r="A29" s="212" t="s">
        <v>885</v>
      </c>
      <c r="B29" s="269">
        <f>SUM(B28,C28)</f>
        <v>82893.505805999986</v>
      </c>
      <c r="C29" s="212"/>
    </row>
    <row r="31" spans="1:3" ht="15.6" thickBot="1" x14ac:dyDescent="0.35"/>
    <row r="32" spans="1:3" ht="16.2" thickBot="1" x14ac:dyDescent="0.35">
      <c r="A32" s="352" t="s">
        <v>887</v>
      </c>
      <c r="B32" s="353"/>
      <c r="C32" s="354"/>
    </row>
    <row r="33" spans="1:3" ht="15.6" x14ac:dyDescent="0.3">
      <c r="A33" s="268" t="s">
        <v>875</v>
      </c>
      <c r="B33" s="268" t="s">
        <v>23</v>
      </c>
      <c r="C33" s="268" t="s">
        <v>24</v>
      </c>
    </row>
    <row r="34" spans="1:3" x14ac:dyDescent="0.3">
      <c r="A34" s="212" t="s">
        <v>876</v>
      </c>
      <c r="B34" s="212">
        <v>16630.034469999999</v>
      </c>
      <c r="C34" s="212">
        <v>0</v>
      </c>
    </row>
    <row r="35" spans="1:3" x14ac:dyDescent="0.3">
      <c r="A35" s="212" t="s">
        <v>877</v>
      </c>
      <c r="B35" s="212">
        <v>5175.5414000000001</v>
      </c>
      <c r="C35" s="212">
        <v>0</v>
      </c>
    </row>
    <row r="36" spans="1:3" x14ac:dyDescent="0.3">
      <c r="A36" s="212" t="s">
        <v>878</v>
      </c>
      <c r="B36" s="212">
        <v>1180.8</v>
      </c>
      <c r="C36" s="212">
        <v>2558.9119999999998</v>
      </c>
    </row>
    <row r="37" spans="1:3" x14ac:dyDescent="0.3">
      <c r="A37" s="212" t="s">
        <v>879</v>
      </c>
      <c r="B37" s="212">
        <v>2069.7600000000002</v>
      </c>
      <c r="C37" s="212">
        <v>4244.8881600000004</v>
      </c>
    </row>
    <row r="38" spans="1:3" x14ac:dyDescent="0.3">
      <c r="A38" s="212" t="s">
        <v>880</v>
      </c>
      <c r="B38" s="212">
        <v>2511.8670000000002</v>
      </c>
      <c r="C38" s="212">
        <v>0</v>
      </c>
    </row>
    <row r="39" spans="1:3" x14ac:dyDescent="0.3">
      <c r="A39" s="212" t="s">
        <v>881</v>
      </c>
      <c r="B39" s="212">
        <v>1104</v>
      </c>
      <c r="C39" s="212">
        <v>36.799999999999997</v>
      </c>
    </row>
    <row r="40" spans="1:3" x14ac:dyDescent="0.3">
      <c r="A40" s="212" t="s">
        <v>882</v>
      </c>
      <c r="B40" s="212">
        <v>3602.335</v>
      </c>
      <c r="C40" s="212">
        <v>0</v>
      </c>
    </row>
    <row r="41" spans="1:3" x14ac:dyDescent="0.3">
      <c r="A41" s="212" t="s">
        <v>883</v>
      </c>
      <c r="B41" s="212">
        <v>11.986000000000001</v>
      </c>
      <c r="C41" s="212">
        <v>0</v>
      </c>
    </row>
    <row r="42" spans="1:3" x14ac:dyDescent="0.3">
      <c r="A42" s="212" t="s">
        <v>884</v>
      </c>
      <c r="B42" s="212">
        <v>901.92960000000005</v>
      </c>
      <c r="C42" s="212">
        <v>455.52</v>
      </c>
    </row>
    <row r="43" spans="1:3" x14ac:dyDescent="0.3">
      <c r="A43" s="212"/>
      <c r="B43" s="212"/>
      <c r="C43" s="212"/>
    </row>
    <row r="44" spans="1:3" ht="15.6" x14ac:dyDescent="0.3">
      <c r="A44" s="212" t="s">
        <v>540</v>
      </c>
      <c r="B44" s="221">
        <f>SUM(B34:B42)</f>
        <v>33188.253469999996</v>
      </c>
      <c r="C44" s="221">
        <f>SUM(C34:C42)</f>
        <v>7296.1201600000004</v>
      </c>
    </row>
    <row r="45" spans="1:3" x14ac:dyDescent="0.3">
      <c r="A45" s="212" t="s">
        <v>885</v>
      </c>
      <c r="B45" s="269">
        <f>SUM(B44:C44)</f>
        <v>40484.373629999995</v>
      </c>
      <c r="C45" s="212"/>
    </row>
  </sheetData>
  <mergeCells count="4">
    <mergeCell ref="A1:C1"/>
    <mergeCell ref="E1:G1"/>
    <mergeCell ref="A17:C17"/>
    <mergeCell ref="A32:C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59999389629810485"/>
  </sheetPr>
  <dimension ref="A1:G44"/>
  <sheetViews>
    <sheetView topLeftCell="B1" workbookViewId="0">
      <selection activeCell="H22" sqref="H22"/>
    </sheetView>
  </sheetViews>
  <sheetFormatPr defaultColWidth="9.109375" defaultRowHeight="15" x14ac:dyDescent="0.3"/>
  <cols>
    <col min="1" max="1" width="21.6640625" style="211" customWidth="1"/>
    <col min="2" max="2" width="22.109375" style="211" customWidth="1"/>
    <col min="3" max="3" width="34.109375" style="211" customWidth="1"/>
    <col min="4" max="4" width="9.109375" style="211"/>
    <col min="5" max="5" width="24.109375" style="211" customWidth="1"/>
    <col min="6" max="6" width="17" style="211" customWidth="1"/>
    <col min="7" max="7" width="14.33203125" style="211" customWidth="1"/>
    <col min="8" max="16384" width="9.109375" style="211"/>
  </cols>
  <sheetData>
    <row r="1" spans="1:7" ht="16.2" thickBot="1" x14ac:dyDescent="0.35">
      <c r="A1" s="352" t="s">
        <v>888</v>
      </c>
      <c r="B1" s="355"/>
      <c r="C1" s="356"/>
      <c r="E1" s="357" t="s">
        <v>874</v>
      </c>
      <c r="F1" s="357"/>
      <c r="G1" s="357"/>
    </row>
    <row r="2" spans="1:7" ht="15.6" x14ac:dyDescent="0.3">
      <c r="A2" s="268" t="s">
        <v>875</v>
      </c>
      <c r="B2" s="268" t="s">
        <v>23</v>
      </c>
      <c r="C2" s="268" t="s">
        <v>24</v>
      </c>
      <c r="E2" s="212" t="s">
        <v>875</v>
      </c>
      <c r="F2" s="212" t="s">
        <v>23</v>
      </c>
      <c r="G2" s="212" t="s">
        <v>24</v>
      </c>
    </row>
    <row r="3" spans="1:7" x14ac:dyDescent="0.3">
      <c r="A3" s="212" t="s">
        <v>876</v>
      </c>
      <c r="B3" s="212">
        <v>2286.7930080000001</v>
      </c>
      <c r="C3" s="212" t="s">
        <v>889</v>
      </c>
      <c r="E3" s="212" t="s">
        <v>876</v>
      </c>
      <c r="F3" s="212">
        <v>4211.4145369999997</v>
      </c>
      <c r="G3" s="212">
        <v>0</v>
      </c>
    </row>
    <row r="4" spans="1:7" x14ac:dyDescent="0.3">
      <c r="A4" s="212" t="s">
        <v>877</v>
      </c>
      <c r="B4" s="212">
        <v>0</v>
      </c>
      <c r="C4" s="212" t="s">
        <v>889</v>
      </c>
      <c r="E4" s="212" t="s">
        <v>877</v>
      </c>
      <c r="F4" s="212">
        <v>883.63481000000002</v>
      </c>
      <c r="G4" s="212">
        <v>0</v>
      </c>
    </row>
    <row r="5" spans="1:7" x14ac:dyDescent="0.3">
      <c r="A5" s="212" t="s">
        <v>878</v>
      </c>
      <c r="B5" s="212">
        <v>406.84581020000002</v>
      </c>
      <c r="C5" s="212">
        <v>787.25577209999994</v>
      </c>
      <c r="E5" s="212" t="s">
        <v>878</v>
      </c>
      <c r="F5" s="212">
        <v>2663.3</v>
      </c>
      <c r="G5" s="212">
        <v>3421.44</v>
      </c>
    </row>
    <row r="6" spans="1:7" x14ac:dyDescent="0.3">
      <c r="A6" s="212" t="s">
        <v>879</v>
      </c>
      <c r="B6" s="212">
        <v>3757.6</v>
      </c>
      <c r="C6" s="212">
        <v>7259.2370000000001</v>
      </c>
      <c r="E6" s="212" t="s">
        <v>879</v>
      </c>
      <c r="F6" s="212">
        <v>0</v>
      </c>
      <c r="G6" s="212">
        <v>0</v>
      </c>
    </row>
    <row r="7" spans="1:7" x14ac:dyDescent="0.3">
      <c r="A7" s="212" t="s">
        <v>880</v>
      </c>
      <c r="B7" s="212">
        <v>641.70979999999997</v>
      </c>
      <c r="C7" s="212">
        <v>0</v>
      </c>
      <c r="E7" s="212" t="s">
        <v>880</v>
      </c>
      <c r="F7" s="212">
        <v>7532.7139999999999</v>
      </c>
      <c r="G7" s="212">
        <v>0</v>
      </c>
    </row>
    <row r="8" spans="1:7" x14ac:dyDescent="0.3">
      <c r="A8" s="212" t="s">
        <v>881</v>
      </c>
      <c r="B8" s="212">
        <v>3867</v>
      </c>
      <c r="C8" s="212">
        <v>1500</v>
      </c>
      <c r="E8" s="212" t="s">
        <v>881</v>
      </c>
      <c r="F8" s="212">
        <v>0</v>
      </c>
      <c r="G8" s="212"/>
    </row>
    <row r="9" spans="1:7" x14ac:dyDescent="0.3">
      <c r="A9" s="212" t="s">
        <v>882</v>
      </c>
      <c r="B9" s="212">
        <v>1935.096</v>
      </c>
      <c r="C9" s="212">
        <v>0</v>
      </c>
      <c r="E9" s="212" t="s">
        <v>882</v>
      </c>
      <c r="F9" s="212">
        <v>0</v>
      </c>
      <c r="G9" s="212">
        <v>0</v>
      </c>
    </row>
    <row r="10" spans="1:7" x14ac:dyDescent="0.3">
      <c r="A10" s="212" t="s">
        <v>883</v>
      </c>
      <c r="B10" s="212">
        <v>110</v>
      </c>
      <c r="C10" s="212">
        <v>0</v>
      </c>
      <c r="E10" s="212" t="s">
        <v>883</v>
      </c>
      <c r="F10" s="212"/>
      <c r="G10" s="212">
        <v>0</v>
      </c>
    </row>
    <row r="11" spans="1:7" x14ac:dyDescent="0.3">
      <c r="A11" s="212" t="s">
        <v>884</v>
      </c>
      <c r="B11" s="212">
        <v>1474.13372</v>
      </c>
      <c r="C11" s="212">
        <v>744.51199999999994</v>
      </c>
      <c r="E11" s="212" t="s">
        <v>884</v>
      </c>
      <c r="F11" s="212">
        <v>14.50944</v>
      </c>
      <c r="G11" s="212">
        <v>7.3280000000000003</v>
      </c>
    </row>
    <row r="12" spans="1:7" ht="15.6" x14ac:dyDescent="0.3">
      <c r="A12" s="212" t="s">
        <v>540</v>
      </c>
      <c r="B12" s="212">
        <f>SUM(B3:B11)</f>
        <v>14479.178338199999</v>
      </c>
      <c r="C12" s="212">
        <f>SUM(C3:C11)</f>
        <v>10291.004772100001</v>
      </c>
      <c r="E12" s="212" t="s">
        <v>540</v>
      </c>
      <c r="F12" s="221">
        <f>SUM(F3:F11)</f>
        <v>15305.572786999999</v>
      </c>
      <c r="G12" s="221">
        <f>SUM(G3:G11)</f>
        <v>3428.768</v>
      </c>
    </row>
    <row r="13" spans="1:7" x14ac:dyDescent="0.3">
      <c r="A13" s="212" t="s">
        <v>885</v>
      </c>
      <c r="B13" s="269">
        <f>SUM(B12:C12)</f>
        <v>24770.1831103</v>
      </c>
      <c r="C13" s="212"/>
      <c r="E13" s="212" t="s">
        <v>885</v>
      </c>
      <c r="F13" s="269">
        <f>SUM(F12:G12)</f>
        <v>18734.340787000001</v>
      </c>
      <c r="G13" s="212"/>
    </row>
    <row r="15" spans="1:7" ht="15.6" thickBot="1" x14ac:dyDescent="0.35"/>
    <row r="16" spans="1:7" ht="16.2" thickBot="1" x14ac:dyDescent="0.35">
      <c r="A16" s="352" t="s">
        <v>890</v>
      </c>
      <c r="B16" s="353"/>
      <c r="C16" s="354"/>
    </row>
    <row r="17" spans="1:4" ht="15.6" x14ac:dyDescent="0.3">
      <c r="A17" s="268" t="s">
        <v>875</v>
      </c>
      <c r="B17" s="268" t="s">
        <v>23</v>
      </c>
      <c r="C17" s="268" t="s">
        <v>24</v>
      </c>
    </row>
    <row r="18" spans="1:4" x14ac:dyDescent="0.3">
      <c r="A18" s="212" t="s">
        <v>876</v>
      </c>
      <c r="B18" s="212">
        <v>18499.329959999999</v>
      </c>
      <c r="C18" s="212">
        <v>0</v>
      </c>
    </row>
    <row r="19" spans="1:4" x14ac:dyDescent="0.3">
      <c r="A19" s="212" t="s">
        <v>877</v>
      </c>
      <c r="B19" s="212">
        <v>11264.605</v>
      </c>
      <c r="C19" s="212">
        <v>0</v>
      </c>
    </row>
    <row r="20" spans="1:4" x14ac:dyDescent="0.3">
      <c r="A20" s="212" t="s">
        <v>878</v>
      </c>
      <c r="B20" s="212">
        <v>3339.8874999999998</v>
      </c>
      <c r="C20" s="212">
        <v>6560.8163000000004</v>
      </c>
    </row>
    <row r="21" spans="1:4" x14ac:dyDescent="0.3">
      <c r="A21" s="212" t="s">
        <v>879</v>
      </c>
      <c r="B21" s="212">
        <v>15796.7</v>
      </c>
      <c r="C21" s="212">
        <v>30952.756399999998</v>
      </c>
    </row>
    <row r="22" spans="1:4" x14ac:dyDescent="0.3">
      <c r="A22" s="212" t="s">
        <v>880</v>
      </c>
      <c r="B22" s="212">
        <v>8698.5097000000005</v>
      </c>
      <c r="C22" s="212">
        <v>0</v>
      </c>
      <c r="D22" s="270"/>
    </row>
    <row r="23" spans="1:4" x14ac:dyDescent="0.3">
      <c r="A23" s="212" t="s">
        <v>881</v>
      </c>
      <c r="B23" s="212">
        <v>3959.9</v>
      </c>
      <c r="C23" s="212">
        <v>4052.5</v>
      </c>
    </row>
    <row r="24" spans="1:4" x14ac:dyDescent="0.3">
      <c r="A24" s="212" t="s">
        <v>891</v>
      </c>
      <c r="B24" s="212">
        <v>15295</v>
      </c>
      <c r="C24" s="212">
        <v>0</v>
      </c>
    </row>
    <row r="25" spans="1:4" x14ac:dyDescent="0.3">
      <c r="A25" s="212" t="s">
        <v>892</v>
      </c>
      <c r="B25" s="212">
        <v>1021.74384</v>
      </c>
      <c r="C25" s="212">
        <v>0</v>
      </c>
    </row>
    <row r="26" spans="1:4" x14ac:dyDescent="0.3">
      <c r="A26" s="212" t="s">
        <v>884</v>
      </c>
      <c r="B26" s="212">
        <v>1927.9424300000001</v>
      </c>
      <c r="C26" s="212">
        <v>973.64480000000003</v>
      </c>
    </row>
    <row r="27" spans="1:4" x14ac:dyDescent="0.3">
      <c r="A27" s="212"/>
      <c r="B27" s="212"/>
      <c r="C27" s="212"/>
    </row>
    <row r="28" spans="1:4" x14ac:dyDescent="0.3">
      <c r="A28" s="212" t="s">
        <v>540</v>
      </c>
      <c r="B28" s="212">
        <f>SUM(B18:B26)</f>
        <v>79803.618429999988</v>
      </c>
      <c r="C28" s="212">
        <f>SUM(C18:C26)</f>
        <v>42539.717499999999</v>
      </c>
    </row>
    <row r="29" spans="1:4" x14ac:dyDescent="0.3">
      <c r="A29" s="212" t="s">
        <v>885</v>
      </c>
      <c r="B29" s="269">
        <f>SUM(B28,C28)</f>
        <v>122343.33592999999</v>
      </c>
      <c r="C29" s="212"/>
    </row>
    <row r="31" spans="1:4" ht="15.6" thickBot="1" x14ac:dyDescent="0.35"/>
    <row r="32" spans="1:4" ht="16.2" thickBot="1" x14ac:dyDescent="0.35">
      <c r="A32" s="352" t="s">
        <v>893</v>
      </c>
      <c r="B32" s="353"/>
      <c r="C32" s="354"/>
    </row>
    <row r="33" spans="1:3" ht="15.6" x14ac:dyDescent="0.3">
      <c r="A33" s="268" t="s">
        <v>875</v>
      </c>
      <c r="B33" s="268" t="s">
        <v>23</v>
      </c>
      <c r="C33" s="268" t="s">
        <v>24</v>
      </c>
    </row>
    <row r="34" spans="1:3" x14ac:dyDescent="0.3">
      <c r="A34" s="212" t="s">
        <v>876</v>
      </c>
      <c r="B34" s="212">
        <v>4579.7524960000001</v>
      </c>
      <c r="C34" s="212">
        <v>0</v>
      </c>
    </row>
    <row r="35" spans="1:3" x14ac:dyDescent="0.3">
      <c r="A35" s="212" t="s">
        <v>877</v>
      </c>
      <c r="B35" s="212">
        <v>2949.2208000000001</v>
      </c>
      <c r="C35" s="212">
        <v>0</v>
      </c>
    </row>
    <row r="36" spans="1:3" x14ac:dyDescent="0.3">
      <c r="A36" s="212" t="s">
        <v>878</v>
      </c>
      <c r="B36" s="212">
        <v>577.84169999999995</v>
      </c>
      <c r="C36" s="212">
        <v>1187.028</v>
      </c>
    </row>
    <row r="37" spans="1:3" x14ac:dyDescent="0.3">
      <c r="A37" s="212" t="s">
        <v>879</v>
      </c>
      <c r="B37" s="212">
        <v>614.46</v>
      </c>
      <c r="C37" s="212">
        <v>1260.2016000000001</v>
      </c>
    </row>
    <row r="38" spans="1:3" x14ac:dyDescent="0.3">
      <c r="A38" s="212" t="s">
        <v>880</v>
      </c>
      <c r="B38" s="212">
        <v>524.08590000000004</v>
      </c>
      <c r="C38" s="212">
        <v>0</v>
      </c>
    </row>
    <row r="39" spans="1:3" x14ac:dyDescent="0.3">
      <c r="A39" s="212" t="s">
        <v>881</v>
      </c>
      <c r="B39" s="212">
        <v>938.4</v>
      </c>
      <c r="C39" s="212">
        <v>880</v>
      </c>
    </row>
    <row r="40" spans="1:3" x14ac:dyDescent="0.3">
      <c r="A40" s="212" t="s">
        <v>882</v>
      </c>
      <c r="B40" s="212">
        <v>2660.4920200000001</v>
      </c>
      <c r="C40" s="212">
        <v>0</v>
      </c>
    </row>
    <row r="41" spans="1:3" x14ac:dyDescent="0.3">
      <c r="A41" s="212" t="s">
        <v>883</v>
      </c>
      <c r="B41" s="212">
        <v>98.076160000000002</v>
      </c>
      <c r="C41" s="212">
        <v>0</v>
      </c>
    </row>
    <row r="42" spans="1:3" x14ac:dyDescent="0.3">
      <c r="A42" s="212" t="s">
        <v>884</v>
      </c>
      <c r="B42" s="212">
        <v>68.365440000000007</v>
      </c>
      <c r="C42" s="212">
        <v>34.527999999999999</v>
      </c>
    </row>
    <row r="43" spans="1:3" x14ac:dyDescent="0.3">
      <c r="A43" s="212" t="s">
        <v>540</v>
      </c>
      <c r="B43" s="212">
        <f>SUM(B34:B42)</f>
        <v>13010.694516</v>
      </c>
      <c r="C43" s="212">
        <f>SUM(C34:C42)</f>
        <v>3361.7575999999999</v>
      </c>
    </row>
    <row r="44" spans="1:3" x14ac:dyDescent="0.3">
      <c r="A44" s="212" t="s">
        <v>885</v>
      </c>
      <c r="B44" s="269">
        <f>SUM(B43:C43)</f>
        <v>16372.452116</v>
      </c>
      <c r="C44" s="212"/>
    </row>
  </sheetData>
  <mergeCells count="4">
    <mergeCell ref="A1:C1"/>
    <mergeCell ref="E1:G1"/>
    <mergeCell ref="A16:C16"/>
    <mergeCell ref="A32:C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K48"/>
  <sheetViews>
    <sheetView zoomScale="85" zoomScaleNormal="85" workbookViewId="0">
      <selection activeCell="I21" sqref="I21"/>
    </sheetView>
  </sheetViews>
  <sheetFormatPr defaultColWidth="9.109375" defaultRowHeight="15" x14ac:dyDescent="0.25"/>
  <cols>
    <col min="1" max="1" width="21.44140625" style="264" customWidth="1"/>
    <col min="2" max="2" width="18.109375" style="264" customWidth="1"/>
    <col min="3" max="3" width="19.88671875" style="264" customWidth="1"/>
    <col min="4" max="4" width="9.109375" style="264"/>
    <col min="5" max="5" width="22" style="264" customWidth="1"/>
    <col min="6" max="6" width="9.109375" style="264"/>
    <col min="7" max="7" width="9.109375" style="264" customWidth="1"/>
    <col min="8" max="16384" width="9.109375" style="264"/>
  </cols>
  <sheetData>
    <row r="1" spans="1:11" ht="15.6" x14ac:dyDescent="0.3">
      <c r="A1" s="358" t="s">
        <v>894</v>
      </c>
      <c r="B1" s="358"/>
      <c r="C1" s="358"/>
      <c r="E1" s="358" t="s">
        <v>895</v>
      </c>
      <c r="F1" s="358"/>
      <c r="G1" s="358"/>
      <c r="H1" s="271"/>
      <c r="I1" s="271"/>
      <c r="J1" s="271"/>
      <c r="K1" s="271"/>
    </row>
    <row r="2" spans="1:11" x14ac:dyDescent="0.25">
      <c r="A2" s="241" t="s">
        <v>875</v>
      </c>
      <c r="B2" s="241" t="s">
        <v>23</v>
      </c>
      <c r="C2" s="241" t="s">
        <v>24</v>
      </c>
      <c r="E2" s="241" t="s">
        <v>875</v>
      </c>
      <c r="F2" s="241" t="s">
        <v>23</v>
      </c>
      <c r="G2" s="241" t="s">
        <v>24</v>
      </c>
    </row>
    <row r="3" spans="1:11" x14ac:dyDescent="0.25">
      <c r="A3" s="241" t="s">
        <v>876</v>
      </c>
      <c r="B3" s="241">
        <v>0</v>
      </c>
      <c r="C3" s="241" t="s">
        <v>889</v>
      </c>
      <c r="E3" s="241" t="s">
        <v>876</v>
      </c>
      <c r="F3" s="241">
        <v>12290.42318</v>
      </c>
      <c r="G3" s="241">
        <v>0</v>
      </c>
    </row>
    <row r="4" spans="1:11" x14ac:dyDescent="0.25">
      <c r="A4" s="241" t="s">
        <v>877</v>
      </c>
      <c r="B4" s="241">
        <v>0</v>
      </c>
      <c r="C4" s="241" t="s">
        <v>889</v>
      </c>
      <c r="E4" s="241" t="s">
        <v>877</v>
      </c>
      <c r="F4" s="241">
        <v>884.53161</v>
      </c>
      <c r="G4" s="241">
        <v>0</v>
      </c>
    </row>
    <row r="5" spans="1:11" x14ac:dyDescent="0.25">
      <c r="A5" s="241" t="s">
        <v>878</v>
      </c>
      <c r="B5" s="241">
        <v>0</v>
      </c>
      <c r="C5" s="241">
        <v>0</v>
      </c>
      <c r="E5" s="241" t="s">
        <v>878</v>
      </c>
      <c r="F5" s="241">
        <v>1612.9580000000001</v>
      </c>
      <c r="G5" s="241">
        <v>3819.2109999999998</v>
      </c>
    </row>
    <row r="6" spans="1:11" x14ac:dyDescent="0.25">
      <c r="A6" s="241" t="s">
        <v>879</v>
      </c>
      <c r="B6" s="241">
        <v>0</v>
      </c>
      <c r="C6" s="241">
        <v>0</v>
      </c>
      <c r="E6" s="241" t="s">
        <v>879</v>
      </c>
      <c r="F6" s="241">
        <v>0</v>
      </c>
      <c r="G6" s="241">
        <v>0</v>
      </c>
    </row>
    <row r="7" spans="1:11" x14ac:dyDescent="0.25">
      <c r="A7" s="241" t="s">
        <v>880</v>
      </c>
      <c r="B7" s="241">
        <v>0</v>
      </c>
      <c r="C7" s="241">
        <v>0</v>
      </c>
      <c r="E7" s="241" t="s">
        <v>880</v>
      </c>
      <c r="F7" s="241">
        <v>13863.65</v>
      </c>
      <c r="G7" s="241">
        <v>0</v>
      </c>
    </row>
    <row r="8" spans="1:11" x14ac:dyDescent="0.25">
      <c r="A8" s="241" t="s">
        <v>881</v>
      </c>
      <c r="B8" s="241">
        <v>0</v>
      </c>
      <c r="C8" s="241"/>
      <c r="E8" s="241" t="s">
        <v>881</v>
      </c>
      <c r="F8" s="241">
        <v>0</v>
      </c>
      <c r="G8" s="241">
        <v>0</v>
      </c>
    </row>
    <row r="9" spans="1:11" x14ac:dyDescent="0.25">
      <c r="A9" s="241" t="s">
        <v>896</v>
      </c>
      <c r="B9" s="241">
        <v>0</v>
      </c>
      <c r="C9" s="241"/>
      <c r="E9" s="241" t="s">
        <v>882</v>
      </c>
      <c r="F9" s="241">
        <v>0</v>
      </c>
      <c r="G9" s="241">
        <v>0</v>
      </c>
    </row>
    <row r="10" spans="1:11" x14ac:dyDescent="0.25">
      <c r="A10" s="241" t="s">
        <v>884</v>
      </c>
      <c r="B10" s="241">
        <v>0</v>
      </c>
      <c r="C10" s="241"/>
      <c r="E10" s="241" t="s">
        <v>883</v>
      </c>
      <c r="F10" s="241"/>
      <c r="G10" s="241">
        <v>0</v>
      </c>
    </row>
    <row r="11" spans="1:11" x14ac:dyDescent="0.25">
      <c r="A11" s="241"/>
      <c r="B11" s="241"/>
      <c r="C11" s="241"/>
      <c r="E11" s="241" t="s">
        <v>884</v>
      </c>
      <c r="F11" s="241">
        <v>30.400130000000001</v>
      </c>
      <c r="G11" s="241">
        <v>15.3536</v>
      </c>
    </row>
    <row r="12" spans="1:11" x14ac:dyDescent="0.25">
      <c r="A12" s="241" t="s">
        <v>540</v>
      </c>
      <c r="B12" s="241">
        <v>0</v>
      </c>
      <c r="C12" s="241"/>
      <c r="E12" s="241"/>
      <c r="F12" s="241"/>
      <c r="G12" s="241"/>
    </row>
    <row r="13" spans="1:11" ht="15.6" x14ac:dyDescent="0.3">
      <c r="A13" s="241" t="s">
        <v>885</v>
      </c>
      <c r="B13" s="241">
        <v>0</v>
      </c>
      <c r="C13" s="241"/>
      <c r="E13" s="241" t="s">
        <v>540</v>
      </c>
      <c r="F13" s="266">
        <f>SUM(F3:F11)</f>
        <v>28681.962920000002</v>
      </c>
      <c r="G13" s="266">
        <f>SUM(G3:G11)</f>
        <v>3834.5645999999997</v>
      </c>
    </row>
    <row r="14" spans="1:11" x14ac:dyDescent="0.25">
      <c r="E14" s="241" t="s">
        <v>885</v>
      </c>
      <c r="F14" s="267">
        <f>SUM(F13:G13)</f>
        <v>32516.527520000003</v>
      </c>
      <c r="G14" s="241"/>
    </row>
    <row r="16" spans="1:11" ht="15.6" thickBot="1" x14ac:dyDescent="0.3"/>
    <row r="17" spans="1:3" ht="16.2" thickBot="1" x14ac:dyDescent="0.35">
      <c r="A17" s="359" t="s">
        <v>897</v>
      </c>
      <c r="B17" s="360"/>
      <c r="C17" s="361"/>
    </row>
    <row r="18" spans="1:3" ht="15.6" x14ac:dyDescent="0.3">
      <c r="A18" s="265" t="s">
        <v>875</v>
      </c>
      <c r="B18" s="265" t="s">
        <v>23</v>
      </c>
      <c r="C18" s="265" t="s">
        <v>24</v>
      </c>
    </row>
    <row r="19" spans="1:3" x14ac:dyDescent="0.25">
      <c r="A19" s="241" t="s">
        <v>876</v>
      </c>
      <c r="B19" s="241">
        <v>24827.88391</v>
      </c>
      <c r="C19" s="241">
        <v>0</v>
      </c>
    </row>
    <row r="20" spans="1:3" x14ac:dyDescent="0.25">
      <c r="A20" s="241" t="s">
        <v>898</v>
      </c>
      <c r="B20" s="241">
        <v>27420.0353</v>
      </c>
      <c r="C20" s="241">
        <v>0</v>
      </c>
    </row>
    <row r="21" spans="1:3" x14ac:dyDescent="0.25">
      <c r="A21" s="241" t="s">
        <v>877</v>
      </c>
      <c r="B21" s="241">
        <v>11472.723</v>
      </c>
      <c r="C21" s="241">
        <v>0</v>
      </c>
    </row>
    <row r="22" spans="1:3" x14ac:dyDescent="0.25">
      <c r="A22" s="241" t="s">
        <v>878</v>
      </c>
      <c r="B22" s="241">
        <v>2478.2697199999998</v>
      </c>
      <c r="C22" s="241">
        <v>5099.3606799999998</v>
      </c>
    </row>
    <row r="23" spans="1:3" x14ac:dyDescent="0.25">
      <c r="A23" s="241" t="s">
        <v>879</v>
      </c>
      <c r="B23" s="241">
        <v>13106.018</v>
      </c>
      <c r="C23" s="241">
        <v>26381.302640000002</v>
      </c>
    </row>
    <row r="24" spans="1:3" x14ac:dyDescent="0.25">
      <c r="A24" s="241" t="s">
        <v>880</v>
      </c>
      <c r="B24" s="241">
        <v>6378.5020000000004</v>
      </c>
      <c r="C24" s="241">
        <v>0</v>
      </c>
    </row>
    <row r="25" spans="1:3" x14ac:dyDescent="0.25">
      <c r="A25" s="241" t="s">
        <v>881</v>
      </c>
      <c r="B25" s="241">
        <v>4519.5</v>
      </c>
      <c r="C25" s="241">
        <v>2132.1</v>
      </c>
    </row>
    <row r="26" spans="1:3" x14ac:dyDescent="0.25">
      <c r="A26" s="241" t="s">
        <v>882</v>
      </c>
      <c r="B26" s="241">
        <v>11615.785</v>
      </c>
      <c r="C26" s="241">
        <v>0</v>
      </c>
    </row>
    <row r="27" spans="1:3" x14ac:dyDescent="0.25">
      <c r="A27" s="241" t="s">
        <v>883</v>
      </c>
      <c r="B27" s="241">
        <v>1000.65112</v>
      </c>
      <c r="C27" s="241">
        <v>0</v>
      </c>
    </row>
    <row r="28" spans="1:3" x14ac:dyDescent="0.25">
      <c r="A28" s="241" t="s">
        <v>884</v>
      </c>
      <c r="B28" s="241">
        <v>2157.1738700000001</v>
      </c>
      <c r="C28" s="241">
        <v>1089.4816000000001</v>
      </c>
    </row>
    <row r="29" spans="1:3" x14ac:dyDescent="0.25">
      <c r="A29" s="241"/>
      <c r="B29" s="241"/>
      <c r="C29" s="241"/>
    </row>
    <row r="30" spans="1:3" x14ac:dyDescent="0.25">
      <c r="A30" s="241" t="s">
        <v>540</v>
      </c>
      <c r="B30" s="241">
        <f>SUM(B19:B28)</f>
        <v>104976.54191999999</v>
      </c>
      <c r="C30" s="241">
        <f>SUM(C19:C28)</f>
        <v>34702.244919999997</v>
      </c>
    </row>
    <row r="31" spans="1:3" x14ac:dyDescent="0.25">
      <c r="A31" s="241" t="s">
        <v>885</v>
      </c>
      <c r="B31" s="267">
        <f>SUM(B30,C30)</f>
        <v>139678.78683999999</v>
      </c>
      <c r="C31" s="241"/>
    </row>
    <row r="33" spans="1:3" ht="15.6" thickBot="1" x14ac:dyDescent="0.3"/>
    <row r="34" spans="1:3" ht="16.2" thickBot="1" x14ac:dyDescent="0.35">
      <c r="A34" s="359" t="s">
        <v>899</v>
      </c>
      <c r="B34" s="360"/>
      <c r="C34" s="361"/>
    </row>
    <row r="35" spans="1:3" ht="15.6" x14ac:dyDescent="0.3">
      <c r="A35" s="265" t="s">
        <v>875</v>
      </c>
      <c r="B35" s="265" t="s">
        <v>23</v>
      </c>
      <c r="C35" s="265" t="s">
        <v>24</v>
      </c>
    </row>
    <row r="36" spans="1:3" x14ac:dyDescent="0.25">
      <c r="A36" s="241" t="s">
        <v>876</v>
      </c>
      <c r="B36" s="241">
        <v>11065.52304</v>
      </c>
      <c r="C36" s="241">
        <v>0</v>
      </c>
    </row>
    <row r="37" spans="1:3" x14ac:dyDescent="0.25">
      <c r="A37" s="241" t="s">
        <v>898</v>
      </c>
      <c r="B37" s="241">
        <v>5910.7248499999996</v>
      </c>
      <c r="C37" s="241">
        <v>0</v>
      </c>
    </row>
    <row r="38" spans="1:3" x14ac:dyDescent="0.25">
      <c r="A38" s="241" t="s">
        <v>877</v>
      </c>
      <c r="B38" s="241">
        <v>436.05489999999998</v>
      </c>
      <c r="C38" s="241">
        <v>0</v>
      </c>
    </row>
    <row r="39" spans="1:3" x14ac:dyDescent="0.25">
      <c r="A39" s="241" t="s">
        <v>878</v>
      </c>
      <c r="B39" s="241">
        <v>1170.876</v>
      </c>
      <c r="C39" s="241">
        <v>2401.36</v>
      </c>
    </row>
    <row r="40" spans="1:3" x14ac:dyDescent="0.25">
      <c r="A40" s="241" t="s">
        <v>879</v>
      </c>
      <c r="B40" s="241">
        <v>620.928</v>
      </c>
      <c r="C40" s="241">
        <v>1273.4662000000001</v>
      </c>
    </row>
    <row r="41" spans="1:3" x14ac:dyDescent="0.25">
      <c r="A41" s="241" t="s">
        <v>880</v>
      </c>
      <c r="B41" s="241">
        <v>2460.248</v>
      </c>
      <c r="C41" s="241">
        <v>0</v>
      </c>
    </row>
    <row r="42" spans="1:3" x14ac:dyDescent="0.25">
      <c r="A42" s="241" t="s">
        <v>881</v>
      </c>
      <c r="B42" s="241">
        <v>0</v>
      </c>
      <c r="C42" s="241">
        <v>0</v>
      </c>
    </row>
    <row r="43" spans="1:3" x14ac:dyDescent="0.25">
      <c r="A43" s="241" t="s">
        <v>882</v>
      </c>
      <c r="B43" s="241">
        <v>3266.0749999999998</v>
      </c>
      <c r="C43" s="241">
        <v>0</v>
      </c>
    </row>
    <row r="44" spans="1:3" x14ac:dyDescent="0.25">
      <c r="A44" s="241" t="s">
        <v>883</v>
      </c>
      <c r="B44" s="241">
        <v>67.898880000000005</v>
      </c>
      <c r="C44" s="241">
        <v>0</v>
      </c>
    </row>
    <row r="45" spans="1:3" x14ac:dyDescent="0.25">
      <c r="A45" s="241" t="s">
        <v>884</v>
      </c>
      <c r="B45" s="241">
        <v>0</v>
      </c>
      <c r="C45" s="241">
        <v>0</v>
      </c>
    </row>
    <row r="46" spans="1:3" x14ac:dyDescent="0.25">
      <c r="A46" s="241"/>
      <c r="B46" s="241"/>
      <c r="C46" s="241"/>
    </row>
    <row r="47" spans="1:3" x14ac:dyDescent="0.25">
      <c r="A47" s="241" t="s">
        <v>540</v>
      </c>
      <c r="B47" s="241">
        <f>SUM(B36:B45)</f>
        <v>24998.328669999999</v>
      </c>
      <c r="C47" s="241">
        <f>SUM(C36:C45)</f>
        <v>3674.8262000000004</v>
      </c>
    </row>
    <row r="48" spans="1:3" x14ac:dyDescent="0.25">
      <c r="A48" s="241" t="s">
        <v>885</v>
      </c>
      <c r="B48" s="267">
        <f>SUM(B47:C47)</f>
        <v>28673.154869999998</v>
      </c>
      <c r="C48" s="241"/>
    </row>
  </sheetData>
  <mergeCells count="4">
    <mergeCell ref="A1:C1"/>
    <mergeCell ref="E1:G1"/>
    <mergeCell ref="A17:C17"/>
    <mergeCell ref="A34:C3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/>
  </sheetPr>
  <dimension ref="A1:F113"/>
  <sheetViews>
    <sheetView tabSelected="1" topLeftCell="A37" workbookViewId="0">
      <selection activeCell="C63" sqref="C63"/>
    </sheetView>
  </sheetViews>
  <sheetFormatPr defaultColWidth="9.109375" defaultRowHeight="15" x14ac:dyDescent="0.3"/>
  <cols>
    <col min="1" max="1" width="23.33203125" style="224" customWidth="1"/>
    <col min="2" max="2" width="9.109375" style="224"/>
    <col min="3" max="3" width="40.5546875" style="224" customWidth="1"/>
    <col min="4" max="4" width="11.6640625" style="224" customWidth="1"/>
    <col min="5" max="5" width="9.109375" style="224"/>
    <col min="6" max="6" width="12.88671875" style="224" customWidth="1"/>
    <col min="7" max="16384" width="9.109375" style="224"/>
  </cols>
  <sheetData>
    <row r="1" spans="1:6" ht="15.6" x14ac:dyDescent="0.3">
      <c r="A1" s="312" t="s">
        <v>900</v>
      </c>
      <c r="B1" s="312"/>
      <c r="C1" s="312"/>
      <c r="D1" s="312"/>
      <c r="E1" s="312"/>
      <c r="F1" s="312"/>
    </row>
    <row r="2" spans="1:6" ht="15.6" x14ac:dyDescent="0.3">
      <c r="A2" s="312" t="s">
        <v>901</v>
      </c>
      <c r="B2" s="312"/>
      <c r="C2" s="312"/>
      <c r="D2" s="312"/>
      <c r="E2" s="312"/>
      <c r="F2" s="312"/>
    </row>
    <row r="3" spans="1:6" ht="15.6" x14ac:dyDescent="0.3">
      <c r="A3" s="223" t="s">
        <v>671</v>
      </c>
      <c r="B3" s="223" t="s">
        <v>902</v>
      </c>
      <c r="C3" s="223" t="s">
        <v>334</v>
      </c>
      <c r="D3" s="223" t="s">
        <v>903</v>
      </c>
      <c r="E3" s="223" t="s">
        <v>904</v>
      </c>
      <c r="F3" s="223" t="s">
        <v>333</v>
      </c>
    </row>
    <row r="4" spans="1:6" x14ac:dyDescent="0.3">
      <c r="A4" s="222" t="s">
        <v>905</v>
      </c>
      <c r="B4" s="222">
        <v>668.1</v>
      </c>
      <c r="C4" s="222" t="s">
        <v>732</v>
      </c>
      <c r="D4" s="272" t="s">
        <v>906</v>
      </c>
      <c r="E4" s="222">
        <v>1</v>
      </c>
      <c r="F4" s="272" t="s">
        <v>906</v>
      </c>
    </row>
    <row r="5" spans="1:6" x14ac:dyDescent="0.3">
      <c r="A5" s="222"/>
      <c r="B5" s="222"/>
      <c r="C5" s="222"/>
      <c r="D5" s="222"/>
      <c r="E5" s="222"/>
      <c r="F5" s="222"/>
    </row>
    <row r="6" spans="1:6" ht="15.6" x14ac:dyDescent="0.3">
      <c r="A6" s="312" t="s">
        <v>907</v>
      </c>
      <c r="B6" s="312"/>
      <c r="C6" s="312"/>
      <c r="D6" s="312"/>
      <c r="E6" s="312"/>
      <c r="F6" s="312"/>
    </row>
    <row r="7" spans="1:6" ht="15.6" x14ac:dyDescent="0.3">
      <c r="A7" s="223" t="s">
        <v>671</v>
      </c>
      <c r="B7" s="223" t="s">
        <v>902</v>
      </c>
      <c r="C7" s="223" t="s">
        <v>334</v>
      </c>
      <c r="D7" s="223" t="s">
        <v>903</v>
      </c>
      <c r="E7" s="223" t="s">
        <v>904</v>
      </c>
      <c r="F7" s="223" t="s">
        <v>333</v>
      </c>
    </row>
    <row r="8" spans="1:6" x14ac:dyDescent="0.3">
      <c r="A8" s="222" t="s">
        <v>599</v>
      </c>
      <c r="B8" s="222">
        <v>610.29999999999995</v>
      </c>
      <c r="C8" s="222" t="s">
        <v>908</v>
      </c>
      <c r="D8" s="272" t="s">
        <v>909</v>
      </c>
      <c r="E8" s="222">
        <v>1</v>
      </c>
      <c r="F8" s="272" t="s">
        <v>909</v>
      </c>
    </row>
    <row r="9" spans="1:6" x14ac:dyDescent="0.3">
      <c r="A9" s="222"/>
      <c r="B9" s="222"/>
      <c r="C9" s="222"/>
      <c r="D9" s="222"/>
      <c r="E9" s="222"/>
      <c r="F9" s="222"/>
    </row>
    <row r="10" spans="1:6" ht="15.6" x14ac:dyDescent="0.3">
      <c r="A10" s="312" t="s">
        <v>910</v>
      </c>
      <c r="B10" s="312"/>
      <c r="C10" s="312"/>
      <c r="D10" s="312"/>
      <c r="E10" s="312"/>
      <c r="F10" s="312"/>
    </row>
    <row r="11" spans="1:6" ht="15.6" x14ac:dyDescent="0.3">
      <c r="A11" s="223" t="s">
        <v>671</v>
      </c>
      <c r="B11" s="223" t="s">
        <v>614</v>
      </c>
      <c r="C11" s="223" t="s">
        <v>334</v>
      </c>
      <c r="D11" s="223" t="s">
        <v>903</v>
      </c>
      <c r="E11" s="223" t="s">
        <v>904</v>
      </c>
      <c r="F11" s="223" t="s">
        <v>333</v>
      </c>
    </row>
    <row r="12" spans="1:6" x14ac:dyDescent="0.3">
      <c r="A12" s="222" t="s">
        <v>345</v>
      </c>
      <c r="B12" s="222">
        <v>1.5</v>
      </c>
      <c r="C12" s="222" t="s">
        <v>911</v>
      </c>
      <c r="D12" s="272" t="s">
        <v>912</v>
      </c>
      <c r="E12" s="222">
        <v>1</v>
      </c>
      <c r="F12" s="272" t="s">
        <v>912</v>
      </c>
    </row>
    <row r="13" spans="1:6" x14ac:dyDescent="0.3">
      <c r="A13" s="222" t="s">
        <v>55</v>
      </c>
      <c r="B13" s="222">
        <v>1</v>
      </c>
      <c r="C13" s="222" t="s">
        <v>911</v>
      </c>
      <c r="D13" s="272" t="s">
        <v>913</v>
      </c>
      <c r="E13" s="222">
        <v>1</v>
      </c>
      <c r="F13" s="272" t="s">
        <v>913</v>
      </c>
    </row>
    <row r="14" spans="1:6" x14ac:dyDescent="0.3">
      <c r="A14" s="222" t="s">
        <v>347</v>
      </c>
      <c r="B14" s="222">
        <v>1</v>
      </c>
      <c r="C14" s="222" t="s">
        <v>911</v>
      </c>
      <c r="D14" s="272" t="s">
        <v>913</v>
      </c>
      <c r="E14" s="222">
        <v>1</v>
      </c>
      <c r="F14" s="272" t="s">
        <v>913</v>
      </c>
    </row>
    <row r="15" spans="1:6" x14ac:dyDescent="0.3">
      <c r="A15" s="222" t="s">
        <v>816</v>
      </c>
      <c r="B15" s="222">
        <v>1</v>
      </c>
      <c r="C15" s="222" t="s">
        <v>911</v>
      </c>
      <c r="D15" s="272" t="s">
        <v>913</v>
      </c>
      <c r="E15" s="222">
        <v>1</v>
      </c>
      <c r="F15" s="272" t="s">
        <v>913</v>
      </c>
    </row>
    <row r="16" spans="1:6" x14ac:dyDescent="0.3">
      <c r="A16" s="222" t="s">
        <v>818</v>
      </c>
      <c r="B16" s="222">
        <v>1</v>
      </c>
      <c r="C16" s="222" t="s">
        <v>911</v>
      </c>
      <c r="D16" s="272" t="s">
        <v>913</v>
      </c>
      <c r="E16" s="222">
        <v>1</v>
      </c>
      <c r="F16" s="272" t="s">
        <v>913</v>
      </c>
    </row>
    <row r="17" spans="1:6" x14ac:dyDescent="0.3">
      <c r="A17" s="222" t="s">
        <v>489</v>
      </c>
      <c r="B17" s="222">
        <v>1</v>
      </c>
      <c r="C17" s="222" t="s">
        <v>911</v>
      </c>
      <c r="D17" s="272" t="s">
        <v>913</v>
      </c>
      <c r="E17" s="222">
        <v>1</v>
      </c>
      <c r="F17" s="272" t="s">
        <v>913</v>
      </c>
    </row>
    <row r="18" spans="1:6" x14ac:dyDescent="0.3">
      <c r="A18" s="222" t="s">
        <v>438</v>
      </c>
      <c r="B18" s="222">
        <v>1</v>
      </c>
      <c r="C18" s="222" t="s">
        <v>911</v>
      </c>
      <c r="D18" s="272" t="s">
        <v>913</v>
      </c>
      <c r="E18" s="222">
        <v>1</v>
      </c>
      <c r="F18" s="272" t="s">
        <v>913</v>
      </c>
    </row>
    <row r="19" spans="1:6" x14ac:dyDescent="0.3">
      <c r="A19" s="222" t="s">
        <v>606</v>
      </c>
      <c r="B19" s="222">
        <v>1</v>
      </c>
      <c r="C19" s="222" t="s">
        <v>911</v>
      </c>
      <c r="D19" s="272" t="s">
        <v>913</v>
      </c>
      <c r="E19" s="222">
        <v>1</v>
      </c>
      <c r="F19" s="272" t="s">
        <v>913</v>
      </c>
    </row>
    <row r="20" spans="1:6" x14ac:dyDescent="0.3">
      <c r="A20" s="222" t="s">
        <v>607</v>
      </c>
      <c r="B20" s="222">
        <v>1</v>
      </c>
      <c r="C20" s="222" t="s">
        <v>911</v>
      </c>
      <c r="D20" s="272" t="s">
        <v>913</v>
      </c>
      <c r="E20" s="222">
        <v>1</v>
      </c>
      <c r="F20" s="272" t="s">
        <v>913</v>
      </c>
    </row>
    <row r="21" spans="1:6" x14ac:dyDescent="0.3">
      <c r="A21" s="222" t="s">
        <v>360</v>
      </c>
      <c r="B21" s="222">
        <v>1</v>
      </c>
      <c r="C21" s="222" t="s">
        <v>911</v>
      </c>
      <c r="D21" s="272" t="s">
        <v>913</v>
      </c>
      <c r="E21" s="222">
        <v>1</v>
      </c>
      <c r="F21" s="272" t="s">
        <v>913</v>
      </c>
    </row>
    <row r="22" spans="1:6" x14ac:dyDescent="0.3">
      <c r="A22" s="222" t="s">
        <v>361</v>
      </c>
      <c r="B22" s="222">
        <v>1</v>
      </c>
      <c r="C22" s="222" t="s">
        <v>911</v>
      </c>
      <c r="D22" s="272" t="s">
        <v>913</v>
      </c>
      <c r="E22" s="222">
        <v>1</v>
      </c>
      <c r="F22" s="272" t="s">
        <v>913</v>
      </c>
    </row>
    <row r="23" spans="1:6" x14ac:dyDescent="0.3">
      <c r="A23" s="222" t="s">
        <v>444</v>
      </c>
      <c r="B23" s="222">
        <v>1</v>
      </c>
      <c r="C23" s="222" t="s">
        <v>911</v>
      </c>
      <c r="D23" s="272" t="s">
        <v>913</v>
      </c>
      <c r="E23" s="222">
        <v>1</v>
      </c>
      <c r="F23" s="272" t="s">
        <v>913</v>
      </c>
    </row>
    <row r="24" spans="1:6" x14ac:dyDescent="0.3">
      <c r="A24" s="222" t="s">
        <v>443</v>
      </c>
      <c r="B24" s="222">
        <v>1</v>
      </c>
      <c r="C24" s="222" t="s">
        <v>911</v>
      </c>
      <c r="D24" s="272" t="s">
        <v>913</v>
      </c>
      <c r="E24" s="222">
        <v>1</v>
      </c>
      <c r="F24" s="272" t="s">
        <v>913</v>
      </c>
    </row>
    <row r="25" spans="1:6" x14ac:dyDescent="0.3">
      <c r="A25" s="222" t="s">
        <v>355</v>
      </c>
      <c r="B25" s="222">
        <v>1</v>
      </c>
      <c r="C25" s="222" t="s">
        <v>911</v>
      </c>
      <c r="D25" s="272" t="s">
        <v>913</v>
      </c>
      <c r="E25" s="222">
        <v>1</v>
      </c>
      <c r="F25" s="272" t="s">
        <v>913</v>
      </c>
    </row>
    <row r="26" spans="1:6" x14ac:dyDescent="0.3">
      <c r="A26" s="222" t="s">
        <v>829</v>
      </c>
      <c r="B26" s="222">
        <v>1</v>
      </c>
      <c r="C26" s="222" t="s">
        <v>911</v>
      </c>
      <c r="D26" s="272" t="s">
        <v>913</v>
      </c>
      <c r="E26" s="222">
        <v>1</v>
      </c>
      <c r="F26" s="272" t="s">
        <v>913</v>
      </c>
    </row>
    <row r="27" spans="1:6" x14ac:dyDescent="0.3">
      <c r="A27" s="222" t="s">
        <v>383</v>
      </c>
      <c r="B27" s="222">
        <v>2.5</v>
      </c>
      <c r="C27" s="222" t="s">
        <v>911</v>
      </c>
      <c r="D27" s="222" t="s">
        <v>914</v>
      </c>
      <c r="E27" s="222">
        <v>1</v>
      </c>
      <c r="F27" s="272" t="s">
        <v>913</v>
      </c>
    </row>
    <row r="28" spans="1:6" x14ac:dyDescent="0.3">
      <c r="A28" s="222" t="s">
        <v>492</v>
      </c>
      <c r="B28" s="222">
        <v>1</v>
      </c>
      <c r="C28" s="222" t="s">
        <v>911</v>
      </c>
      <c r="D28" s="272" t="s">
        <v>913</v>
      </c>
      <c r="E28" s="222">
        <v>1</v>
      </c>
      <c r="F28" s="272" t="s">
        <v>913</v>
      </c>
    </row>
    <row r="29" spans="1:6" x14ac:dyDescent="0.3">
      <c r="A29" s="222" t="s">
        <v>115</v>
      </c>
      <c r="B29" s="222">
        <v>1.5</v>
      </c>
      <c r="C29" s="222" t="s">
        <v>911</v>
      </c>
      <c r="D29" s="272" t="s">
        <v>912</v>
      </c>
      <c r="E29" s="222">
        <v>2</v>
      </c>
      <c r="F29" s="272" t="s">
        <v>915</v>
      </c>
    </row>
    <row r="30" spans="1:6" x14ac:dyDescent="0.3">
      <c r="A30" s="222" t="s">
        <v>385</v>
      </c>
      <c r="B30" s="222">
        <v>1</v>
      </c>
      <c r="C30" s="222" t="s">
        <v>911</v>
      </c>
      <c r="D30" s="272" t="s">
        <v>913</v>
      </c>
      <c r="E30" s="222">
        <v>2</v>
      </c>
      <c r="F30" s="272" t="s">
        <v>916</v>
      </c>
    </row>
    <row r="31" spans="1:6" x14ac:dyDescent="0.3">
      <c r="A31" s="222" t="s">
        <v>367</v>
      </c>
      <c r="B31" s="222">
        <v>1.5</v>
      </c>
      <c r="C31" s="222" t="s">
        <v>911</v>
      </c>
      <c r="D31" s="272" t="s">
        <v>912</v>
      </c>
      <c r="E31" s="222">
        <v>1</v>
      </c>
      <c r="F31" s="272" t="s">
        <v>912</v>
      </c>
    </row>
    <row r="32" spans="1:6" x14ac:dyDescent="0.3">
      <c r="A32" s="222" t="s">
        <v>370</v>
      </c>
      <c r="B32" s="222">
        <v>1</v>
      </c>
      <c r="C32" s="222" t="s">
        <v>911</v>
      </c>
      <c r="D32" s="272" t="s">
        <v>913</v>
      </c>
      <c r="E32" s="222">
        <v>1</v>
      </c>
      <c r="F32" s="272" t="s">
        <v>913</v>
      </c>
    </row>
    <row r="33" spans="1:6" x14ac:dyDescent="0.3">
      <c r="A33" s="222" t="s">
        <v>837</v>
      </c>
      <c r="B33" s="222">
        <v>1</v>
      </c>
      <c r="C33" s="222" t="s">
        <v>911</v>
      </c>
      <c r="D33" s="272" t="s">
        <v>913</v>
      </c>
      <c r="E33" s="222">
        <v>1</v>
      </c>
      <c r="F33" s="272" t="s">
        <v>913</v>
      </c>
    </row>
    <row r="34" spans="1:6" x14ac:dyDescent="0.3">
      <c r="A34" s="222" t="s">
        <v>30</v>
      </c>
      <c r="B34" s="222">
        <v>1.5</v>
      </c>
      <c r="C34" s="222" t="s">
        <v>911</v>
      </c>
      <c r="D34" s="272" t="s">
        <v>912</v>
      </c>
      <c r="E34" s="222">
        <v>9</v>
      </c>
      <c r="F34" s="272" t="s">
        <v>917</v>
      </c>
    </row>
    <row r="35" spans="1:6" x14ac:dyDescent="0.3">
      <c r="A35" s="222" t="s">
        <v>840</v>
      </c>
      <c r="B35" s="222">
        <v>1</v>
      </c>
      <c r="C35" s="222" t="s">
        <v>911</v>
      </c>
      <c r="D35" s="272" t="s">
        <v>913</v>
      </c>
      <c r="E35" s="222">
        <v>1</v>
      </c>
      <c r="F35" s="272" t="s">
        <v>913</v>
      </c>
    </row>
    <row r="36" spans="1:6" x14ac:dyDescent="0.3">
      <c r="A36" s="222" t="s">
        <v>35</v>
      </c>
      <c r="B36" s="222">
        <v>1</v>
      </c>
      <c r="C36" s="222" t="s">
        <v>911</v>
      </c>
      <c r="D36" s="272" t="s">
        <v>913</v>
      </c>
      <c r="E36" s="222">
        <v>1</v>
      </c>
      <c r="F36" s="272" t="s">
        <v>913</v>
      </c>
    </row>
    <row r="37" spans="1:6" x14ac:dyDescent="0.3">
      <c r="A37" s="222" t="s">
        <v>453</v>
      </c>
      <c r="B37" s="222">
        <v>1</v>
      </c>
      <c r="C37" s="222" t="s">
        <v>911</v>
      </c>
      <c r="D37" s="272" t="s">
        <v>913</v>
      </c>
      <c r="E37" s="222">
        <v>1</v>
      </c>
      <c r="F37" s="272" t="s">
        <v>913</v>
      </c>
    </row>
    <row r="38" spans="1:6" x14ac:dyDescent="0.3">
      <c r="A38" s="222" t="s">
        <v>844</v>
      </c>
      <c r="B38" s="222">
        <v>1</v>
      </c>
      <c r="C38" s="222" t="s">
        <v>911</v>
      </c>
      <c r="D38" s="272" t="s">
        <v>913</v>
      </c>
      <c r="E38" s="222">
        <v>1</v>
      </c>
      <c r="F38" s="272" t="s">
        <v>913</v>
      </c>
    </row>
    <row r="39" spans="1:6" x14ac:dyDescent="0.3">
      <c r="A39" s="222" t="s">
        <v>76</v>
      </c>
      <c r="B39" s="222">
        <v>1</v>
      </c>
      <c r="C39" s="222" t="s">
        <v>911</v>
      </c>
      <c r="D39" s="272" t="s">
        <v>913</v>
      </c>
      <c r="E39" s="222">
        <v>1</v>
      </c>
      <c r="F39" s="272" t="s">
        <v>913</v>
      </c>
    </row>
    <row r="40" spans="1:6" x14ac:dyDescent="0.3">
      <c r="A40" s="222" t="s">
        <v>75</v>
      </c>
      <c r="B40" s="222">
        <v>1</v>
      </c>
      <c r="C40" s="222" t="s">
        <v>911</v>
      </c>
      <c r="D40" s="272" t="s">
        <v>913</v>
      </c>
      <c r="E40" s="222">
        <v>1</v>
      </c>
      <c r="F40" s="272" t="s">
        <v>913</v>
      </c>
    </row>
    <row r="41" spans="1:6" x14ac:dyDescent="0.3">
      <c r="A41" s="222" t="s">
        <v>72</v>
      </c>
      <c r="B41" s="222">
        <v>1</v>
      </c>
      <c r="C41" s="222" t="s">
        <v>911</v>
      </c>
      <c r="D41" s="272" t="s">
        <v>913</v>
      </c>
      <c r="E41" s="222">
        <v>1</v>
      </c>
      <c r="F41" s="272" t="s">
        <v>913</v>
      </c>
    </row>
    <row r="42" spans="1:6" x14ac:dyDescent="0.3">
      <c r="A42" s="222" t="s">
        <v>362</v>
      </c>
      <c r="B42" s="222">
        <v>1</v>
      </c>
      <c r="C42" s="222" t="s">
        <v>911</v>
      </c>
      <c r="D42" s="272" t="s">
        <v>913</v>
      </c>
      <c r="E42" s="222">
        <v>1</v>
      </c>
      <c r="F42" s="272" t="s">
        <v>913</v>
      </c>
    </row>
    <row r="43" spans="1:6" x14ac:dyDescent="0.3">
      <c r="A43" s="222" t="s">
        <v>363</v>
      </c>
      <c r="B43" s="222">
        <v>1</v>
      </c>
      <c r="C43" s="222" t="s">
        <v>911</v>
      </c>
      <c r="D43" s="272" t="s">
        <v>913</v>
      </c>
      <c r="E43" s="222">
        <v>1</v>
      </c>
      <c r="F43" s="272" t="s">
        <v>913</v>
      </c>
    </row>
    <row r="44" spans="1:6" x14ac:dyDescent="0.3">
      <c r="A44" s="222" t="s">
        <v>517</v>
      </c>
      <c r="B44" s="222">
        <v>1</v>
      </c>
      <c r="C44" s="222" t="s">
        <v>911</v>
      </c>
      <c r="D44" s="272" t="s">
        <v>913</v>
      </c>
      <c r="E44" s="222">
        <v>1</v>
      </c>
      <c r="F44" s="272" t="s">
        <v>913</v>
      </c>
    </row>
    <row r="45" spans="1:6" x14ac:dyDescent="0.3">
      <c r="A45" s="222" t="s">
        <v>516</v>
      </c>
      <c r="B45" s="222">
        <v>1</v>
      </c>
      <c r="C45" s="222" t="s">
        <v>911</v>
      </c>
      <c r="D45" s="272" t="s">
        <v>913</v>
      </c>
      <c r="E45" s="222">
        <v>1</v>
      </c>
      <c r="F45" s="272" t="s">
        <v>913</v>
      </c>
    </row>
    <row r="46" spans="1:6" x14ac:dyDescent="0.3">
      <c r="A46" s="222" t="s">
        <v>844</v>
      </c>
      <c r="B46" s="222">
        <v>1</v>
      </c>
      <c r="C46" s="222" t="s">
        <v>911</v>
      </c>
      <c r="D46" s="272" t="s">
        <v>913</v>
      </c>
      <c r="E46" s="222">
        <v>1</v>
      </c>
      <c r="F46" s="272" t="s">
        <v>913</v>
      </c>
    </row>
    <row r="47" spans="1:6" x14ac:dyDescent="0.3">
      <c r="A47" s="222" t="s">
        <v>453</v>
      </c>
      <c r="B47" s="222">
        <v>1</v>
      </c>
      <c r="C47" s="222" t="s">
        <v>911</v>
      </c>
      <c r="D47" s="272" t="s">
        <v>913</v>
      </c>
      <c r="E47" s="222">
        <v>1</v>
      </c>
      <c r="F47" s="272" t="s">
        <v>913</v>
      </c>
    </row>
    <row r="48" spans="1:6" x14ac:dyDescent="0.3">
      <c r="A48" s="222"/>
      <c r="B48" s="222"/>
      <c r="C48" s="222"/>
      <c r="D48" s="222"/>
      <c r="E48" s="222"/>
      <c r="F48" s="222"/>
    </row>
    <row r="49" spans="1:6" x14ac:dyDescent="0.3">
      <c r="A49" s="362" t="s">
        <v>918</v>
      </c>
      <c r="B49" s="362"/>
      <c r="C49" s="362"/>
      <c r="D49" s="362"/>
      <c r="E49" s="362"/>
      <c r="F49" s="362"/>
    </row>
    <row r="50" spans="1:6" ht="15.6" x14ac:dyDescent="0.3">
      <c r="A50" s="223" t="s">
        <v>671</v>
      </c>
      <c r="B50" s="223" t="s">
        <v>614</v>
      </c>
      <c r="C50" s="223" t="s">
        <v>334</v>
      </c>
      <c r="D50" s="223" t="s">
        <v>903</v>
      </c>
      <c r="E50" s="223" t="s">
        <v>904</v>
      </c>
      <c r="F50" s="223" t="s">
        <v>333</v>
      </c>
    </row>
    <row r="51" spans="1:6" x14ac:dyDescent="0.3">
      <c r="A51" s="222" t="s">
        <v>123</v>
      </c>
      <c r="B51" s="222">
        <v>2.5</v>
      </c>
      <c r="C51" s="222" t="s">
        <v>911</v>
      </c>
      <c r="D51" s="222" t="s">
        <v>914</v>
      </c>
      <c r="E51" s="222">
        <v>2</v>
      </c>
      <c r="F51" s="272" t="s">
        <v>919</v>
      </c>
    </row>
    <row r="52" spans="1:6" x14ac:dyDescent="0.3">
      <c r="A52" s="222" t="s">
        <v>169</v>
      </c>
      <c r="B52" s="222">
        <v>2.5</v>
      </c>
      <c r="C52" s="222" t="s">
        <v>911</v>
      </c>
      <c r="D52" s="222" t="s">
        <v>914</v>
      </c>
      <c r="E52" s="222">
        <v>2</v>
      </c>
      <c r="F52" s="272" t="s">
        <v>919</v>
      </c>
    </row>
    <row r="53" spans="1:6" x14ac:dyDescent="0.3">
      <c r="A53" s="222" t="s">
        <v>124</v>
      </c>
      <c r="B53" s="222">
        <v>2.5</v>
      </c>
      <c r="C53" s="222" t="s">
        <v>911</v>
      </c>
      <c r="D53" s="222" t="s">
        <v>914</v>
      </c>
      <c r="E53" s="222">
        <v>2</v>
      </c>
      <c r="F53" s="272" t="s">
        <v>919</v>
      </c>
    </row>
    <row r="54" spans="1:6" x14ac:dyDescent="0.3">
      <c r="A54" s="222" t="s">
        <v>125</v>
      </c>
      <c r="B54" s="222">
        <v>2.5</v>
      </c>
      <c r="C54" s="222" t="s">
        <v>911</v>
      </c>
      <c r="D54" s="222" t="s">
        <v>914</v>
      </c>
      <c r="E54" s="222">
        <v>2</v>
      </c>
      <c r="F54" s="272" t="s">
        <v>919</v>
      </c>
    </row>
    <row r="55" spans="1:6" x14ac:dyDescent="0.3">
      <c r="A55" s="222" t="s">
        <v>171</v>
      </c>
      <c r="B55" s="222">
        <v>1</v>
      </c>
      <c r="C55" s="222" t="s">
        <v>911</v>
      </c>
      <c r="D55" s="272" t="s">
        <v>913</v>
      </c>
      <c r="E55" s="222">
        <v>1</v>
      </c>
      <c r="F55" s="272" t="s">
        <v>913</v>
      </c>
    </row>
    <row r="56" spans="1:6" x14ac:dyDescent="0.3">
      <c r="A56" s="222" t="s">
        <v>172</v>
      </c>
      <c r="B56" s="222">
        <v>1</v>
      </c>
      <c r="C56" s="222" t="s">
        <v>911</v>
      </c>
      <c r="D56" s="272" t="s">
        <v>913</v>
      </c>
      <c r="E56" s="222">
        <v>1</v>
      </c>
      <c r="F56" s="272" t="s">
        <v>913</v>
      </c>
    </row>
    <row r="57" spans="1:6" x14ac:dyDescent="0.3">
      <c r="A57" s="222" t="s">
        <v>173</v>
      </c>
      <c r="B57" s="222">
        <v>2.5</v>
      </c>
      <c r="C57" s="222" t="s">
        <v>911</v>
      </c>
      <c r="D57" s="222" t="s">
        <v>914</v>
      </c>
      <c r="E57" s="222">
        <v>1</v>
      </c>
      <c r="F57" s="222" t="s">
        <v>914</v>
      </c>
    </row>
    <row r="58" spans="1:6" x14ac:dyDescent="0.3">
      <c r="A58" s="222" t="s">
        <v>174</v>
      </c>
      <c r="B58" s="222">
        <v>1.5</v>
      </c>
      <c r="C58" s="222" t="s">
        <v>911</v>
      </c>
      <c r="D58" s="272" t="s">
        <v>912</v>
      </c>
      <c r="E58" s="222">
        <v>1</v>
      </c>
      <c r="F58" s="272" t="s">
        <v>912</v>
      </c>
    </row>
    <row r="59" spans="1:6" x14ac:dyDescent="0.3">
      <c r="A59" s="222" t="s">
        <v>178</v>
      </c>
      <c r="B59" s="222">
        <v>1</v>
      </c>
      <c r="C59" s="222" t="s">
        <v>911</v>
      </c>
      <c r="D59" s="272" t="s">
        <v>913</v>
      </c>
      <c r="E59" s="222">
        <v>1</v>
      </c>
      <c r="F59" s="272" t="s">
        <v>913</v>
      </c>
    </row>
    <row r="60" spans="1:6" x14ac:dyDescent="0.3">
      <c r="A60" s="222" t="s">
        <v>179</v>
      </c>
      <c r="B60" s="222">
        <v>1</v>
      </c>
      <c r="C60" s="222" t="s">
        <v>911</v>
      </c>
      <c r="D60" s="272" t="s">
        <v>913</v>
      </c>
      <c r="E60" s="222">
        <v>1</v>
      </c>
      <c r="F60" s="272" t="s">
        <v>913</v>
      </c>
    </row>
    <row r="61" spans="1:6" x14ac:dyDescent="0.3">
      <c r="A61" s="222" t="s">
        <v>182</v>
      </c>
      <c r="B61" s="222">
        <v>1</v>
      </c>
      <c r="C61" s="222" t="s">
        <v>911</v>
      </c>
      <c r="D61" s="272" t="s">
        <v>913</v>
      </c>
      <c r="E61" s="222">
        <v>1</v>
      </c>
      <c r="F61" s="272" t="s">
        <v>913</v>
      </c>
    </row>
    <row r="62" spans="1:6" x14ac:dyDescent="0.3">
      <c r="A62" s="222" t="s">
        <v>186</v>
      </c>
      <c r="B62" s="222">
        <v>1</v>
      </c>
      <c r="C62" s="222" t="s">
        <v>911</v>
      </c>
      <c r="D62" s="272" t="s">
        <v>913</v>
      </c>
      <c r="E62" s="222">
        <v>1</v>
      </c>
      <c r="F62" s="272" t="s">
        <v>913</v>
      </c>
    </row>
    <row r="63" spans="1:6" x14ac:dyDescent="0.3">
      <c r="A63" s="222" t="s">
        <v>189</v>
      </c>
      <c r="B63" s="222">
        <v>1</v>
      </c>
      <c r="C63" s="222" t="s">
        <v>911</v>
      </c>
      <c r="D63" s="272" t="s">
        <v>913</v>
      </c>
      <c r="E63" s="222">
        <v>1</v>
      </c>
      <c r="F63" s="272" t="s">
        <v>913</v>
      </c>
    </row>
    <row r="64" spans="1:6" x14ac:dyDescent="0.3">
      <c r="A64" s="222" t="s">
        <v>190</v>
      </c>
      <c r="B64" s="222">
        <v>1</v>
      </c>
      <c r="C64" s="222" t="s">
        <v>911</v>
      </c>
      <c r="D64" s="272" t="s">
        <v>913</v>
      </c>
      <c r="E64" s="222">
        <v>1</v>
      </c>
      <c r="F64" s="272" t="s">
        <v>913</v>
      </c>
    </row>
    <row r="65" spans="1:6" x14ac:dyDescent="0.3">
      <c r="A65" s="222" t="s">
        <v>181</v>
      </c>
      <c r="B65" s="222">
        <v>1</v>
      </c>
      <c r="C65" s="222" t="s">
        <v>911</v>
      </c>
      <c r="D65" s="272" t="s">
        <v>913</v>
      </c>
      <c r="E65" s="222">
        <v>1</v>
      </c>
      <c r="F65" s="272" t="s">
        <v>913</v>
      </c>
    </row>
    <row r="66" spans="1:6" x14ac:dyDescent="0.3">
      <c r="A66" s="222" t="s">
        <v>142</v>
      </c>
      <c r="B66" s="222">
        <v>2</v>
      </c>
      <c r="C66" s="222" t="s">
        <v>911</v>
      </c>
      <c r="D66" s="272" t="s">
        <v>920</v>
      </c>
      <c r="E66" s="222">
        <v>2</v>
      </c>
      <c r="F66" s="272" t="s">
        <v>921</v>
      </c>
    </row>
    <row r="67" spans="1:6" x14ac:dyDescent="0.3">
      <c r="A67" s="222" t="s">
        <v>141</v>
      </c>
      <c r="B67" s="222">
        <v>2</v>
      </c>
      <c r="C67" s="222" t="s">
        <v>911</v>
      </c>
      <c r="D67" s="272" t="s">
        <v>920</v>
      </c>
      <c r="E67" s="222">
        <v>2</v>
      </c>
      <c r="F67" s="272" t="s">
        <v>921</v>
      </c>
    </row>
    <row r="68" spans="1:6" x14ac:dyDescent="0.3">
      <c r="A68" s="222" t="s">
        <v>140</v>
      </c>
      <c r="B68" s="222">
        <v>2</v>
      </c>
      <c r="C68" s="222" t="s">
        <v>911</v>
      </c>
      <c r="D68" s="272" t="s">
        <v>920</v>
      </c>
      <c r="E68" s="222">
        <v>2</v>
      </c>
      <c r="F68" s="272" t="s">
        <v>921</v>
      </c>
    </row>
    <row r="69" spans="1:6" x14ac:dyDescent="0.3">
      <c r="A69" s="222" t="s">
        <v>183</v>
      </c>
      <c r="B69" s="222">
        <v>1</v>
      </c>
      <c r="C69" s="222" t="s">
        <v>911</v>
      </c>
      <c r="D69" s="272" t="s">
        <v>913</v>
      </c>
      <c r="E69" s="222">
        <v>1</v>
      </c>
      <c r="F69" s="272" t="s">
        <v>913</v>
      </c>
    </row>
    <row r="70" spans="1:6" x14ac:dyDescent="0.3">
      <c r="A70" s="222" t="s">
        <v>185</v>
      </c>
      <c r="B70" s="222">
        <v>2</v>
      </c>
      <c r="C70" s="222" t="s">
        <v>911</v>
      </c>
      <c r="D70" s="272" t="s">
        <v>920</v>
      </c>
      <c r="E70" s="222">
        <v>1</v>
      </c>
      <c r="F70" s="272" t="s">
        <v>913</v>
      </c>
    </row>
    <row r="71" spans="1:6" x14ac:dyDescent="0.3">
      <c r="A71" s="222" t="s">
        <v>187</v>
      </c>
      <c r="B71" s="222">
        <v>2</v>
      </c>
      <c r="C71" s="222" t="s">
        <v>911</v>
      </c>
      <c r="D71" s="272" t="s">
        <v>920</v>
      </c>
      <c r="E71" s="222">
        <v>1</v>
      </c>
      <c r="F71" s="272" t="s">
        <v>913</v>
      </c>
    </row>
    <row r="72" spans="1:6" x14ac:dyDescent="0.3">
      <c r="A72" s="222" t="s">
        <v>188</v>
      </c>
      <c r="B72" s="222">
        <v>1</v>
      </c>
      <c r="C72" s="222" t="s">
        <v>911</v>
      </c>
      <c r="D72" s="272" t="s">
        <v>913</v>
      </c>
      <c r="E72" s="222">
        <v>1</v>
      </c>
      <c r="F72" s="272" t="s">
        <v>913</v>
      </c>
    </row>
    <row r="73" spans="1:6" x14ac:dyDescent="0.3">
      <c r="A73" s="222" t="s">
        <v>127</v>
      </c>
      <c r="B73" s="222">
        <v>1</v>
      </c>
      <c r="C73" s="222" t="s">
        <v>911</v>
      </c>
      <c r="D73" s="272" t="s">
        <v>913</v>
      </c>
      <c r="E73" s="222">
        <v>1</v>
      </c>
      <c r="F73" s="272" t="s">
        <v>913</v>
      </c>
    </row>
    <row r="74" spans="1:6" x14ac:dyDescent="0.3">
      <c r="A74" s="222" t="s">
        <v>407</v>
      </c>
      <c r="B74" s="222">
        <v>1</v>
      </c>
      <c r="C74" s="222" t="s">
        <v>911</v>
      </c>
      <c r="D74" s="272" t="s">
        <v>913</v>
      </c>
      <c r="E74" s="222">
        <v>1</v>
      </c>
      <c r="F74" s="272" t="s">
        <v>913</v>
      </c>
    </row>
    <row r="75" spans="1:6" x14ac:dyDescent="0.3">
      <c r="A75" s="222" t="s">
        <v>804</v>
      </c>
      <c r="B75" s="222">
        <v>2</v>
      </c>
      <c r="C75" s="222" t="s">
        <v>911</v>
      </c>
      <c r="D75" s="272" t="s">
        <v>920</v>
      </c>
      <c r="E75" s="222">
        <v>2</v>
      </c>
      <c r="F75" s="272" t="s">
        <v>921</v>
      </c>
    </row>
    <row r="76" spans="1:6" x14ac:dyDescent="0.3">
      <c r="A76" s="222" t="s">
        <v>131</v>
      </c>
      <c r="B76" s="222">
        <v>2</v>
      </c>
      <c r="C76" s="222" t="s">
        <v>911</v>
      </c>
      <c r="D76" s="272" t="s">
        <v>920</v>
      </c>
      <c r="E76" s="222">
        <v>2</v>
      </c>
      <c r="F76" s="272" t="s">
        <v>921</v>
      </c>
    </row>
    <row r="77" spans="1:6" x14ac:dyDescent="0.3">
      <c r="A77" s="222" t="s">
        <v>403</v>
      </c>
      <c r="B77" s="222">
        <v>1</v>
      </c>
      <c r="C77" s="222" t="s">
        <v>911</v>
      </c>
      <c r="D77" s="272" t="s">
        <v>913</v>
      </c>
      <c r="E77" s="222">
        <v>1</v>
      </c>
      <c r="F77" s="272" t="s">
        <v>913</v>
      </c>
    </row>
    <row r="78" spans="1:6" x14ac:dyDescent="0.3">
      <c r="A78" s="222" t="s">
        <v>193</v>
      </c>
      <c r="B78" s="222">
        <v>1</v>
      </c>
      <c r="C78" s="222" t="s">
        <v>911</v>
      </c>
      <c r="D78" s="272" t="s">
        <v>913</v>
      </c>
      <c r="E78" s="222">
        <v>1</v>
      </c>
      <c r="F78" s="272" t="s">
        <v>913</v>
      </c>
    </row>
    <row r="79" spans="1:6" x14ac:dyDescent="0.3">
      <c r="A79" s="222" t="s">
        <v>410</v>
      </c>
      <c r="B79" s="222">
        <v>1</v>
      </c>
      <c r="C79" s="222" t="s">
        <v>911</v>
      </c>
      <c r="D79" s="272" t="s">
        <v>913</v>
      </c>
      <c r="E79" s="222">
        <v>1</v>
      </c>
      <c r="F79" s="272" t="s">
        <v>913</v>
      </c>
    </row>
    <row r="80" spans="1:6" x14ac:dyDescent="0.3">
      <c r="A80" s="222" t="s">
        <v>137</v>
      </c>
      <c r="B80" s="222">
        <v>1</v>
      </c>
      <c r="C80" s="222" t="s">
        <v>911</v>
      </c>
      <c r="D80" s="272" t="s">
        <v>913</v>
      </c>
      <c r="E80" s="222">
        <v>1</v>
      </c>
      <c r="F80" s="272" t="s">
        <v>913</v>
      </c>
    </row>
    <row r="81" spans="1:6" x14ac:dyDescent="0.3">
      <c r="A81" s="222"/>
      <c r="B81" s="222"/>
      <c r="C81" s="222"/>
      <c r="D81" s="222"/>
      <c r="E81" s="222"/>
      <c r="F81" s="222"/>
    </row>
    <row r="82" spans="1:6" x14ac:dyDescent="0.3">
      <c r="A82" s="362" t="s">
        <v>922</v>
      </c>
      <c r="B82" s="362"/>
      <c r="C82" s="362"/>
      <c r="D82" s="362"/>
      <c r="E82" s="362"/>
      <c r="F82" s="362"/>
    </row>
    <row r="83" spans="1:6" ht="15.6" x14ac:dyDescent="0.3">
      <c r="A83" s="223" t="s">
        <v>671</v>
      </c>
      <c r="B83" s="223" t="s">
        <v>614</v>
      </c>
      <c r="C83" s="223" t="s">
        <v>334</v>
      </c>
      <c r="D83" s="223" t="s">
        <v>903</v>
      </c>
      <c r="E83" s="223" t="s">
        <v>904</v>
      </c>
      <c r="F83" s="223" t="s">
        <v>333</v>
      </c>
    </row>
    <row r="84" spans="1:6" x14ac:dyDescent="0.3">
      <c r="A84" s="222" t="s">
        <v>743</v>
      </c>
      <c r="B84" s="222">
        <v>3</v>
      </c>
      <c r="C84" s="222" t="s">
        <v>911</v>
      </c>
      <c r="D84" s="272" t="s">
        <v>923</v>
      </c>
      <c r="E84" s="222">
        <v>2</v>
      </c>
      <c r="F84" s="272" t="s">
        <v>924</v>
      </c>
    </row>
    <row r="85" spans="1:6" x14ac:dyDescent="0.3">
      <c r="A85" s="222" t="s">
        <v>745</v>
      </c>
      <c r="B85" s="222">
        <v>3</v>
      </c>
      <c r="C85" s="222" t="s">
        <v>911</v>
      </c>
      <c r="D85" s="272" t="s">
        <v>923</v>
      </c>
      <c r="E85" s="222">
        <v>2</v>
      </c>
      <c r="F85" s="272" t="s">
        <v>924</v>
      </c>
    </row>
    <row r="86" spans="1:6" x14ac:dyDescent="0.3">
      <c r="A86" s="222" t="s">
        <v>171</v>
      </c>
      <c r="B86" s="222">
        <v>1.5</v>
      </c>
      <c r="C86" s="222" t="s">
        <v>911</v>
      </c>
      <c r="D86" s="272" t="s">
        <v>912</v>
      </c>
      <c r="E86" s="222">
        <v>1</v>
      </c>
      <c r="F86" s="272" t="s">
        <v>912</v>
      </c>
    </row>
    <row r="87" spans="1:6" x14ac:dyDescent="0.3">
      <c r="A87" s="222" t="s">
        <v>172</v>
      </c>
      <c r="B87" s="222">
        <v>1.5</v>
      </c>
      <c r="C87" s="222" t="s">
        <v>911</v>
      </c>
      <c r="D87" s="272" t="s">
        <v>912</v>
      </c>
      <c r="E87" s="222">
        <v>1</v>
      </c>
      <c r="F87" s="272" t="s">
        <v>912</v>
      </c>
    </row>
    <row r="88" spans="1:6" x14ac:dyDescent="0.3">
      <c r="A88" s="222" t="s">
        <v>178</v>
      </c>
      <c r="B88" s="222">
        <v>1.5</v>
      </c>
      <c r="C88" s="222" t="s">
        <v>911</v>
      </c>
      <c r="D88" s="272" t="s">
        <v>912</v>
      </c>
      <c r="E88" s="222">
        <v>1</v>
      </c>
      <c r="F88" s="272" t="s">
        <v>912</v>
      </c>
    </row>
    <row r="89" spans="1:6" x14ac:dyDescent="0.3">
      <c r="A89" s="222" t="s">
        <v>179</v>
      </c>
      <c r="B89" s="222">
        <v>1.5</v>
      </c>
      <c r="C89" s="222" t="s">
        <v>911</v>
      </c>
      <c r="D89" s="272" t="s">
        <v>912</v>
      </c>
      <c r="E89" s="222">
        <v>1</v>
      </c>
      <c r="F89" s="272" t="s">
        <v>912</v>
      </c>
    </row>
    <row r="90" spans="1:6" x14ac:dyDescent="0.3">
      <c r="A90" s="222" t="s">
        <v>182</v>
      </c>
      <c r="B90" s="222">
        <v>1.5</v>
      </c>
      <c r="C90" s="222" t="s">
        <v>911</v>
      </c>
      <c r="D90" s="272" t="s">
        <v>912</v>
      </c>
      <c r="E90" s="222">
        <v>1</v>
      </c>
      <c r="F90" s="272" t="s">
        <v>912</v>
      </c>
    </row>
    <row r="91" spans="1:6" x14ac:dyDescent="0.3">
      <c r="A91" s="222" t="s">
        <v>186</v>
      </c>
      <c r="B91" s="222">
        <v>1.5</v>
      </c>
      <c r="C91" s="222" t="s">
        <v>911</v>
      </c>
      <c r="D91" s="272" t="s">
        <v>912</v>
      </c>
      <c r="E91" s="222">
        <v>1</v>
      </c>
      <c r="F91" s="272" t="s">
        <v>912</v>
      </c>
    </row>
    <row r="92" spans="1:6" x14ac:dyDescent="0.3">
      <c r="A92" s="222" t="s">
        <v>173</v>
      </c>
      <c r="B92" s="222">
        <v>3</v>
      </c>
      <c r="C92" s="222" t="s">
        <v>911</v>
      </c>
      <c r="D92" s="272" t="s">
        <v>923</v>
      </c>
      <c r="E92" s="222">
        <v>1</v>
      </c>
      <c r="F92" s="272" t="s">
        <v>923</v>
      </c>
    </row>
    <row r="93" spans="1:6" x14ac:dyDescent="0.3">
      <c r="A93" s="222" t="s">
        <v>754</v>
      </c>
      <c r="B93" s="222">
        <v>2.5</v>
      </c>
      <c r="C93" s="222" t="s">
        <v>911</v>
      </c>
      <c r="D93" s="222" t="s">
        <v>914</v>
      </c>
      <c r="E93" s="222">
        <v>1</v>
      </c>
      <c r="F93" s="222" t="s">
        <v>914</v>
      </c>
    </row>
    <row r="94" spans="1:6" x14ac:dyDescent="0.3">
      <c r="A94" s="222" t="s">
        <v>189</v>
      </c>
      <c r="B94" s="222">
        <v>1.5</v>
      </c>
      <c r="C94" s="222" t="s">
        <v>911</v>
      </c>
      <c r="D94" s="272" t="s">
        <v>912</v>
      </c>
      <c r="E94" s="222">
        <v>1</v>
      </c>
      <c r="F94" s="272" t="s">
        <v>912</v>
      </c>
    </row>
    <row r="95" spans="1:6" x14ac:dyDescent="0.3">
      <c r="A95" s="222" t="s">
        <v>190</v>
      </c>
      <c r="B95" s="222">
        <v>1.5</v>
      </c>
      <c r="C95" s="222" t="s">
        <v>911</v>
      </c>
      <c r="D95" s="272" t="s">
        <v>912</v>
      </c>
      <c r="E95" s="222">
        <v>1</v>
      </c>
      <c r="F95" s="272" t="s">
        <v>912</v>
      </c>
    </row>
    <row r="96" spans="1:6" x14ac:dyDescent="0.3">
      <c r="A96" s="222" t="s">
        <v>174</v>
      </c>
      <c r="B96" s="222">
        <v>2</v>
      </c>
      <c r="C96" s="222" t="s">
        <v>911</v>
      </c>
      <c r="D96" s="272" t="s">
        <v>920</v>
      </c>
      <c r="E96" s="222">
        <v>1</v>
      </c>
      <c r="F96" s="272" t="s">
        <v>920</v>
      </c>
    </row>
    <row r="97" spans="1:6" x14ac:dyDescent="0.3">
      <c r="A97" s="222" t="s">
        <v>759</v>
      </c>
      <c r="B97" s="222">
        <v>2.5</v>
      </c>
      <c r="C97" s="222" t="s">
        <v>911</v>
      </c>
      <c r="D97" s="222" t="s">
        <v>914</v>
      </c>
      <c r="E97" s="222">
        <v>1</v>
      </c>
      <c r="F97" s="222" t="s">
        <v>914</v>
      </c>
    </row>
    <row r="98" spans="1:6" x14ac:dyDescent="0.3">
      <c r="A98" s="222" t="s">
        <v>304</v>
      </c>
      <c r="B98" s="222">
        <v>1.5</v>
      </c>
      <c r="C98" s="222" t="s">
        <v>911</v>
      </c>
      <c r="D98" s="272" t="s">
        <v>912</v>
      </c>
      <c r="E98" s="222">
        <v>1</v>
      </c>
      <c r="F98" s="272" t="s">
        <v>912</v>
      </c>
    </row>
    <row r="99" spans="1:6" x14ac:dyDescent="0.3">
      <c r="A99" s="222" t="s">
        <v>305</v>
      </c>
      <c r="B99" s="222">
        <v>1.5</v>
      </c>
      <c r="C99" s="222" t="s">
        <v>911</v>
      </c>
      <c r="D99" s="272" t="s">
        <v>912</v>
      </c>
      <c r="E99" s="222">
        <v>1</v>
      </c>
      <c r="F99" s="272" t="s">
        <v>912</v>
      </c>
    </row>
    <row r="100" spans="1:6" x14ac:dyDescent="0.3">
      <c r="A100" s="222" t="s">
        <v>763</v>
      </c>
      <c r="B100" s="222">
        <v>3</v>
      </c>
      <c r="C100" s="222" t="s">
        <v>911</v>
      </c>
      <c r="D100" s="272" t="s">
        <v>923</v>
      </c>
      <c r="E100" s="222">
        <v>2</v>
      </c>
      <c r="F100" s="272" t="s">
        <v>924</v>
      </c>
    </row>
    <row r="101" spans="1:6" x14ac:dyDescent="0.3">
      <c r="A101" s="222" t="s">
        <v>765</v>
      </c>
      <c r="B101" s="222">
        <v>3</v>
      </c>
      <c r="C101" s="222" t="s">
        <v>911</v>
      </c>
      <c r="D101" s="272" t="s">
        <v>923</v>
      </c>
      <c r="E101" s="222">
        <v>2</v>
      </c>
      <c r="F101" s="272" t="s">
        <v>924</v>
      </c>
    </row>
    <row r="102" spans="1:6" x14ac:dyDescent="0.3">
      <c r="A102" s="222" t="s">
        <v>305</v>
      </c>
      <c r="B102" s="222">
        <v>1.5</v>
      </c>
      <c r="C102" s="222" t="s">
        <v>911</v>
      </c>
      <c r="D102" s="272" t="s">
        <v>912</v>
      </c>
      <c r="E102" s="222">
        <v>1</v>
      </c>
      <c r="F102" s="272" t="s">
        <v>912</v>
      </c>
    </row>
    <row r="103" spans="1:6" x14ac:dyDescent="0.3">
      <c r="A103" s="222" t="s">
        <v>306</v>
      </c>
      <c r="B103" s="222">
        <v>1.5</v>
      </c>
      <c r="C103" s="222" t="s">
        <v>911</v>
      </c>
      <c r="D103" s="272" t="s">
        <v>912</v>
      </c>
      <c r="E103" s="222">
        <v>1</v>
      </c>
      <c r="F103" s="272" t="s">
        <v>912</v>
      </c>
    </row>
    <row r="104" spans="1:6" x14ac:dyDescent="0.3">
      <c r="A104" s="222" t="s">
        <v>307</v>
      </c>
      <c r="B104" s="222">
        <v>1.5</v>
      </c>
      <c r="C104" s="222" t="s">
        <v>911</v>
      </c>
      <c r="D104" s="272" t="s">
        <v>912</v>
      </c>
      <c r="E104" s="222">
        <v>1</v>
      </c>
      <c r="F104" s="272" t="s">
        <v>912</v>
      </c>
    </row>
    <row r="105" spans="1:6" x14ac:dyDescent="0.3">
      <c r="A105" s="222" t="s">
        <v>309</v>
      </c>
      <c r="B105" s="222">
        <v>1</v>
      </c>
      <c r="C105" s="222" t="s">
        <v>911</v>
      </c>
      <c r="D105" s="272" t="s">
        <v>913</v>
      </c>
      <c r="E105" s="222">
        <v>1</v>
      </c>
      <c r="F105" s="272" t="s">
        <v>913</v>
      </c>
    </row>
    <row r="106" spans="1:6" x14ac:dyDescent="0.3">
      <c r="A106" s="222" t="s">
        <v>310</v>
      </c>
      <c r="B106" s="222">
        <v>1</v>
      </c>
      <c r="C106" s="222" t="s">
        <v>911</v>
      </c>
      <c r="D106" s="272" t="s">
        <v>913</v>
      </c>
      <c r="E106" s="222">
        <v>1</v>
      </c>
      <c r="F106" s="272" t="s">
        <v>913</v>
      </c>
    </row>
    <row r="107" spans="1:6" x14ac:dyDescent="0.3">
      <c r="A107" s="222" t="s">
        <v>418</v>
      </c>
      <c r="B107" s="222">
        <v>1</v>
      </c>
      <c r="C107" s="222" t="s">
        <v>911</v>
      </c>
      <c r="D107" s="272" t="s">
        <v>913</v>
      </c>
      <c r="E107" s="222">
        <v>1</v>
      </c>
      <c r="F107" s="272" t="s">
        <v>913</v>
      </c>
    </row>
    <row r="108" spans="1:6" x14ac:dyDescent="0.3">
      <c r="A108" s="222" t="s">
        <v>419</v>
      </c>
      <c r="B108" s="222">
        <v>1</v>
      </c>
      <c r="C108" s="222" t="s">
        <v>911</v>
      </c>
      <c r="D108" s="272" t="s">
        <v>913</v>
      </c>
      <c r="E108" s="222">
        <v>1</v>
      </c>
      <c r="F108" s="272" t="s">
        <v>913</v>
      </c>
    </row>
    <row r="109" spans="1:6" x14ac:dyDescent="0.3">
      <c r="A109" s="222" t="s">
        <v>308</v>
      </c>
      <c r="B109" s="222">
        <v>2</v>
      </c>
      <c r="C109" s="222" t="s">
        <v>911</v>
      </c>
      <c r="D109" s="272" t="s">
        <v>920</v>
      </c>
      <c r="E109" s="222">
        <v>3</v>
      </c>
      <c r="F109" s="272" t="s">
        <v>925</v>
      </c>
    </row>
    <row r="110" spans="1:6" x14ac:dyDescent="0.3">
      <c r="A110" s="222" t="s">
        <v>72</v>
      </c>
      <c r="B110" s="222">
        <v>1</v>
      </c>
      <c r="C110" s="222" t="s">
        <v>911</v>
      </c>
      <c r="D110" s="272" t="s">
        <v>913</v>
      </c>
      <c r="E110" s="222">
        <v>1</v>
      </c>
      <c r="F110" s="272" t="s">
        <v>913</v>
      </c>
    </row>
    <row r="111" spans="1:6" x14ac:dyDescent="0.3">
      <c r="A111" s="222" t="s">
        <v>75</v>
      </c>
      <c r="B111" s="222">
        <v>1</v>
      </c>
      <c r="C111" s="222" t="s">
        <v>911</v>
      </c>
      <c r="D111" s="272" t="s">
        <v>913</v>
      </c>
      <c r="E111" s="222">
        <v>1</v>
      </c>
      <c r="F111" s="272" t="s">
        <v>913</v>
      </c>
    </row>
    <row r="112" spans="1:6" x14ac:dyDescent="0.3">
      <c r="A112" s="222" t="s">
        <v>76</v>
      </c>
      <c r="B112" s="222">
        <v>1</v>
      </c>
      <c r="C112" s="222" t="s">
        <v>911</v>
      </c>
      <c r="D112" s="272" t="s">
        <v>913</v>
      </c>
      <c r="E112" s="222">
        <v>1</v>
      </c>
      <c r="F112" s="272" t="s">
        <v>913</v>
      </c>
    </row>
    <row r="113" spans="1:6" x14ac:dyDescent="0.3">
      <c r="A113" s="222" t="s">
        <v>421</v>
      </c>
      <c r="B113" s="222">
        <v>3.5</v>
      </c>
      <c r="C113" s="222" t="s">
        <v>911</v>
      </c>
      <c r="D113" s="272" t="s">
        <v>926</v>
      </c>
      <c r="E113" s="222">
        <v>2</v>
      </c>
      <c r="F113" s="272" t="s">
        <v>927</v>
      </c>
    </row>
  </sheetData>
  <mergeCells count="6">
    <mergeCell ref="A82:F82"/>
    <mergeCell ref="A1:F1"/>
    <mergeCell ref="A2:F2"/>
    <mergeCell ref="A6:F6"/>
    <mergeCell ref="A10:F10"/>
    <mergeCell ref="A49:F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S238"/>
  <sheetViews>
    <sheetView topLeftCell="A223" zoomScale="85" zoomScaleNormal="85" workbookViewId="0">
      <selection activeCell="L253" sqref="L253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6.44140625" customWidth="1"/>
    <col min="10" max="10" width="21.109375" customWidth="1"/>
    <col min="11" max="13" width="9.1093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19" ht="23.4" x14ac:dyDescent="0.3">
      <c r="A1" s="277" t="s">
        <v>18</v>
      </c>
      <c r="B1" s="277"/>
      <c r="C1" s="277"/>
      <c r="D1" s="277"/>
      <c r="E1" s="277"/>
      <c r="F1" s="277"/>
      <c r="G1" s="277"/>
      <c r="H1" s="277"/>
      <c r="I1" s="277"/>
      <c r="J1" s="126"/>
      <c r="K1" s="126"/>
    </row>
    <row r="2" spans="1:19" ht="24" thickBot="1" x14ac:dyDescent="0.5">
      <c r="A2" s="276" t="s">
        <v>160</v>
      </c>
      <c r="B2" s="276"/>
      <c r="C2" s="276"/>
      <c r="D2" s="276"/>
      <c r="E2" s="276"/>
      <c r="F2" s="276"/>
      <c r="G2" s="276"/>
      <c r="H2" s="276"/>
      <c r="I2" s="276"/>
      <c r="J2" s="106"/>
      <c r="K2" s="106"/>
    </row>
    <row r="3" spans="1:19" ht="15" thickBot="1" x14ac:dyDescent="0.35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278" t="s">
        <v>539</v>
      </c>
      <c r="M3" s="278"/>
      <c r="N3" s="278"/>
      <c r="O3" s="278"/>
      <c r="P3" s="278"/>
      <c r="Q3" s="278"/>
    </row>
    <row r="4" spans="1:19" ht="15" thickBot="1" x14ac:dyDescent="0.35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279"/>
      <c r="M4" s="279"/>
      <c r="N4" s="279"/>
      <c r="O4" s="132" t="s">
        <v>541</v>
      </c>
      <c r="P4" s="132" t="s">
        <v>542</v>
      </c>
      <c r="Q4" s="132" t="s">
        <v>430</v>
      </c>
    </row>
    <row r="5" spans="1:19" ht="15" thickBot="1" x14ac:dyDescent="0.35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280" t="s">
        <v>160</v>
      </c>
      <c r="M5" s="280"/>
      <c r="N5" s="280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" thickBot="1" x14ac:dyDescent="0.35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280" t="s">
        <v>41</v>
      </c>
      <c r="M6" s="280"/>
      <c r="N6" s="280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" thickBot="1" x14ac:dyDescent="0.35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280" t="s">
        <v>59</v>
      </c>
      <c r="M7" s="280"/>
      <c r="N7" s="280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" thickBot="1" x14ac:dyDescent="0.35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281" t="s">
        <v>540</v>
      </c>
      <c r="M8" s="281"/>
      <c r="N8" s="281"/>
      <c r="O8" s="282">
        <f>SUM(O5:O7)</f>
        <v>17243.796313248808</v>
      </c>
      <c r="P8" s="282">
        <f>SUM(P5:P7)</f>
        <v>36486.734712379381</v>
      </c>
      <c r="Q8" s="282">
        <f>Q5+Q6+Q7</f>
        <v>53730.531025628181</v>
      </c>
    </row>
    <row r="9" spans="1:19" ht="15" thickBot="1" x14ac:dyDescent="0.35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281"/>
      <c r="M9" s="281"/>
      <c r="N9" s="281"/>
      <c r="O9" s="283"/>
      <c r="P9" s="283"/>
      <c r="Q9" s="283"/>
      <c r="R9" s="1"/>
      <c r="S9" s="1"/>
    </row>
    <row r="10" spans="1:19" ht="15" thickBot="1" x14ac:dyDescent="0.35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" thickBot="1" x14ac:dyDescent="0.35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" thickBot="1" x14ac:dyDescent="0.35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" thickBot="1" x14ac:dyDescent="0.35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ht="15" thickBot="1" x14ac:dyDescent="0.35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" thickBot="1" x14ac:dyDescent="0.35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" thickBot="1" x14ac:dyDescent="0.35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" thickBot="1" x14ac:dyDescent="0.35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" thickBot="1" x14ac:dyDescent="0.35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" thickBot="1" x14ac:dyDescent="0.35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" thickBot="1" x14ac:dyDescent="0.35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" thickBot="1" x14ac:dyDescent="0.35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" thickBot="1" x14ac:dyDescent="0.35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287"/>
      <c r="Q22" s="287"/>
    </row>
    <row r="23" spans="1:19" ht="15" thickBot="1" x14ac:dyDescent="0.35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" thickBot="1" x14ac:dyDescent="0.35">
      <c r="A24" s="154" t="s">
        <v>28</v>
      </c>
      <c r="B24" s="152">
        <f>References!Z25*4</f>
        <v>2624.7159999999999</v>
      </c>
      <c r="C24" s="152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K24">
        <f>Table9[[#This Row],[Volume]]/4</f>
        <v>656.17899999999997</v>
      </c>
      <c r="P24" s="2"/>
      <c r="Q24" s="1"/>
      <c r="R24" s="1"/>
      <c r="S24" s="1"/>
    </row>
    <row r="25" spans="1:19" ht="15" thickBot="1" x14ac:dyDescent="0.35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" thickBot="1" x14ac:dyDescent="0.35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" thickBot="1" x14ac:dyDescent="0.35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" thickBot="1" x14ac:dyDescent="0.35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" thickBot="1" x14ac:dyDescent="0.35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" thickBot="1" x14ac:dyDescent="0.35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" thickBot="1" x14ac:dyDescent="0.35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" thickBot="1" x14ac:dyDescent="0.35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" thickBot="1" x14ac:dyDescent="0.35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" thickBot="1" x14ac:dyDescent="0.35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" thickBot="1" x14ac:dyDescent="0.35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" thickBot="1" x14ac:dyDescent="0.35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" thickBot="1" x14ac:dyDescent="0.35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" thickBot="1" x14ac:dyDescent="0.35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" thickBot="1" x14ac:dyDescent="0.35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" thickBot="1" x14ac:dyDescent="0.35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" thickBot="1" x14ac:dyDescent="0.35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" thickBot="1" x14ac:dyDescent="0.35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" thickBot="1" x14ac:dyDescent="0.35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" thickBot="1" x14ac:dyDescent="0.35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" thickBot="1" x14ac:dyDescent="0.35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" thickBot="1" x14ac:dyDescent="0.35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" thickBot="1" x14ac:dyDescent="0.35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" thickBot="1" x14ac:dyDescent="0.35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" thickBot="1" x14ac:dyDescent="0.35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" thickBot="1" x14ac:dyDescent="0.35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" thickBot="1" x14ac:dyDescent="0.35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" thickBot="1" x14ac:dyDescent="0.35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" thickBot="1" x14ac:dyDescent="0.35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" thickBot="1" x14ac:dyDescent="0.35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" thickBot="1" x14ac:dyDescent="0.35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" thickBot="1" x14ac:dyDescent="0.35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" thickBot="1" x14ac:dyDescent="0.35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" thickBot="1" x14ac:dyDescent="0.35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" thickBot="1" x14ac:dyDescent="0.35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" thickBot="1" x14ac:dyDescent="0.35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" thickBot="1" x14ac:dyDescent="0.35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" thickBot="1" x14ac:dyDescent="0.35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" thickBot="1" x14ac:dyDescent="0.35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" thickBot="1" x14ac:dyDescent="0.35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" thickBot="1" x14ac:dyDescent="0.35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" thickBot="1" x14ac:dyDescent="0.35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" thickBot="1" x14ac:dyDescent="0.35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8" customFormat="1" ht="15" thickBot="1" x14ac:dyDescent="0.35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8" customFormat="1" ht="15" thickBot="1" x14ac:dyDescent="0.35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" thickBot="1" x14ac:dyDescent="0.35">
      <c r="F73" s="284" t="s">
        <v>333</v>
      </c>
      <c r="G73" s="284"/>
      <c r="H73" s="41">
        <f>SUM(H4:H72)</f>
        <v>6335.2156108951121</v>
      </c>
      <c r="I73" s="146">
        <f>SUM(I4:I72)</f>
        <v>13463.221743267075</v>
      </c>
    </row>
    <row r="74" spans="1:9" ht="15" thickBot="1" x14ac:dyDescent="0.35">
      <c r="F74" s="284" t="s">
        <v>161</v>
      </c>
      <c r="G74" s="284"/>
      <c r="H74" s="285">
        <f>H73+I73</f>
        <v>19798.437354162186</v>
      </c>
      <c r="I74" s="286"/>
    </row>
    <row r="76" spans="1:9" ht="23.4" x14ac:dyDescent="0.45">
      <c r="A76" s="288" t="s">
        <v>41</v>
      </c>
      <c r="B76" s="288"/>
      <c r="C76" s="288"/>
      <c r="D76" s="288"/>
      <c r="E76" s="288"/>
      <c r="F76" s="288"/>
      <c r="G76" s="288"/>
      <c r="H76" s="288"/>
      <c r="I76" s="288"/>
    </row>
    <row r="77" spans="1:9" ht="15" thickBot="1" x14ac:dyDescent="0.35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" thickBot="1" x14ac:dyDescent="0.35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" thickBot="1" x14ac:dyDescent="0.35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" thickBot="1" x14ac:dyDescent="0.35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11" ht="15" thickBot="1" x14ac:dyDescent="0.35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11" ht="15" thickBot="1" x14ac:dyDescent="0.35">
      <c r="A82" s="152" t="s">
        <v>230</v>
      </c>
      <c r="B82" s="152">
        <f>References!AB8*4</f>
        <v>881.32960000000003</v>
      </c>
      <c r="C82" s="152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  <c r="K82">
        <f>(Table8[[#This Row],[Volume]]+B83+B84+B85+B86+B100)/4</f>
        <v>707.74473</v>
      </c>
    </row>
    <row r="83" spans="1:11" ht="15" thickBot="1" x14ac:dyDescent="0.35">
      <c r="A83" s="152" t="s">
        <v>231</v>
      </c>
      <c r="B83" s="152">
        <f>References!AB9*4</f>
        <v>573.16452000000004</v>
      </c>
      <c r="C83" s="152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11" ht="15" thickBot="1" x14ac:dyDescent="0.35">
      <c r="A84" s="152" t="s">
        <v>232</v>
      </c>
      <c r="B84" s="152">
        <f>References!AB10*4</f>
        <v>315.02960000000002</v>
      </c>
      <c r="C84" s="152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11" ht="15" thickBot="1" x14ac:dyDescent="0.35">
      <c r="A85" s="152" t="s">
        <v>233</v>
      </c>
      <c r="B85" s="152">
        <f>References!AB11*4</f>
        <v>398.61880000000002</v>
      </c>
      <c r="C85" s="152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11" ht="15" thickBot="1" x14ac:dyDescent="0.35">
      <c r="A86" s="152" t="s">
        <v>234</v>
      </c>
      <c r="B86" s="152">
        <f>References!AB12*4</f>
        <v>571.5204</v>
      </c>
      <c r="C86" s="152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11" ht="15" thickBot="1" x14ac:dyDescent="0.35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11" ht="15" thickBot="1" x14ac:dyDescent="0.35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11" ht="15" thickBot="1" x14ac:dyDescent="0.35">
      <c r="A89" s="6" t="s">
        <v>125</v>
      </c>
      <c r="B89" s="6">
        <f>References!AB15*4</f>
        <v>136.47</v>
      </c>
      <c r="C89" s="6">
        <f>((0.15+0.01*3+0.007*(D89-E89))*B89)/3.6</f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11" ht="15" thickBot="1" x14ac:dyDescent="0.35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11" ht="15" thickBot="1" x14ac:dyDescent="0.35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11" ht="15" thickBot="1" x14ac:dyDescent="0.35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11" ht="15" thickBot="1" x14ac:dyDescent="0.35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11" ht="15" thickBot="1" x14ac:dyDescent="0.35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11" ht="15" thickBot="1" x14ac:dyDescent="0.35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11" ht="15" thickBot="1" x14ac:dyDescent="0.35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" thickBot="1" x14ac:dyDescent="0.35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" thickBot="1" x14ac:dyDescent="0.35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" thickBot="1" x14ac:dyDescent="0.35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" thickBot="1" x14ac:dyDescent="0.35">
      <c r="A100" s="152" t="s">
        <v>64</v>
      </c>
      <c r="B100" s="152">
        <f>References!AB26*4</f>
        <v>91.316000000000003</v>
      </c>
      <c r="C100" s="152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" thickBot="1" x14ac:dyDescent="0.35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" thickBot="1" x14ac:dyDescent="0.35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" thickBot="1" x14ac:dyDescent="0.35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" thickBot="1" x14ac:dyDescent="0.35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" thickBot="1" x14ac:dyDescent="0.35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" thickBot="1" x14ac:dyDescent="0.35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" thickBot="1" x14ac:dyDescent="0.35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" thickBot="1" x14ac:dyDescent="0.35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" thickBot="1" x14ac:dyDescent="0.35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" thickBot="1" x14ac:dyDescent="0.35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" thickBot="1" x14ac:dyDescent="0.35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" thickBot="1" x14ac:dyDescent="0.35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" thickBot="1" x14ac:dyDescent="0.35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" thickBot="1" x14ac:dyDescent="0.35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" thickBot="1" x14ac:dyDescent="0.35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" thickBot="1" x14ac:dyDescent="0.35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" thickBot="1" x14ac:dyDescent="0.35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" thickBot="1" x14ac:dyDescent="0.35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" thickBot="1" x14ac:dyDescent="0.35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" thickBot="1" x14ac:dyDescent="0.35">
      <c r="A120" s="6" t="s">
        <v>186</v>
      </c>
      <c r="B120" s="6">
        <f>References!AB46*4</f>
        <v>55.004800000000003</v>
      </c>
      <c r="C120" s="6">
        <f>((0.15+0.01*3+0.007*(D120-E120))*B120)/3.6</f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" thickBot="1" x14ac:dyDescent="0.35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" thickBot="1" x14ac:dyDescent="0.35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" thickBot="1" x14ac:dyDescent="0.35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" thickBot="1" x14ac:dyDescent="0.35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" thickBot="1" x14ac:dyDescent="0.35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" thickBot="1" x14ac:dyDescent="0.35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" thickBot="1" x14ac:dyDescent="0.35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" thickBot="1" x14ac:dyDescent="0.35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11" ht="15" thickBot="1" x14ac:dyDescent="0.35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11" ht="15" thickBot="1" x14ac:dyDescent="0.35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11" ht="15" thickBot="1" x14ac:dyDescent="0.35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11" ht="15" thickBot="1" x14ac:dyDescent="0.35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11" ht="15" thickBot="1" x14ac:dyDescent="0.35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  <c r="K133">
        <f>Table8[[#This Row],[L/s]]+C142</f>
        <v>13.618381333333332</v>
      </c>
    </row>
    <row r="134" spans="1:11" ht="15" thickBot="1" x14ac:dyDescent="0.35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11" ht="15" thickBot="1" x14ac:dyDescent="0.35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11" ht="15" thickBot="1" x14ac:dyDescent="0.35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11" ht="15" thickBot="1" x14ac:dyDescent="0.35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11" ht="15" thickBot="1" x14ac:dyDescent="0.35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11" ht="15" thickBot="1" x14ac:dyDescent="0.35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11" ht="15" thickBot="1" x14ac:dyDescent="0.35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11" ht="15" thickBot="1" x14ac:dyDescent="0.35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11" ht="15" thickBot="1" x14ac:dyDescent="0.35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11" ht="15" thickBot="1" x14ac:dyDescent="0.35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11" ht="15" thickBot="1" x14ac:dyDescent="0.35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" thickBot="1" x14ac:dyDescent="0.35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" thickBot="1" x14ac:dyDescent="0.35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" thickBot="1" x14ac:dyDescent="0.35">
      <c r="A147" s="6" t="s">
        <v>201</v>
      </c>
      <c r="B147" s="6">
        <f>References!AB73*4</f>
        <v>22.764800000000001</v>
      </c>
      <c r="C147" s="6">
        <f>((0.15+0.01*3+0.007*(D147-E147))*B147)/3.6</f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" thickBot="1" x14ac:dyDescent="0.35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" thickBot="1" x14ac:dyDescent="0.35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" thickBot="1" x14ac:dyDescent="0.35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" thickBot="1" x14ac:dyDescent="0.35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" thickBot="1" x14ac:dyDescent="0.35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" thickBot="1" x14ac:dyDescent="0.35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" thickBot="1" x14ac:dyDescent="0.35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" thickBot="1" x14ac:dyDescent="0.35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" thickBot="1" x14ac:dyDescent="0.35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" thickBot="1" x14ac:dyDescent="0.35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" thickBot="1" x14ac:dyDescent="0.35">
      <c r="F158" s="289" t="s">
        <v>122</v>
      </c>
      <c r="G158" s="289"/>
      <c r="H158" s="147">
        <f>SUM(H78:H157)</f>
        <v>5646.4769823865836</v>
      </c>
      <c r="I158" s="147">
        <f>SUM(I78:I157)</f>
        <v>11703.581284820526</v>
      </c>
    </row>
    <row r="159" spans="1:9" ht="15" thickBot="1" x14ac:dyDescent="0.35">
      <c r="F159" s="284" t="s">
        <v>167</v>
      </c>
      <c r="G159" s="284"/>
      <c r="H159" s="285">
        <f>I158+H158</f>
        <v>17350.05826720711</v>
      </c>
      <c r="I159" s="286"/>
    </row>
    <row r="161" spans="1:11" ht="23.4" x14ac:dyDescent="0.45">
      <c r="A161" s="276" t="s">
        <v>59</v>
      </c>
      <c r="B161" s="276"/>
      <c r="C161" s="276"/>
      <c r="D161" s="276"/>
      <c r="E161" s="276"/>
      <c r="F161" s="276"/>
      <c r="G161" s="276"/>
      <c r="H161" s="276"/>
      <c r="I161" s="276"/>
      <c r="J161" s="106"/>
      <c r="K161" s="106"/>
    </row>
    <row r="162" spans="1:11" ht="15" thickBot="1" x14ac:dyDescent="0.35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" thickBot="1" x14ac:dyDescent="0.35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1" ht="15" thickBot="1" x14ac:dyDescent="0.35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1" ht="15" thickBot="1" x14ac:dyDescent="0.35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1" ht="15" thickBot="1" x14ac:dyDescent="0.35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1" ht="15" thickBot="1" x14ac:dyDescent="0.35">
      <c r="A167" s="151" t="s">
        <v>302</v>
      </c>
      <c r="B167" s="152">
        <f>References!AE8*4</f>
        <v>149.63480000000001</v>
      </c>
      <c r="C167" s="152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1" ht="15" thickBot="1" x14ac:dyDescent="0.35">
      <c r="A168" s="151" t="s">
        <v>303</v>
      </c>
      <c r="B168" s="152">
        <f>References!AE9*4</f>
        <v>149.63480000000001</v>
      </c>
      <c r="C168" s="152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1" ht="15" thickBot="1" x14ac:dyDescent="0.35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1" ht="15" thickBot="1" x14ac:dyDescent="0.35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1" ht="15" thickBot="1" x14ac:dyDescent="0.35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1" ht="15" thickBot="1" x14ac:dyDescent="0.35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1" ht="15" thickBot="1" x14ac:dyDescent="0.35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</row>
    <row r="174" spans="1:11" ht="15" thickBot="1" x14ac:dyDescent="0.35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</row>
    <row r="175" spans="1:11" ht="15" thickBot="1" x14ac:dyDescent="0.35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1" ht="15" thickBot="1" x14ac:dyDescent="0.35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9" ht="15" thickBot="1" x14ac:dyDescent="0.35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</row>
    <row r="178" spans="1:9" ht="15" thickBot="1" x14ac:dyDescent="0.35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9" ht="15" thickBot="1" x14ac:dyDescent="0.35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9" ht="15" thickBot="1" x14ac:dyDescent="0.35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9" ht="15" thickBot="1" x14ac:dyDescent="0.35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9" ht="15" thickBot="1" x14ac:dyDescent="0.35">
      <c r="A182" s="151" t="s">
        <v>64</v>
      </c>
      <c r="B182" s="152">
        <f>References!AE23*4</f>
        <v>91.316000000000003</v>
      </c>
      <c r="C182" s="152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9" ht="15" thickBot="1" x14ac:dyDescent="0.35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9" ht="15" thickBot="1" x14ac:dyDescent="0.35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9" ht="15" thickBot="1" x14ac:dyDescent="0.35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9" ht="15" thickBot="1" x14ac:dyDescent="0.35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9" ht="15" thickBot="1" x14ac:dyDescent="0.35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9" ht="15" thickBot="1" x14ac:dyDescent="0.35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9" ht="15" thickBot="1" x14ac:dyDescent="0.35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9" ht="15" thickBot="1" x14ac:dyDescent="0.35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9" ht="15" thickBot="1" x14ac:dyDescent="0.35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9" ht="15" thickBot="1" x14ac:dyDescent="0.35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" thickBot="1" x14ac:dyDescent="0.35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" thickBot="1" x14ac:dyDescent="0.35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" thickBot="1" x14ac:dyDescent="0.35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" thickBot="1" x14ac:dyDescent="0.35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" thickBot="1" x14ac:dyDescent="0.35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" thickBot="1" x14ac:dyDescent="0.35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" thickBot="1" x14ac:dyDescent="0.35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" thickBot="1" x14ac:dyDescent="0.35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" thickBot="1" x14ac:dyDescent="0.35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" thickBot="1" x14ac:dyDescent="0.35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" thickBot="1" x14ac:dyDescent="0.35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" thickBot="1" x14ac:dyDescent="0.35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" thickBot="1" x14ac:dyDescent="0.35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" thickBot="1" x14ac:dyDescent="0.35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" thickBot="1" x14ac:dyDescent="0.35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" thickBot="1" x14ac:dyDescent="0.35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" thickBot="1" x14ac:dyDescent="0.35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" thickBot="1" x14ac:dyDescent="0.35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" thickBot="1" x14ac:dyDescent="0.35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" thickBot="1" x14ac:dyDescent="0.35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" thickBot="1" x14ac:dyDescent="0.35">
      <c r="A213" s="151" t="s">
        <v>308</v>
      </c>
      <c r="B213" s="152">
        <f>References!AE54*4</f>
        <v>93.931600000000003</v>
      </c>
      <c r="C213" s="152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" thickBot="1" x14ac:dyDescent="0.35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" thickBot="1" x14ac:dyDescent="0.35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" thickBot="1" x14ac:dyDescent="0.35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" thickBot="1" x14ac:dyDescent="0.35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" thickBot="1" x14ac:dyDescent="0.35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" thickBot="1" x14ac:dyDescent="0.35">
      <c r="A219" s="151" t="s">
        <v>312</v>
      </c>
      <c r="B219" s="152">
        <f>References!AE60*4</f>
        <v>44.348799999999997</v>
      </c>
      <c r="C219" s="152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" thickBot="1" x14ac:dyDescent="0.35">
      <c r="A220" s="151" t="s">
        <v>313</v>
      </c>
      <c r="B220" s="152">
        <f>References!AE61*4</f>
        <v>33.1</v>
      </c>
      <c r="C220" s="152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" thickBot="1" x14ac:dyDescent="0.35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" thickBot="1" x14ac:dyDescent="0.35">
      <c r="A222" s="151" t="s">
        <v>315</v>
      </c>
      <c r="B222" s="152">
        <f>References!AE63*4</f>
        <v>735.77520000000004</v>
      </c>
      <c r="C222" s="152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" thickBot="1" x14ac:dyDescent="0.35">
      <c r="A223" s="151" t="s">
        <v>316</v>
      </c>
      <c r="B223" s="152">
        <f>References!AE64*4</f>
        <v>235.44040000000001</v>
      </c>
      <c r="C223" s="152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" thickBot="1" x14ac:dyDescent="0.35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9" ht="15" thickBot="1" x14ac:dyDescent="0.35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9" ht="15" thickBot="1" x14ac:dyDescent="0.35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9" ht="15" thickBot="1" x14ac:dyDescent="0.35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</row>
    <row r="228" spans="1:9" ht="15" thickBot="1" x14ac:dyDescent="0.35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9" ht="15" thickBot="1" x14ac:dyDescent="0.35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9" ht="15" thickBot="1" x14ac:dyDescent="0.35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9" ht="15" thickBot="1" x14ac:dyDescent="0.35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9" ht="15" thickBot="1" x14ac:dyDescent="0.35">
      <c r="A232" s="157" t="s">
        <v>28</v>
      </c>
      <c r="B232" s="158">
        <f>References!AE73*4</f>
        <v>2512.0731999999998</v>
      </c>
      <c r="C232" s="158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9" s="118" customFormat="1" ht="15" thickBot="1" x14ac:dyDescent="0.35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2">
        <f t="shared" ref="G233:G234" si="25">_xlfn.IFS(E233=22.5,0.00848031,E233=24,0.009293235,E233=22,0.00821976,E233=28,0.0118162235)</f>
        <v>8.4803099999999996E-3</v>
      </c>
      <c r="H233" s="162">
        <f t="shared" ref="H233:H234" si="26">ABS(1.232*(D233-E233)*C233)</f>
        <v>46.402047999999994</v>
      </c>
      <c r="I233" s="21">
        <f t="shared" si="24"/>
        <v>90.925057871999996</v>
      </c>
    </row>
    <row r="234" spans="1:9" s="118" customFormat="1" ht="15" thickBot="1" x14ac:dyDescent="0.35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2">
        <f t="shared" si="25"/>
        <v>9.2932350000000004E-3</v>
      </c>
      <c r="H234" s="162">
        <f t="shared" si="26"/>
        <v>9.4734639999999999</v>
      </c>
      <c r="I234" s="21">
        <f t="shared" si="24"/>
        <v>19.429206848999996</v>
      </c>
    </row>
    <row r="235" spans="1:9" s="118" customFormat="1" ht="15" thickBot="1" x14ac:dyDescent="0.35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2">
        <f t="shared" ref="G235:G236" si="27">_xlfn.IFS(E235=22.5,0.00848031,E235=24,0.009293235,E235=22,0.00821976,E235=28,0.0118162235)</f>
        <v>8.4803099999999996E-3</v>
      </c>
      <c r="H235" s="162">
        <f t="shared" ref="H235:H236" si="28">ABS(1.232*(D235-E235)*C235)</f>
        <v>48.570367999999995</v>
      </c>
      <c r="I235" s="21">
        <f t="shared" si="24"/>
        <v>95.173892351999982</v>
      </c>
    </row>
    <row r="236" spans="1:9" s="118" customFormat="1" ht="15" thickBot="1" x14ac:dyDescent="0.35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2">
        <f t="shared" si="27"/>
        <v>9.2932350000000004E-3</v>
      </c>
      <c r="H236" s="162">
        <f t="shared" si="28"/>
        <v>9.837828</v>
      </c>
      <c r="I236" s="21">
        <f t="shared" si="24"/>
        <v>20.176484035499996</v>
      </c>
    </row>
    <row r="237" spans="1:9" ht="15" thickBot="1" x14ac:dyDescent="0.35">
      <c r="F237" s="284" t="s">
        <v>333</v>
      </c>
      <c r="G237" s="284"/>
      <c r="H237" s="41">
        <f>SUM(H163:H232)</f>
        <v>5262.10371996711</v>
      </c>
      <c r="I237" s="146">
        <f>SUM(I163:I236)</f>
        <v>11319.931684291781</v>
      </c>
    </row>
    <row r="238" spans="1:9" ht="15" thickBot="1" x14ac:dyDescent="0.35">
      <c r="F238" s="284" t="s">
        <v>161</v>
      </c>
      <c r="G238" s="284"/>
      <c r="H238" s="285">
        <f>I237+H237</f>
        <v>16582.035404258892</v>
      </c>
      <c r="I238" s="286"/>
    </row>
  </sheetData>
  <mergeCells count="23"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  <mergeCell ref="P8:P9"/>
    <mergeCell ref="Q8:Q9"/>
    <mergeCell ref="L4:N4"/>
    <mergeCell ref="L5:N5"/>
    <mergeCell ref="L6:N6"/>
    <mergeCell ref="L7:N7"/>
    <mergeCell ref="L8:N9"/>
  </mergeCells>
  <phoneticPr fontId="15" type="noConversion"/>
  <pageMargins left="0.7" right="0.7" top="0.75" bottom="0.75" header="0.3" footer="0.3"/>
  <pageSetup orientation="portrait" r:id="rId1"/>
  <ignoredErrors>
    <ignoredError sqref="B57:C69 B71 B23:C23 C24 B25:C40 B24 B46:C56 B41:C45 B70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129"/>
  <sheetViews>
    <sheetView topLeftCell="A49" workbookViewId="0">
      <selection activeCell="L32" sqref="L32"/>
    </sheetView>
  </sheetViews>
  <sheetFormatPr defaultRowHeight="14.4" x14ac:dyDescent="0.3"/>
  <cols>
    <col min="1" max="1" width="26.109375" customWidth="1"/>
    <col min="2" max="2" width="25.33203125" customWidth="1"/>
    <col min="3" max="3" width="12.109375" customWidth="1"/>
    <col min="4" max="6" width="8.88671875" customWidth="1"/>
    <col min="7" max="7" width="9.33203125" customWidth="1"/>
    <col min="8" max="8" width="10" customWidth="1"/>
  </cols>
  <sheetData>
    <row r="1" spans="1:17" ht="23.4" x14ac:dyDescent="0.3">
      <c r="A1" s="277" t="s">
        <v>533</v>
      </c>
      <c r="B1" s="277"/>
      <c r="C1" s="277"/>
      <c r="D1" s="277"/>
      <c r="E1" s="277"/>
      <c r="F1" s="277"/>
      <c r="G1" s="277"/>
      <c r="H1" s="277"/>
      <c r="I1" s="127"/>
    </row>
    <row r="2" spans="1:17" s="118" customFormat="1" ht="24" thickBot="1" x14ac:dyDescent="0.5">
      <c r="A2" s="275" t="s">
        <v>160</v>
      </c>
      <c r="B2" s="275"/>
      <c r="C2" s="275"/>
      <c r="D2" s="275"/>
      <c r="E2" s="275"/>
      <c r="F2" s="275"/>
      <c r="G2" s="275"/>
      <c r="H2" s="275"/>
      <c r="I2" s="103"/>
      <c r="J2" s="103"/>
      <c r="K2" s="103"/>
    </row>
    <row r="3" spans="1:17" ht="15" thickBot="1" x14ac:dyDescent="0.35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290" t="s">
        <v>539</v>
      </c>
      <c r="M3" s="290"/>
      <c r="N3" s="290"/>
      <c r="O3" s="290"/>
      <c r="P3" s="290"/>
      <c r="Q3" s="290"/>
    </row>
    <row r="4" spans="1:17" ht="42" customHeight="1" thickBot="1" x14ac:dyDescent="0.35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291"/>
      <c r="M4" s="291"/>
      <c r="N4" s="291"/>
      <c r="O4" s="133" t="s">
        <v>541</v>
      </c>
      <c r="P4" s="133" t="s">
        <v>542</v>
      </c>
      <c r="Q4" s="133" t="s">
        <v>430</v>
      </c>
    </row>
    <row r="5" spans="1:17" ht="87" thickBot="1" x14ac:dyDescent="0.35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292" t="s">
        <v>160</v>
      </c>
      <c r="M5" s="292"/>
      <c r="N5" s="292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29.4" thickBot="1" x14ac:dyDescent="0.35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292" t="s">
        <v>41</v>
      </c>
      <c r="M6" s="292"/>
      <c r="N6" s="292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58.2" thickBot="1" x14ac:dyDescent="0.35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292" t="s">
        <v>59</v>
      </c>
      <c r="M7" s="292"/>
      <c r="N7" s="292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58.2" thickBot="1" x14ac:dyDescent="0.35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281" t="s">
        <v>540</v>
      </c>
      <c r="M8" s="281"/>
      <c r="N8" s="281"/>
      <c r="O8" s="282">
        <f>SUM(O5:O7)</f>
        <v>11119.64832</v>
      </c>
      <c r="P8" s="282">
        <f>SUM(P5:P7)</f>
        <v>5615.9839999999995</v>
      </c>
      <c r="Q8" s="282">
        <f>Q5+Q6+Q7</f>
        <v>16735.632319999997</v>
      </c>
    </row>
    <row r="9" spans="1:17" ht="58.2" thickBot="1" x14ac:dyDescent="0.35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281"/>
      <c r="M9" s="281"/>
      <c r="N9" s="281"/>
      <c r="O9" s="283"/>
      <c r="P9" s="283"/>
      <c r="Q9" s="283"/>
    </row>
    <row r="10" spans="1:17" ht="58.2" thickBot="1" x14ac:dyDescent="0.35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58.2" thickBot="1" x14ac:dyDescent="0.35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58.2" thickBot="1" x14ac:dyDescent="0.35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  <c r="J12">
        <f>Table10[[#This Row],[Qs (W)]]+G6</f>
        <v>117.72288</v>
      </c>
      <c r="K12">
        <f>Table10[[#This Row],[Ql (W)]]+H6</f>
        <v>59.456000000000003</v>
      </c>
    </row>
    <row r="13" spans="1:17" ht="58.2" thickBot="1" x14ac:dyDescent="0.35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5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29.4" thickBot="1" x14ac:dyDescent="0.35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58.2" thickBot="1" x14ac:dyDescent="0.35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58.2" thickBot="1" x14ac:dyDescent="0.35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58.2" thickBot="1" x14ac:dyDescent="0.35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58.2" thickBot="1" x14ac:dyDescent="0.35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58.2" thickBot="1" x14ac:dyDescent="0.35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58.2" thickBot="1" x14ac:dyDescent="0.35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58.2" thickBot="1" x14ac:dyDescent="0.35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58.2" thickBot="1" x14ac:dyDescent="0.35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58.2" thickBot="1" x14ac:dyDescent="0.35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58.2" thickBot="1" x14ac:dyDescent="0.35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87" thickBot="1" x14ac:dyDescent="0.35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87" thickBot="1" x14ac:dyDescent="0.35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58.2" thickBot="1" x14ac:dyDescent="0.35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2.599999999999994" thickBot="1" x14ac:dyDescent="0.35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2.599999999999994" thickBot="1" x14ac:dyDescent="0.35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2.599999999999994" thickBot="1" x14ac:dyDescent="0.35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58.2" thickBot="1" x14ac:dyDescent="0.35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11" ht="86.25" customHeight="1" thickBot="1" x14ac:dyDescent="0.35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11" ht="58.2" thickBot="1" x14ac:dyDescent="0.35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11" ht="87" thickBot="1" x14ac:dyDescent="0.35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11" ht="58.2" thickBot="1" x14ac:dyDescent="0.35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11" ht="15" thickBot="1" x14ac:dyDescent="0.35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11" ht="15" thickBot="1" x14ac:dyDescent="0.35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11" ht="58.2" thickBot="1" x14ac:dyDescent="0.35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>D39*C39*F39</f>
        <v>95.293440000000004</v>
      </c>
      <c r="H39" s="62">
        <f t="shared" si="1"/>
        <v>48.128</v>
      </c>
    </row>
    <row r="40" spans="1:11" ht="15" thickBot="1" x14ac:dyDescent="0.35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11" s="50" customFormat="1" ht="54" customHeight="1" thickBot="1" x14ac:dyDescent="0.35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11" ht="58.2" thickBot="1" x14ac:dyDescent="0.35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11" ht="43.8" thickBot="1" x14ac:dyDescent="0.35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  <c r="J43">
        <f>Table10[[#This Row],[Qs (W)]]+G44</f>
        <v>1055.0707200000002</v>
      </c>
      <c r="K43">
        <f>Table10[[#This Row],[Ql (W)]]+H44</f>
        <v>532.86400000000003</v>
      </c>
    </row>
    <row r="44" spans="1:11" ht="43.8" thickBot="1" x14ac:dyDescent="0.35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11" ht="15" thickBot="1" x14ac:dyDescent="0.35">
      <c r="E45" s="293" t="s">
        <v>333</v>
      </c>
      <c r="F45" s="293"/>
      <c r="G45" s="123">
        <f>SUM(G4:G44)</f>
        <v>5447.2492799999991</v>
      </c>
      <c r="H45" s="123">
        <f>SUM(H4:H44)</f>
        <v>2751.1359999999986</v>
      </c>
    </row>
    <row r="46" spans="1:11" ht="15" thickBot="1" x14ac:dyDescent="0.35">
      <c r="E46" s="293" t="s">
        <v>161</v>
      </c>
      <c r="F46" s="293"/>
      <c r="G46" s="293">
        <f>G45+H45</f>
        <v>8198.3852799999986</v>
      </c>
      <c r="H46" s="293"/>
    </row>
    <row r="47" spans="1:11" x14ac:dyDescent="0.3">
      <c r="E47" s="49"/>
      <c r="F47" s="49"/>
      <c r="G47" s="49"/>
      <c r="H47" s="49"/>
    </row>
    <row r="48" spans="1:11" ht="23.4" x14ac:dyDescent="0.45">
      <c r="A48" s="288" t="s">
        <v>41</v>
      </c>
      <c r="B48" s="288"/>
      <c r="C48" s="288"/>
      <c r="D48" s="288"/>
      <c r="E48" s="288"/>
      <c r="F48" s="288"/>
      <c r="G48" s="288"/>
      <c r="H48" s="288"/>
      <c r="I48" s="125"/>
    </row>
    <row r="49" spans="1:8" ht="15" thickBot="1" x14ac:dyDescent="0.35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29.4" thickBot="1" x14ac:dyDescent="0.35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29.4" thickBot="1" x14ac:dyDescent="0.35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29.4" thickBot="1" x14ac:dyDescent="0.35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29.4" thickBot="1" x14ac:dyDescent="0.35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58.2" thickBot="1" x14ac:dyDescent="0.35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58.2" thickBot="1" x14ac:dyDescent="0.35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58.2" thickBot="1" x14ac:dyDescent="0.35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29.4" thickBot="1" x14ac:dyDescent="0.35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3.8" thickBot="1" x14ac:dyDescent="0.35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29.4" thickBot="1" x14ac:dyDescent="0.35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3.8" thickBot="1" x14ac:dyDescent="0.35">
      <c r="A66" s="151" t="s">
        <v>175</v>
      </c>
      <c r="B66" s="173" t="s">
        <v>381</v>
      </c>
      <c r="C66" s="152">
        <v>355</v>
      </c>
      <c r="D66" s="152">
        <v>0.33</v>
      </c>
      <c r="E66" s="152">
        <v>0.16</v>
      </c>
      <c r="F66" s="152">
        <v>0.96</v>
      </c>
      <c r="G66" s="152">
        <f t="shared" si="2"/>
        <v>112.464</v>
      </c>
      <c r="H66" s="153">
        <f t="shared" si="3"/>
        <v>56.800000000000004</v>
      </c>
    </row>
    <row r="67" spans="1:13" ht="29.4" thickBot="1" x14ac:dyDescent="0.35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2.599999999999994" thickBot="1" x14ac:dyDescent="0.35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5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2.599999999999994" thickBot="1" x14ac:dyDescent="0.35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29.4" thickBot="1" x14ac:dyDescent="0.35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29.4" thickBot="1" x14ac:dyDescent="0.35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2" thickBot="1" x14ac:dyDescent="0.35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" thickBot="1" x14ac:dyDescent="0.35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" thickBot="1" x14ac:dyDescent="0.35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72.599999999999994" thickBot="1" x14ac:dyDescent="0.35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29.4" thickBot="1" x14ac:dyDescent="0.35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3.8" thickBot="1" x14ac:dyDescent="0.35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" thickBot="1" x14ac:dyDescent="0.35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" thickBot="1" x14ac:dyDescent="0.35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58.2" thickBot="1" x14ac:dyDescent="0.35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3.8" thickBot="1" x14ac:dyDescent="0.35">
      <c r="A86" s="151" t="s">
        <v>175</v>
      </c>
      <c r="B86" s="173" t="s">
        <v>381</v>
      </c>
      <c r="C86" s="152">
        <v>355</v>
      </c>
      <c r="D86" s="152">
        <v>0.33</v>
      </c>
      <c r="E86" s="152">
        <v>0.16</v>
      </c>
      <c r="F86" s="152">
        <v>0.96</v>
      </c>
      <c r="G86" s="152">
        <f t="shared" si="2"/>
        <v>112.464</v>
      </c>
      <c r="H86" s="153">
        <f t="shared" si="3"/>
        <v>56.800000000000004</v>
      </c>
    </row>
    <row r="87" spans="1:9" ht="87" thickBot="1" x14ac:dyDescent="0.35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" thickBot="1" x14ac:dyDescent="0.35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58.2" thickBot="1" x14ac:dyDescent="0.35">
      <c r="A89" s="157" t="s">
        <v>64</v>
      </c>
      <c r="B89" s="174" t="s">
        <v>415</v>
      </c>
      <c r="C89" s="158">
        <v>45.8</v>
      </c>
      <c r="D89" s="158">
        <v>0.33</v>
      </c>
      <c r="E89" s="158">
        <v>0.16</v>
      </c>
      <c r="F89" s="158">
        <v>0.96</v>
      </c>
      <c r="G89" s="158">
        <f t="shared" si="2"/>
        <v>14.509439999999998</v>
      </c>
      <c r="H89" s="161">
        <f t="shared" si="3"/>
        <v>7.3279999999999994</v>
      </c>
    </row>
    <row r="90" spans="1:9" ht="15" thickBot="1" x14ac:dyDescent="0.35">
      <c r="E90" s="293" t="s">
        <v>333</v>
      </c>
      <c r="F90" s="293"/>
      <c r="G90" s="72">
        <f>SUM(G50:G89)</f>
        <v>3484.8253440000008</v>
      </c>
      <c r="H90" s="72">
        <f>SUM(H50:H89)</f>
        <v>1760.0128</v>
      </c>
    </row>
    <row r="91" spans="1:9" ht="15" thickBot="1" x14ac:dyDescent="0.35">
      <c r="E91" s="293" t="s">
        <v>161</v>
      </c>
      <c r="F91" s="293"/>
      <c r="G91" s="293">
        <f>G90+H90</f>
        <v>5244.8381440000012</v>
      </c>
      <c r="H91" s="293"/>
    </row>
    <row r="92" spans="1:9" x14ac:dyDescent="0.3">
      <c r="E92" s="49"/>
      <c r="F92" s="49"/>
      <c r="G92" s="49"/>
      <c r="H92" s="49"/>
    </row>
    <row r="93" spans="1:9" ht="23.4" x14ac:dyDescent="0.45">
      <c r="A93" s="276" t="s">
        <v>59</v>
      </c>
      <c r="B93" s="276"/>
      <c r="C93" s="276"/>
      <c r="D93" s="276"/>
      <c r="E93" s="276"/>
      <c r="F93" s="276"/>
      <c r="G93" s="276"/>
      <c r="H93" s="276"/>
      <c r="I93" s="106"/>
    </row>
    <row r="94" spans="1:9" ht="15" thickBot="1" x14ac:dyDescent="0.35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29.4" thickBot="1" x14ac:dyDescent="0.35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29.4" thickBot="1" x14ac:dyDescent="0.35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29.4" thickBot="1" x14ac:dyDescent="0.35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29.4" thickBot="1" x14ac:dyDescent="0.35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58.2" thickBot="1" x14ac:dyDescent="0.35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58.2" thickBot="1" x14ac:dyDescent="0.35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12" ht="58.2" thickBot="1" x14ac:dyDescent="0.35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12" ht="58.2" thickBot="1" x14ac:dyDescent="0.35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12" ht="58.2" thickBot="1" x14ac:dyDescent="0.35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12" ht="43.8" thickBot="1" x14ac:dyDescent="0.35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12" ht="29.4" thickBot="1" x14ac:dyDescent="0.35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12" ht="43.8" thickBot="1" x14ac:dyDescent="0.35">
      <c r="A118" s="151" t="s">
        <v>175</v>
      </c>
      <c r="B118" s="173" t="s">
        <v>381</v>
      </c>
      <c r="C118" s="152">
        <v>355</v>
      </c>
      <c r="D118" s="152">
        <v>0.33</v>
      </c>
      <c r="E118" s="152">
        <v>0.16</v>
      </c>
      <c r="F118" s="152">
        <v>0.96</v>
      </c>
      <c r="G118" s="152">
        <f t="shared" si="4"/>
        <v>112.464</v>
      </c>
      <c r="H118" s="153">
        <f t="shared" si="5"/>
        <v>56.800000000000004</v>
      </c>
    </row>
    <row r="119" spans="1:12" ht="29.4" thickBot="1" x14ac:dyDescent="0.35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12" ht="29.4" thickBot="1" x14ac:dyDescent="0.35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12" ht="58.2" thickBot="1" x14ac:dyDescent="0.35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  <c r="K121">
        <f>Table12[[#This Row],[Qs (W)]]+G122+G123</f>
        <v>428.44031999999993</v>
      </c>
      <c r="L121">
        <f>Table12[[#This Row],[Qw (W)]]+H122+H123</f>
        <v>216.38400000000001</v>
      </c>
    </row>
    <row r="122" spans="1:12" ht="87" thickBot="1" x14ac:dyDescent="0.35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12" ht="87" thickBot="1" x14ac:dyDescent="0.35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12" ht="58.2" thickBot="1" x14ac:dyDescent="0.35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12" ht="29.4" thickBot="1" x14ac:dyDescent="0.35">
      <c r="A125" s="151" t="s">
        <v>316</v>
      </c>
      <c r="B125" s="175" t="s">
        <v>423</v>
      </c>
      <c r="C125" s="152">
        <v>50.16</v>
      </c>
      <c r="D125" s="152">
        <v>0.33</v>
      </c>
      <c r="E125" s="152">
        <v>0.16</v>
      </c>
      <c r="F125" s="152">
        <v>0.96</v>
      </c>
      <c r="G125" s="152">
        <f t="shared" si="4"/>
        <v>15.890688000000001</v>
      </c>
      <c r="H125" s="153">
        <f t="shared" si="5"/>
        <v>8.025599999999999</v>
      </c>
    </row>
    <row r="126" spans="1:12" ht="29.4" thickBot="1" x14ac:dyDescent="0.35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12" ht="58.2" thickBot="1" x14ac:dyDescent="0.35">
      <c r="A127" s="157" t="s">
        <v>64</v>
      </c>
      <c r="B127" s="174" t="s">
        <v>424</v>
      </c>
      <c r="C127" s="158">
        <v>45.8</v>
      </c>
      <c r="D127" s="158">
        <v>0.33</v>
      </c>
      <c r="E127" s="158">
        <v>0.16</v>
      </c>
      <c r="F127" s="158">
        <v>0.96</v>
      </c>
      <c r="G127" s="158">
        <f t="shared" si="4"/>
        <v>14.509439999999998</v>
      </c>
      <c r="H127" s="161">
        <f t="shared" si="5"/>
        <v>7.3279999999999994</v>
      </c>
    </row>
    <row r="128" spans="1:12" ht="15" thickBot="1" x14ac:dyDescent="0.35">
      <c r="E128" s="293" t="s">
        <v>333</v>
      </c>
      <c r="F128" s="293"/>
      <c r="G128" s="72">
        <f>SUM(G95:G127)</f>
        <v>2187.573695999999</v>
      </c>
      <c r="H128" s="72">
        <f>SUM(H95:H127)</f>
        <v>1104.8352000000002</v>
      </c>
    </row>
    <row r="129" spans="5:8" ht="15" thickBot="1" x14ac:dyDescent="0.35">
      <c r="E129" s="293" t="s">
        <v>161</v>
      </c>
      <c r="F129" s="293"/>
      <c r="G129" s="293">
        <f>G128+H128</f>
        <v>3292.408895999999</v>
      </c>
      <c r="H129" s="293"/>
    </row>
  </sheetData>
  <mergeCells count="22"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  <mergeCell ref="L8:N9"/>
    <mergeCell ref="O8:O9"/>
    <mergeCell ref="P8:P9"/>
    <mergeCell ref="Q8:Q9"/>
    <mergeCell ref="L3:Q3"/>
    <mergeCell ref="L4:N4"/>
    <mergeCell ref="L5:N5"/>
    <mergeCell ref="L6:N6"/>
    <mergeCell ref="L7:N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77"/>
  <sheetViews>
    <sheetView workbookViewId="0">
      <selection activeCell="L169" sqref="L169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s="118" customFormat="1" ht="23.4" x14ac:dyDescent="0.3">
      <c r="A1" s="277" t="s">
        <v>532</v>
      </c>
      <c r="B1" s="277"/>
      <c r="C1" s="277"/>
      <c r="D1" s="277"/>
      <c r="E1" s="277"/>
      <c r="F1" s="277"/>
      <c r="G1" s="277"/>
      <c r="H1" s="277"/>
    </row>
    <row r="2" spans="1:17" ht="24" thickBot="1" x14ac:dyDescent="0.5">
      <c r="A2" s="276" t="s">
        <v>59</v>
      </c>
      <c r="B2" s="276"/>
      <c r="C2" s="276"/>
      <c r="D2" s="276"/>
      <c r="E2" s="276"/>
      <c r="F2" s="276"/>
      <c r="G2" s="276"/>
      <c r="H2" s="276"/>
    </row>
    <row r="3" spans="1:17" ht="15" thickBot="1" x14ac:dyDescent="0.35">
      <c r="A3" s="300" t="s">
        <v>425</v>
      </c>
      <c r="B3" s="300"/>
      <c r="C3" s="300"/>
      <c r="D3" s="300"/>
      <c r="E3" s="300"/>
      <c r="F3" s="300"/>
      <c r="G3" s="300"/>
      <c r="H3" s="300"/>
      <c r="L3" s="278" t="s">
        <v>539</v>
      </c>
      <c r="M3" s="278"/>
      <c r="N3" s="278"/>
      <c r="O3" s="278"/>
      <c r="P3" s="278"/>
      <c r="Q3" s="278"/>
    </row>
    <row r="4" spans="1:17" ht="15" thickBot="1" x14ac:dyDescent="0.35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279"/>
      <c r="M4" s="279"/>
      <c r="N4" s="279"/>
      <c r="O4" s="279" t="s">
        <v>430</v>
      </c>
      <c r="P4" s="279"/>
      <c r="Q4" s="279"/>
    </row>
    <row r="5" spans="1:17" ht="15" thickBot="1" x14ac:dyDescent="0.35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280" t="s">
        <v>160</v>
      </c>
      <c r="M5" s="280"/>
      <c r="N5" s="280"/>
      <c r="O5" s="280">
        <v>0</v>
      </c>
      <c r="P5" s="280"/>
      <c r="Q5" s="280"/>
    </row>
    <row r="6" spans="1:17" ht="15" thickBot="1" x14ac:dyDescent="0.35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280" t="s">
        <v>41</v>
      </c>
      <c r="M6" s="280"/>
      <c r="N6" s="280"/>
      <c r="O6" s="280">
        <f>I87</f>
        <v>0</v>
      </c>
      <c r="P6" s="280"/>
      <c r="Q6" s="280"/>
    </row>
    <row r="7" spans="1:17" ht="15" thickBot="1" x14ac:dyDescent="0.35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280" t="s">
        <v>59</v>
      </c>
      <c r="M7" s="280"/>
      <c r="N7" s="280"/>
      <c r="O7" s="280">
        <f>H49</f>
        <v>33330.762702411113</v>
      </c>
      <c r="P7" s="280"/>
      <c r="Q7" s="280"/>
    </row>
    <row r="8" spans="1:17" ht="15" thickBot="1" x14ac:dyDescent="0.35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281" t="s">
        <v>540</v>
      </c>
      <c r="M8" s="281"/>
      <c r="N8" s="281"/>
      <c r="O8" s="294">
        <f>O5+O6+O7</f>
        <v>33330.762702411113</v>
      </c>
      <c r="P8" s="295"/>
      <c r="Q8" s="296"/>
    </row>
    <row r="9" spans="1:17" ht="15" thickBot="1" x14ac:dyDescent="0.35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281"/>
      <c r="M9" s="281"/>
      <c r="N9" s="281"/>
      <c r="O9" s="297"/>
      <c r="P9" s="298"/>
      <c r="Q9" s="299"/>
    </row>
    <row r="10" spans="1:17" ht="15" thickBot="1" x14ac:dyDescent="0.35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" thickBot="1" x14ac:dyDescent="0.35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" thickBot="1" x14ac:dyDescent="0.35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" thickBot="1" x14ac:dyDescent="0.35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" thickBot="1" x14ac:dyDescent="0.35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" thickBot="1" x14ac:dyDescent="0.35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" thickBot="1" x14ac:dyDescent="0.35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" thickBot="1" x14ac:dyDescent="0.35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" thickBot="1" x14ac:dyDescent="0.35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" thickBot="1" x14ac:dyDescent="0.35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" thickBot="1" x14ac:dyDescent="0.35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" thickBot="1" x14ac:dyDescent="0.35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" thickBot="1" x14ac:dyDescent="0.35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" thickBot="1" x14ac:dyDescent="0.35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" thickBot="1" x14ac:dyDescent="0.35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" thickBot="1" x14ac:dyDescent="0.35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" thickBot="1" x14ac:dyDescent="0.35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" thickBot="1" x14ac:dyDescent="0.35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" thickBot="1" x14ac:dyDescent="0.35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" thickBot="1" x14ac:dyDescent="0.35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" thickBot="1" x14ac:dyDescent="0.35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" thickBot="1" x14ac:dyDescent="0.35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" thickBot="1" x14ac:dyDescent="0.35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" thickBot="1" x14ac:dyDescent="0.35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" thickBot="1" x14ac:dyDescent="0.35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" thickBot="1" x14ac:dyDescent="0.35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" thickBot="1" x14ac:dyDescent="0.35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" thickBot="1" x14ac:dyDescent="0.35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" thickBot="1" x14ac:dyDescent="0.35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" thickBot="1" x14ac:dyDescent="0.35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" thickBot="1" x14ac:dyDescent="0.35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" thickBot="1" x14ac:dyDescent="0.35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" thickBot="1" x14ac:dyDescent="0.35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" thickBot="1" x14ac:dyDescent="0.35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" thickBot="1" x14ac:dyDescent="0.35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" thickBot="1" x14ac:dyDescent="0.35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" thickBot="1" x14ac:dyDescent="0.35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8" customFormat="1" ht="15" thickBot="1" x14ac:dyDescent="0.35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8" customFormat="1" ht="15" thickBot="1" x14ac:dyDescent="0.35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" thickBot="1" x14ac:dyDescent="0.35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3">
      <c r="A50" s="43"/>
      <c r="B50" s="43"/>
      <c r="C50" s="43"/>
      <c r="G50" s="73"/>
      <c r="M50" s="44"/>
      <c r="N50" s="44"/>
    </row>
    <row r="51" spans="1:17" x14ac:dyDescent="0.3">
      <c r="M51" s="44"/>
      <c r="N51" s="44"/>
    </row>
    <row r="52" spans="1:17" x14ac:dyDescent="0.3">
      <c r="M52" s="44"/>
      <c r="N52" s="44"/>
    </row>
    <row r="53" spans="1:17" x14ac:dyDescent="0.3">
      <c r="M53" s="44"/>
      <c r="N53" s="44"/>
    </row>
    <row r="54" spans="1:17" x14ac:dyDescent="0.3">
      <c r="M54" s="44"/>
      <c r="N54" s="44"/>
    </row>
    <row r="55" spans="1:17" x14ac:dyDescent="0.3">
      <c r="M55" s="44"/>
      <c r="N55" s="44"/>
    </row>
    <row r="56" spans="1:17" x14ac:dyDescent="0.3">
      <c r="M56" s="44"/>
      <c r="N56" s="44"/>
    </row>
    <row r="57" spans="1:17" x14ac:dyDescent="0.3">
      <c r="M57" s="44"/>
      <c r="N57" s="44"/>
    </row>
    <row r="58" spans="1:17" x14ac:dyDescent="0.3">
      <c r="M58" s="44"/>
      <c r="N58" s="44"/>
    </row>
    <row r="59" spans="1:17" x14ac:dyDescent="0.3">
      <c r="M59" s="44"/>
      <c r="N59" s="44"/>
    </row>
    <row r="60" spans="1:17" x14ac:dyDescent="0.3">
      <c r="M60" s="44"/>
      <c r="N60" s="44"/>
    </row>
    <row r="61" spans="1:17" x14ac:dyDescent="0.3">
      <c r="M61" s="44"/>
      <c r="N61" s="44"/>
    </row>
    <row r="62" spans="1:17" x14ac:dyDescent="0.3">
      <c r="M62" s="44"/>
      <c r="N62" s="44"/>
    </row>
    <row r="63" spans="1:17" x14ac:dyDescent="0.3">
      <c r="M63" s="44"/>
      <c r="N63" s="44"/>
    </row>
    <row r="64" spans="1:17" x14ac:dyDescent="0.3">
      <c r="M64" s="44"/>
      <c r="N64" s="44"/>
    </row>
    <row r="65" spans="13:14" x14ac:dyDescent="0.3">
      <c r="M65" s="44"/>
      <c r="N65" s="44"/>
    </row>
    <row r="66" spans="13:14" x14ac:dyDescent="0.3">
      <c r="M66" s="44"/>
      <c r="N66" s="44"/>
    </row>
    <row r="67" spans="13:14" x14ac:dyDescent="0.3">
      <c r="M67" s="44"/>
      <c r="N67" s="44"/>
    </row>
    <row r="68" spans="13:14" x14ac:dyDescent="0.3">
      <c r="M68" s="44"/>
      <c r="N68" s="44"/>
    </row>
    <row r="69" spans="13:14" x14ac:dyDescent="0.3">
      <c r="M69" s="44"/>
      <c r="N69" s="44"/>
    </row>
    <row r="70" spans="13:14" x14ac:dyDescent="0.3">
      <c r="M70" s="44"/>
      <c r="N70" s="44"/>
    </row>
    <row r="71" spans="13:14" x14ac:dyDescent="0.3">
      <c r="M71" s="44"/>
      <c r="N71" s="44"/>
    </row>
    <row r="72" spans="13:14" x14ac:dyDescent="0.3">
      <c r="M72" s="44"/>
      <c r="N72" s="44"/>
    </row>
    <row r="73" spans="13:14" x14ac:dyDescent="0.3">
      <c r="M73" s="44"/>
      <c r="N73" s="44"/>
    </row>
    <row r="74" spans="13:14" x14ac:dyDescent="0.3">
      <c r="M74" s="44"/>
      <c r="N74" s="44"/>
    </row>
    <row r="75" spans="13:14" x14ac:dyDescent="0.3">
      <c r="M75" s="44"/>
      <c r="N75" s="44"/>
    </row>
    <row r="76" spans="13:14" x14ac:dyDescent="0.3">
      <c r="M76" s="44"/>
      <c r="N76" s="44"/>
    </row>
    <row r="77" spans="13:14" x14ac:dyDescent="0.3">
      <c r="M77" s="44"/>
      <c r="N77" s="44"/>
    </row>
  </sheetData>
  <mergeCells count="14">
    <mergeCell ref="A1:H1"/>
    <mergeCell ref="A3:H3"/>
    <mergeCell ref="A2:H2"/>
    <mergeCell ref="L3:Q3"/>
    <mergeCell ref="L7:N7"/>
    <mergeCell ref="O7:Q7"/>
    <mergeCell ref="L8:N9"/>
    <mergeCell ref="O8:Q9"/>
    <mergeCell ref="L4:N4"/>
    <mergeCell ref="O4:Q4"/>
    <mergeCell ref="L5:N5"/>
    <mergeCell ref="O5:Q5"/>
    <mergeCell ref="L6:N6"/>
    <mergeCell ref="O6:Q6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P296"/>
  <sheetViews>
    <sheetView topLeftCell="A148" zoomScale="85" zoomScaleNormal="85" workbookViewId="0">
      <selection activeCell="I89" sqref="H3:I89"/>
    </sheetView>
  </sheetViews>
  <sheetFormatPr defaultRowHeight="14.4" x14ac:dyDescent="0.3"/>
  <cols>
    <col min="1" max="1" width="33.5546875" style="77" customWidth="1"/>
    <col min="2" max="2" width="35.44140625" style="77" customWidth="1"/>
    <col min="3" max="10" width="8.88671875" customWidth="1"/>
  </cols>
  <sheetData>
    <row r="1" spans="1:16" ht="23.4" x14ac:dyDescent="0.3">
      <c r="A1" s="277" t="s">
        <v>536</v>
      </c>
      <c r="B1" s="277"/>
      <c r="C1" s="277"/>
      <c r="D1" s="277"/>
      <c r="E1" s="277"/>
      <c r="F1" s="277"/>
      <c r="G1" s="277"/>
      <c r="H1" s="131"/>
      <c r="I1" s="111"/>
    </row>
    <row r="2" spans="1:16" s="118" customFormat="1" ht="24" thickBot="1" x14ac:dyDescent="0.5">
      <c r="A2" s="275" t="s">
        <v>160</v>
      </c>
      <c r="B2" s="275"/>
      <c r="C2" s="275"/>
      <c r="D2" s="275"/>
      <c r="E2" s="275"/>
      <c r="F2" s="275"/>
      <c r="G2" s="275"/>
      <c r="H2" s="103"/>
    </row>
    <row r="3" spans="1:16" ht="15" thickBot="1" x14ac:dyDescent="0.35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278" t="s">
        <v>539</v>
      </c>
      <c r="L3" s="278"/>
      <c r="M3" s="278"/>
      <c r="N3" s="278"/>
      <c r="O3" s="278"/>
      <c r="P3" s="278"/>
    </row>
    <row r="4" spans="1:16" ht="15" thickBot="1" x14ac:dyDescent="0.35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279"/>
      <c r="L4" s="279"/>
      <c r="M4" s="279"/>
      <c r="N4" s="279" t="s">
        <v>430</v>
      </c>
      <c r="O4" s="279"/>
      <c r="P4" s="279"/>
    </row>
    <row r="5" spans="1:16" ht="15" thickBot="1" x14ac:dyDescent="0.35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280" t="s">
        <v>160</v>
      </c>
      <c r="L5" s="280"/>
      <c r="M5" s="280"/>
      <c r="N5" s="280">
        <f>G90</f>
        <v>18554.539067999998</v>
      </c>
      <c r="O5" s="280"/>
      <c r="P5" s="280"/>
    </row>
    <row r="6" spans="1:16" ht="15" thickBot="1" x14ac:dyDescent="0.35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280" t="s">
        <v>41</v>
      </c>
      <c r="L6" s="280"/>
      <c r="M6" s="280"/>
      <c r="N6" s="280">
        <f>G198</f>
        <v>19890.591177600007</v>
      </c>
      <c r="O6" s="280"/>
      <c r="P6" s="280"/>
    </row>
    <row r="7" spans="1:16" ht="15" thickBot="1" x14ac:dyDescent="0.35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280" t="s">
        <v>59</v>
      </c>
      <c r="L7" s="280"/>
      <c r="M7" s="280"/>
      <c r="N7" s="280">
        <f>G296</f>
        <v>17107.397424000003</v>
      </c>
      <c r="O7" s="280"/>
      <c r="P7" s="280"/>
    </row>
    <row r="8" spans="1:16" ht="15" thickBot="1" x14ac:dyDescent="0.35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281" t="s">
        <v>540</v>
      </c>
      <c r="L8" s="281"/>
      <c r="M8" s="281"/>
      <c r="N8" s="294">
        <f>N5+N6+N7</f>
        <v>55552.527669600007</v>
      </c>
      <c r="O8" s="295"/>
      <c r="P8" s="296"/>
    </row>
    <row r="9" spans="1:16" ht="15" thickBot="1" x14ac:dyDescent="0.35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281"/>
      <c r="L9" s="281"/>
      <c r="M9" s="281"/>
      <c r="N9" s="297"/>
      <c r="O9" s="298"/>
      <c r="P9" s="299"/>
    </row>
    <row r="10" spans="1:16" ht="15" thickBot="1" x14ac:dyDescent="0.35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" thickBot="1" x14ac:dyDescent="0.35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" thickBot="1" x14ac:dyDescent="0.35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" thickBot="1" x14ac:dyDescent="0.35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  <c r="H13" s="287"/>
    </row>
    <row r="14" spans="1:16" ht="15" thickBot="1" x14ac:dyDescent="0.35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  <c r="H14" s="287"/>
    </row>
    <row r="15" spans="1:16" ht="15" thickBot="1" x14ac:dyDescent="0.35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  <c r="H15" s="287"/>
    </row>
    <row r="16" spans="1:16" ht="15" thickBot="1" x14ac:dyDescent="0.35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  <c r="H16" s="287"/>
    </row>
    <row r="17" spans="1:8" ht="15" thickBot="1" x14ac:dyDescent="0.35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8" ht="15" thickBot="1" x14ac:dyDescent="0.35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8" ht="15" thickBot="1" x14ac:dyDescent="0.35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  <c r="H19" s="287"/>
    </row>
    <row r="20" spans="1:8" ht="15" thickBot="1" x14ac:dyDescent="0.35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  <c r="H20" s="287"/>
    </row>
    <row r="21" spans="1:8" ht="15" thickBot="1" x14ac:dyDescent="0.35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8" ht="15" thickBot="1" x14ac:dyDescent="0.35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8" ht="15" thickBot="1" x14ac:dyDescent="0.35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8" ht="15" thickBot="1" x14ac:dyDescent="0.35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8" ht="15" thickBot="1" x14ac:dyDescent="0.35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8" ht="15" thickBot="1" x14ac:dyDescent="0.35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8" ht="15" thickBot="1" x14ac:dyDescent="0.35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8" ht="15" thickBot="1" x14ac:dyDescent="0.35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8" ht="15" thickBot="1" x14ac:dyDescent="0.35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8" ht="15" thickBot="1" x14ac:dyDescent="0.35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8" ht="15" thickBot="1" x14ac:dyDescent="0.35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8" ht="15" thickBot="1" x14ac:dyDescent="0.35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" thickBot="1" x14ac:dyDescent="0.35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" thickBot="1" x14ac:dyDescent="0.35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" thickBot="1" x14ac:dyDescent="0.35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" thickBot="1" x14ac:dyDescent="0.35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" thickBot="1" x14ac:dyDescent="0.35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" thickBot="1" x14ac:dyDescent="0.35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" thickBot="1" x14ac:dyDescent="0.35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" thickBot="1" x14ac:dyDescent="0.35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" thickBot="1" x14ac:dyDescent="0.35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" thickBot="1" x14ac:dyDescent="0.35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" thickBot="1" x14ac:dyDescent="0.35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" thickBot="1" x14ac:dyDescent="0.35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" thickBot="1" x14ac:dyDescent="0.35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" thickBot="1" x14ac:dyDescent="0.35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" thickBot="1" x14ac:dyDescent="0.35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" thickBot="1" x14ac:dyDescent="0.35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" thickBot="1" x14ac:dyDescent="0.35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" thickBot="1" x14ac:dyDescent="0.35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" thickBot="1" x14ac:dyDescent="0.35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" thickBot="1" x14ac:dyDescent="0.35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" thickBot="1" x14ac:dyDescent="0.35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" thickBot="1" x14ac:dyDescent="0.35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" thickBot="1" x14ac:dyDescent="0.35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" thickBot="1" x14ac:dyDescent="0.35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8"/>
      <c r="I56" s="118"/>
    </row>
    <row r="57" spans="1:9" ht="15" thickBot="1" x14ac:dyDescent="0.35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" thickBot="1" x14ac:dyDescent="0.35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" thickBot="1" x14ac:dyDescent="0.35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" thickBot="1" x14ac:dyDescent="0.35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" thickBot="1" x14ac:dyDescent="0.35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" thickBot="1" x14ac:dyDescent="0.35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" thickBot="1" x14ac:dyDescent="0.35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" thickBot="1" x14ac:dyDescent="0.35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8" ht="15" thickBot="1" x14ac:dyDescent="0.35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8" ht="15" thickBot="1" x14ac:dyDescent="0.35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8" ht="15" thickBot="1" x14ac:dyDescent="0.35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8" ht="15" thickBot="1" x14ac:dyDescent="0.35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8" ht="15" thickBot="1" x14ac:dyDescent="0.35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8" ht="15" thickBot="1" x14ac:dyDescent="0.35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8" ht="15" thickBot="1" x14ac:dyDescent="0.35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8" ht="15" thickBot="1" x14ac:dyDescent="0.35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8" ht="15" thickBot="1" x14ac:dyDescent="0.35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8" ht="15" thickBot="1" x14ac:dyDescent="0.35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8" ht="15" thickBot="1" x14ac:dyDescent="0.35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8" ht="15" thickBot="1" x14ac:dyDescent="0.35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8" ht="15" thickBot="1" x14ac:dyDescent="0.35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8" ht="15" thickBot="1" x14ac:dyDescent="0.35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  <c r="H78" s="287"/>
    </row>
    <row r="79" spans="1:8" ht="15" thickBot="1" x14ac:dyDescent="0.35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  <c r="H79" s="287"/>
    </row>
    <row r="80" spans="1:8" ht="15" thickBot="1" x14ac:dyDescent="0.35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  <c r="H80" s="287"/>
    </row>
    <row r="81" spans="1:9" ht="15" thickBot="1" x14ac:dyDescent="0.35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  <c r="H81" s="287"/>
    </row>
    <row r="82" spans="1:9" ht="15" thickBot="1" x14ac:dyDescent="0.35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  <c r="H82" s="287"/>
    </row>
    <row r="83" spans="1:9" ht="15" thickBot="1" x14ac:dyDescent="0.35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  <c r="H83" s="287"/>
    </row>
    <row r="84" spans="1:9" ht="15" thickBot="1" x14ac:dyDescent="0.35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  <c r="H84" s="287"/>
    </row>
    <row r="85" spans="1:9" ht="15" thickBot="1" x14ac:dyDescent="0.35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  <c r="H85" s="301"/>
    </row>
    <row r="86" spans="1:9" ht="15" thickBot="1" x14ac:dyDescent="0.35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  <c r="H86" s="301"/>
    </row>
    <row r="87" spans="1:9" ht="15" thickBot="1" x14ac:dyDescent="0.35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  <c r="H87" s="301"/>
    </row>
    <row r="88" spans="1:9" ht="15" thickBot="1" x14ac:dyDescent="0.35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" thickBot="1" x14ac:dyDescent="0.35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" thickBot="1" x14ac:dyDescent="0.35">
      <c r="F90" s="41" t="s">
        <v>333</v>
      </c>
      <c r="G90" s="41">
        <f>SUM(Table14[Q])</f>
        <v>18554.539067999998</v>
      </c>
    </row>
    <row r="93" spans="1:9" ht="24" thickBot="1" x14ac:dyDescent="0.5">
      <c r="A93" s="275" t="s">
        <v>41</v>
      </c>
      <c r="B93" s="275"/>
      <c r="C93" s="275"/>
      <c r="D93" s="275"/>
      <c r="E93" s="275"/>
      <c r="F93" s="275"/>
      <c r="G93" s="275"/>
      <c r="H93" s="103"/>
      <c r="I93" s="103"/>
    </row>
    <row r="94" spans="1:9" ht="15" thickBot="1" x14ac:dyDescent="0.35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" thickBot="1" x14ac:dyDescent="0.35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" thickBot="1" x14ac:dyDescent="0.35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" thickBot="1" x14ac:dyDescent="0.35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" thickBot="1" x14ac:dyDescent="0.35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" thickBot="1" x14ac:dyDescent="0.35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" thickBot="1" x14ac:dyDescent="0.35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" thickBot="1" x14ac:dyDescent="0.35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" thickBot="1" x14ac:dyDescent="0.35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" thickBot="1" x14ac:dyDescent="0.35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" thickBot="1" x14ac:dyDescent="0.35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" thickBot="1" x14ac:dyDescent="0.35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" thickBot="1" x14ac:dyDescent="0.35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" thickBot="1" x14ac:dyDescent="0.35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" thickBot="1" x14ac:dyDescent="0.35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" thickBot="1" x14ac:dyDescent="0.35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" thickBot="1" x14ac:dyDescent="0.35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" thickBot="1" x14ac:dyDescent="0.35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" thickBot="1" x14ac:dyDescent="0.35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" thickBot="1" x14ac:dyDescent="0.35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" thickBot="1" x14ac:dyDescent="0.35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" thickBot="1" x14ac:dyDescent="0.35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" thickBot="1" x14ac:dyDescent="0.35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" thickBot="1" x14ac:dyDescent="0.35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" thickBot="1" x14ac:dyDescent="0.35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" thickBot="1" x14ac:dyDescent="0.35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" thickBot="1" x14ac:dyDescent="0.35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" thickBot="1" x14ac:dyDescent="0.35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" thickBot="1" x14ac:dyDescent="0.35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" thickBot="1" x14ac:dyDescent="0.35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" thickBot="1" x14ac:dyDescent="0.35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" thickBot="1" x14ac:dyDescent="0.35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" thickBot="1" x14ac:dyDescent="0.35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" thickBot="1" x14ac:dyDescent="0.35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" thickBot="1" x14ac:dyDescent="0.35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" thickBot="1" x14ac:dyDescent="0.35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" thickBot="1" x14ac:dyDescent="0.35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" thickBot="1" x14ac:dyDescent="0.35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" thickBot="1" x14ac:dyDescent="0.35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" thickBot="1" x14ac:dyDescent="0.35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" thickBot="1" x14ac:dyDescent="0.35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" thickBot="1" x14ac:dyDescent="0.35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" thickBot="1" x14ac:dyDescent="0.35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" thickBot="1" x14ac:dyDescent="0.35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" thickBot="1" x14ac:dyDescent="0.35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" thickBot="1" x14ac:dyDescent="0.35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" thickBot="1" x14ac:dyDescent="0.35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" thickBot="1" x14ac:dyDescent="0.35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" thickBot="1" x14ac:dyDescent="0.35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" thickBot="1" x14ac:dyDescent="0.35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" thickBot="1" x14ac:dyDescent="0.35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" thickBot="1" x14ac:dyDescent="0.35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" thickBot="1" x14ac:dyDescent="0.35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" thickBot="1" x14ac:dyDescent="0.35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" thickBot="1" x14ac:dyDescent="0.35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" thickBot="1" x14ac:dyDescent="0.35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" thickBot="1" x14ac:dyDescent="0.35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" thickBot="1" x14ac:dyDescent="0.35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" thickBot="1" x14ac:dyDescent="0.35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" thickBot="1" x14ac:dyDescent="0.35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" thickBot="1" x14ac:dyDescent="0.35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" thickBot="1" x14ac:dyDescent="0.35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" thickBot="1" x14ac:dyDescent="0.35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" thickBot="1" x14ac:dyDescent="0.35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" thickBot="1" x14ac:dyDescent="0.35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" thickBot="1" x14ac:dyDescent="0.35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" thickBot="1" x14ac:dyDescent="0.35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" thickBot="1" x14ac:dyDescent="0.35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" thickBot="1" x14ac:dyDescent="0.35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" thickBot="1" x14ac:dyDescent="0.35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" thickBot="1" x14ac:dyDescent="0.35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" thickBot="1" x14ac:dyDescent="0.35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" thickBot="1" x14ac:dyDescent="0.35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" thickBot="1" x14ac:dyDescent="0.35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" thickBot="1" x14ac:dyDescent="0.35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" thickBot="1" x14ac:dyDescent="0.35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" thickBot="1" x14ac:dyDescent="0.35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" thickBot="1" x14ac:dyDescent="0.35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" thickBot="1" x14ac:dyDescent="0.35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" thickBot="1" x14ac:dyDescent="0.35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" thickBot="1" x14ac:dyDescent="0.35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" thickBot="1" x14ac:dyDescent="0.35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" thickBot="1" x14ac:dyDescent="0.35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" thickBot="1" x14ac:dyDescent="0.35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" thickBot="1" x14ac:dyDescent="0.35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" thickBot="1" x14ac:dyDescent="0.35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" thickBot="1" x14ac:dyDescent="0.35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" thickBot="1" x14ac:dyDescent="0.35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" thickBot="1" x14ac:dyDescent="0.35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" thickBot="1" x14ac:dyDescent="0.35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" thickBot="1" x14ac:dyDescent="0.35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" thickBot="1" x14ac:dyDescent="0.35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" thickBot="1" x14ac:dyDescent="0.35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" thickBot="1" x14ac:dyDescent="0.35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" thickBot="1" x14ac:dyDescent="0.35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" thickBot="1" x14ac:dyDescent="0.35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" thickBot="1" x14ac:dyDescent="0.35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" thickBot="1" x14ac:dyDescent="0.35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" thickBot="1" x14ac:dyDescent="0.35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" thickBot="1" x14ac:dyDescent="0.35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" thickBot="1" x14ac:dyDescent="0.35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" thickBot="1" x14ac:dyDescent="0.35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" thickBot="1" x14ac:dyDescent="0.35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" thickBot="1" x14ac:dyDescent="0.35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" thickBot="1" x14ac:dyDescent="0.35">
      <c r="F198" s="41" t="s">
        <v>333</v>
      </c>
      <c r="G198" s="41">
        <f>SUM(G95:G197)</f>
        <v>19890.591177600007</v>
      </c>
    </row>
    <row r="200" spans="1:9" s="118" customFormat="1" ht="23.4" x14ac:dyDescent="0.45">
      <c r="A200" s="276" t="s">
        <v>59</v>
      </c>
      <c r="B200" s="276"/>
      <c r="C200" s="276"/>
      <c r="D200" s="276"/>
      <c r="E200" s="276"/>
      <c r="F200" s="276"/>
      <c r="G200" s="276"/>
      <c r="H200" s="106"/>
      <c r="I200" s="106"/>
    </row>
    <row r="201" spans="1:9" ht="15" thickBot="1" x14ac:dyDescent="0.35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" thickBot="1" x14ac:dyDescent="0.35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" thickBot="1" x14ac:dyDescent="0.35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" thickBot="1" x14ac:dyDescent="0.35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" thickBot="1" x14ac:dyDescent="0.35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" thickBot="1" x14ac:dyDescent="0.35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" thickBot="1" x14ac:dyDescent="0.35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" thickBot="1" x14ac:dyDescent="0.35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" thickBot="1" x14ac:dyDescent="0.35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" thickBot="1" x14ac:dyDescent="0.35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" thickBot="1" x14ac:dyDescent="0.35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" thickBot="1" x14ac:dyDescent="0.35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" thickBot="1" x14ac:dyDescent="0.35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" thickBot="1" x14ac:dyDescent="0.35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" thickBot="1" x14ac:dyDescent="0.35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" thickBot="1" x14ac:dyDescent="0.35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" thickBot="1" x14ac:dyDescent="0.35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" thickBot="1" x14ac:dyDescent="0.35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" thickBot="1" x14ac:dyDescent="0.35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" thickBot="1" x14ac:dyDescent="0.35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" thickBot="1" x14ac:dyDescent="0.35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" thickBot="1" x14ac:dyDescent="0.35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" thickBot="1" x14ac:dyDescent="0.35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" thickBot="1" x14ac:dyDescent="0.35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" thickBot="1" x14ac:dyDescent="0.35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" thickBot="1" x14ac:dyDescent="0.35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" thickBot="1" x14ac:dyDescent="0.35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" thickBot="1" x14ac:dyDescent="0.35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" thickBot="1" x14ac:dyDescent="0.35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" thickBot="1" x14ac:dyDescent="0.35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" thickBot="1" x14ac:dyDescent="0.35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" thickBot="1" x14ac:dyDescent="0.35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" thickBot="1" x14ac:dyDescent="0.35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" thickBot="1" x14ac:dyDescent="0.35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" thickBot="1" x14ac:dyDescent="0.35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" thickBot="1" x14ac:dyDescent="0.35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" thickBot="1" x14ac:dyDescent="0.35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" thickBot="1" x14ac:dyDescent="0.35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" thickBot="1" x14ac:dyDescent="0.35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" thickBot="1" x14ac:dyDescent="0.35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" thickBot="1" x14ac:dyDescent="0.35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" thickBot="1" x14ac:dyDescent="0.35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" thickBot="1" x14ac:dyDescent="0.35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" thickBot="1" x14ac:dyDescent="0.35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" thickBot="1" x14ac:dyDescent="0.35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" thickBot="1" x14ac:dyDescent="0.35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" thickBot="1" x14ac:dyDescent="0.35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" thickBot="1" x14ac:dyDescent="0.35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" thickBot="1" x14ac:dyDescent="0.35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" thickBot="1" x14ac:dyDescent="0.35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" thickBot="1" x14ac:dyDescent="0.35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" thickBot="1" x14ac:dyDescent="0.35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" thickBot="1" x14ac:dyDescent="0.35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" thickBot="1" x14ac:dyDescent="0.35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" thickBot="1" x14ac:dyDescent="0.35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" thickBot="1" x14ac:dyDescent="0.35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" thickBot="1" x14ac:dyDescent="0.35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" thickBot="1" x14ac:dyDescent="0.35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" thickBot="1" x14ac:dyDescent="0.35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" thickBot="1" x14ac:dyDescent="0.35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" thickBot="1" x14ac:dyDescent="0.35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" thickBot="1" x14ac:dyDescent="0.35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" thickBot="1" x14ac:dyDescent="0.35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" thickBot="1" x14ac:dyDescent="0.35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" thickBot="1" x14ac:dyDescent="0.35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" thickBot="1" x14ac:dyDescent="0.35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" thickBot="1" x14ac:dyDescent="0.35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" thickBot="1" x14ac:dyDescent="0.35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" thickBot="1" x14ac:dyDescent="0.35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" thickBot="1" x14ac:dyDescent="0.35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" thickBot="1" x14ac:dyDescent="0.35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" thickBot="1" x14ac:dyDescent="0.35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" thickBot="1" x14ac:dyDescent="0.35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" thickBot="1" x14ac:dyDescent="0.35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" thickBot="1" x14ac:dyDescent="0.35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" thickBot="1" x14ac:dyDescent="0.35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" thickBot="1" x14ac:dyDescent="0.35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" thickBot="1" x14ac:dyDescent="0.35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" thickBot="1" x14ac:dyDescent="0.35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" thickBot="1" x14ac:dyDescent="0.35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" thickBot="1" x14ac:dyDescent="0.35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" thickBot="1" x14ac:dyDescent="0.35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" thickBot="1" x14ac:dyDescent="0.35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" thickBot="1" x14ac:dyDescent="0.35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" thickBot="1" x14ac:dyDescent="0.35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" thickBot="1" x14ac:dyDescent="0.35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" thickBot="1" x14ac:dyDescent="0.35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" thickBot="1" x14ac:dyDescent="0.35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" thickBot="1" x14ac:dyDescent="0.35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" thickBot="1" x14ac:dyDescent="0.35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" thickBot="1" x14ac:dyDescent="0.35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" thickBot="1" x14ac:dyDescent="0.35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" thickBot="1" x14ac:dyDescent="0.35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" thickBot="1" x14ac:dyDescent="0.35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" thickBot="1" x14ac:dyDescent="0.35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" thickBot="1" x14ac:dyDescent="0.35">
      <c r="F296" s="41" t="s">
        <v>333</v>
      </c>
      <c r="G296" s="41">
        <f>SUM(Table16[Q])</f>
        <v>17107.397424000003</v>
      </c>
    </row>
  </sheetData>
  <mergeCells count="20">
    <mergeCell ref="K6:M6"/>
    <mergeCell ref="N6:P6"/>
    <mergeCell ref="K7:M7"/>
    <mergeCell ref="N7:P7"/>
    <mergeCell ref="K8:M9"/>
    <mergeCell ref="N8:P9"/>
    <mergeCell ref="K3:P3"/>
    <mergeCell ref="K4:M4"/>
    <mergeCell ref="N4:P4"/>
    <mergeCell ref="K5:M5"/>
    <mergeCell ref="N5:P5"/>
    <mergeCell ref="H78:H79"/>
    <mergeCell ref="A2:G2"/>
    <mergeCell ref="A1:G1"/>
    <mergeCell ref="A93:G93"/>
    <mergeCell ref="A200:G200"/>
    <mergeCell ref="H13:H16"/>
    <mergeCell ref="H19:H20"/>
    <mergeCell ref="H85:H87"/>
    <mergeCell ref="H80:H84"/>
  </mergeCells>
  <conditionalFormatting sqref="E4:F89">
    <cfRule type="cellIs" dxfId="20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28"/>
  <sheetViews>
    <sheetView zoomScaleNormal="100" workbookViewId="0">
      <selection activeCell="M45" sqref="M45"/>
    </sheetView>
  </sheetViews>
  <sheetFormatPr defaultRowHeight="14.4" x14ac:dyDescent="0.3"/>
  <cols>
    <col min="1" max="1" width="36.88671875" style="77" customWidth="1"/>
    <col min="2" max="2" width="6.88671875" style="77" customWidth="1"/>
    <col min="3" max="3" width="7" style="77" customWidth="1"/>
    <col min="4" max="4" width="5.5546875" style="77" customWidth="1"/>
    <col min="5" max="5" width="6.88671875" style="77" customWidth="1"/>
    <col min="6" max="6" width="10.109375" style="77" customWidth="1"/>
    <col min="7" max="7" width="12.109375" style="77" customWidth="1"/>
    <col min="8" max="8" width="9.33203125" style="77" customWidth="1"/>
    <col min="9" max="9" width="10" style="77" customWidth="1"/>
    <col min="10" max="10" width="9.109375" style="77"/>
    <col min="11" max="11" width="8.88671875" style="239"/>
  </cols>
  <sheetData>
    <row r="1" spans="1:18" ht="24.75" customHeight="1" x14ac:dyDescent="0.3">
      <c r="A1" s="277" t="s">
        <v>504</v>
      </c>
      <c r="B1" s="277"/>
      <c r="C1" s="277"/>
      <c r="D1" s="277"/>
      <c r="E1" s="277"/>
      <c r="F1" s="277"/>
      <c r="G1" s="277"/>
      <c r="H1" s="277"/>
      <c r="I1" s="277"/>
      <c r="J1" s="104"/>
      <c r="K1" s="104"/>
    </row>
    <row r="2" spans="1:18" ht="24" thickBot="1" x14ac:dyDescent="0.5">
      <c r="A2" s="275" t="s">
        <v>160</v>
      </c>
      <c r="B2" s="275"/>
      <c r="C2" s="275"/>
      <c r="D2" s="275"/>
      <c r="E2" s="275"/>
      <c r="F2" s="275"/>
      <c r="G2" s="275"/>
      <c r="H2" s="275"/>
      <c r="I2" s="275"/>
      <c r="J2" s="103"/>
      <c r="K2" s="103"/>
    </row>
    <row r="3" spans="1:18" ht="15" thickBot="1" x14ac:dyDescent="0.35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J3"/>
      <c r="K3" s="179"/>
      <c r="M3" s="290" t="s">
        <v>539</v>
      </c>
      <c r="N3" s="290"/>
      <c r="O3" s="290"/>
      <c r="P3" s="290"/>
      <c r="Q3" s="290"/>
      <c r="R3" s="290"/>
    </row>
    <row r="4" spans="1:18" ht="15" thickBot="1" x14ac:dyDescent="0.35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/>
      <c r="K4" s="179"/>
      <c r="M4" s="291"/>
      <c r="N4" s="291"/>
      <c r="O4" s="291"/>
      <c r="P4" s="133" t="s">
        <v>541</v>
      </c>
      <c r="Q4" s="133" t="s">
        <v>542</v>
      </c>
      <c r="R4" s="133" t="s">
        <v>430</v>
      </c>
    </row>
    <row r="5" spans="1:18" ht="15" thickBot="1" x14ac:dyDescent="0.35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/>
      <c r="K5" s="179"/>
      <c r="M5" s="292" t="s">
        <v>160</v>
      </c>
      <c r="N5" s="292"/>
      <c r="O5" s="292"/>
      <c r="P5" s="82">
        <f>H41</f>
        <v>9262.7920000000013</v>
      </c>
      <c r="Q5" s="82">
        <f>I41</f>
        <v>18303.154668000006</v>
      </c>
      <c r="R5" s="82">
        <f>P5+Q5</f>
        <v>27565.946668000008</v>
      </c>
    </row>
    <row r="6" spans="1:18" ht="15" thickBot="1" x14ac:dyDescent="0.35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/>
      <c r="K6" s="179"/>
      <c r="M6" s="292" t="s">
        <v>41</v>
      </c>
      <c r="N6" s="292"/>
      <c r="O6" s="292"/>
      <c r="P6" s="82">
        <f>H90</f>
        <v>20168.763999999999</v>
      </c>
      <c r="Q6" s="82">
        <f>I90</f>
        <v>39472.195050000002</v>
      </c>
      <c r="R6" s="82">
        <f>P6+Q6</f>
        <v>59640.959050000005</v>
      </c>
    </row>
    <row r="7" spans="1:18" ht="15" thickBot="1" x14ac:dyDescent="0.35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/>
      <c r="K7" s="179"/>
      <c r="M7" s="292" t="s">
        <v>59</v>
      </c>
      <c r="N7" s="292"/>
      <c r="O7" s="292"/>
      <c r="P7" s="82">
        <f>H127</f>
        <v>13106.016</v>
      </c>
      <c r="Q7" s="82">
        <f>I127</f>
        <v>25681.30218000001</v>
      </c>
      <c r="R7" s="82">
        <f>P7+Q7</f>
        <v>38787.318180000009</v>
      </c>
    </row>
    <row r="8" spans="1:18" ht="15" thickBot="1" x14ac:dyDescent="0.35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/>
      <c r="K8" s="179"/>
      <c r="M8" s="281" t="s">
        <v>540</v>
      </c>
      <c r="N8" s="281"/>
      <c r="O8" s="281"/>
      <c r="P8" s="282">
        <f>SUM(P5:P7)</f>
        <v>42537.572</v>
      </c>
      <c r="Q8" s="282">
        <f>SUM(Q5:Q7)</f>
        <v>83456.651898000026</v>
      </c>
      <c r="R8" s="282">
        <f>R5+R6+R7</f>
        <v>125994.22389800003</v>
      </c>
    </row>
    <row r="9" spans="1:18" ht="15" thickBot="1" x14ac:dyDescent="0.35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/>
      <c r="K9" s="179"/>
      <c r="M9" s="281"/>
      <c r="N9" s="281"/>
      <c r="O9" s="281"/>
      <c r="P9" s="283"/>
      <c r="Q9" s="283"/>
      <c r="R9" s="283"/>
    </row>
    <row r="10" spans="1:18" ht="15" thickBot="1" x14ac:dyDescent="0.35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/>
      <c r="K10" s="179"/>
    </row>
    <row r="11" spans="1:18" ht="15" thickBot="1" x14ac:dyDescent="0.35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/>
      <c r="K11" s="179"/>
    </row>
    <row r="12" spans="1:18" ht="15" thickBot="1" x14ac:dyDescent="0.35">
      <c r="A12" s="166" t="s">
        <v>175</v>
      </c>
      <c r="B12" s="167">
        <v>14</v>
      </c>
      <c r="C12" s="167">
        <f>B12*References!AS12</f>
        <v>112</v>
      </c>
      <c r="D12" s="167">
        <v>34.5</v>
      </c>
      <c r="E12" s="167">
        <v>22.5</v>
      </c>
      <c r="F12" s="167">
        <v>1.8136751999999999E-2</v>
      </c>
      <c r="G12" s="167">
        <v>8.4806099999999995E-3</v>
      </c>
      <c r="H12" s="167">
        <f t="shared" si="0"/>
        <v>1655.808</v>
      </c>
      <c r="I12" s="168">
        <f t="shared" si="1"/>
        <v>3244.4637119999998</v>
      </c>
      <c r="J12"/>
      <c r="K12" s="179"/>
    </row>
    <row r="13" spans="1:18" ht="15" thickBot="1" x14ac:dyDescent="0.35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/>
      <c r="K13" s="179"/>
    </row>
    <row r="14" spans="1:18" ht="15" thickBot="1" x14ac:dyDescent="0.35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/>
      <c r="K14" s="179"/>
    </row>
    <row r="15" spans="1:18" ht="15" thickBot="1" x14ac:dyDescent="0.35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/>
      <c r="K15" s="179"/>
    </row>
    <row r="16" spans="1:18" ht="15" thickBot="1" x14ac:dyDescent="0.35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/>
      <c r="K16" s="179"/>
    </row>
    <row r="17" spans="1:11" ht="15" thickBot="1" x14ac:dyDescent="0.35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/>
      <c r="K17" s="179"/>
    </row>
    <row r="18" spans="1:11" ht="15" thickBot="1" x14ac:dyDescent="0.35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/>
      <c r="K18" s="179"/>
    </row>
    <row r="19" spans="1:11" ht="15" thickBot="1" x14ac:dyDescent="0.35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/>
      <c r="K19" s="179"/>
    </row>
    <row r="20" spans="1:11" ht="15" thickBot="1" x14ac:dyDescent="0.35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/>
      <c r="K20" s="179"/>
    </row>
    <row r="21" spans="1:11" ht="15" thickBot="1" x14ac:dyDescent="0.35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/>
      <c r="K21" s="179"/>
    </row>
    <row r="22" spans="1:11" ht="15" thickBot="1" x14ac:dyDescent="0.35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/>
      <c r="K22" s="179"/>
    </row>
    <row r="23" spans="1:11" ht="15" thickBot="1" x14ac:dyDescent="0.35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/>
      <c r="K23" s="179"/>
    </row>
    <row r="24" spans="1:11" ht="15" thickBot="1" x14ac:dyDescent="0.35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/>
      <c r="K24" s="179"/>
    </row>
    <row r="25" spans="1:11" ht="15" thickBot="1" x14ac:dyDescent="0.35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/>
      <c r="K25" s="179"/>
    </row>
    <row r="26" spans="1:11" ht="15" thickBot="1" x14ac:dyDescent="0.35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/>
      <c r="K26" s="179"/>
    </row>
    <row r="27" spans="1:11" ht="15" thickBot="1" x14ac:dyDescent="0.35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/>
      <c r="K27" s="179"/>
    </row>
    <row r="28" spans="1:11" ht="15" thickBot="1" x14ac:dyDescent="0.35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/>
      <c r="K28" s="179"/>
    </row>
    <row r="29" spans="1:11" ht="15" thickBot="1" x14ac:dyDescent="0.35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/>
      <c r="K29" s="179"/>
    </row>
    <row r="30" spans="1:11" ht="15" thickBot="1" x14ac:dyDescent="0.35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/>
      <c r="K30" s="179"/>
    </row>
    <row r="31" spans="1:11" ht="15" thickBot="1" x14ac:dyDescent="0.35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/>
      <c r="K31" s="179"/>
    </row>
    <row r="32" spans="1:11" ht="15" thickBot="1" x14ac:dyDescent="0.35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/>
      <c r="K32" s="179"/>
    </row>
    <row r="33" spans="1:11" ht="15" thickBot="1" x14ac:dyDescent="0.35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/>
      <c r="K33" s="179"/>
    </row>
    <row r="34" spans="1:11" ht="15" thickBot="1" x14ac:dyDescent="0.35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/>
      <c r="K34" s="179"/>
    </row>
    <row r="35" spans="1:11" ht="15" thickBot="1" x14ac:dyDescent="0.35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/>
      <c r="K35" s="179"/>
    </row>
    <row r="36" spans="1:11" ht="15" thickBot="1" x14ac:dyDescent="0.35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/>
      <c r="K36" s="179"/>
    </row>
    <row r="37" spans="1:11" ht="15" thickBot="1" x14ac:dyDescent="0.35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/>
      <c r="K37" s="179"/>
    </row>
    <row r="38" spans="1:11" ht="15" thickBot="1" x14ac:dyDescent="0.35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/>
      <c r="K38" s="179"/>
    </row>
    <row r="39" spans="1:11" ht="15" thickBot="1" x14ac:dyDescent="0.35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/>
      <c r="K39" s="179"/>
    </row>
    <row r="40" spans="1:11" ht="15" thickBot="1" x14ac:dyDescent="0.35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/>
      <c r="K40" s="179"/>
    </row>
    <row r="41" spans="1:11" s="118" customFormat="1" ht="15" thickBot="1" x14ac:dyDescent="0.35">
      <c r="A41" s="119"/>
      <c r="B41" s="120"/>
      <c r="C41" s="119"/>
      <c r="D41" s="119"/>
      <c r="E41" s="119"/>
      <c r="F41" s="119"/>
      <c r="G41" s="128" t="s">
        <v>122</v>
      </c>
      <c r="H41" s="41">
        <f>SUM(Table17[Qs (W)])</f>
        <v>9262.7920000000013</v>
      </c>
      <c r="I41" s="128">
        <f>SUM(Table17[Qw (W)])</f>
        <v>18303.154668000006</v>
      </c>
      <c r="J41" s="89"/>
      <c r="K41" s="240"/>
    </row>
    <row r="42" spans="1:11" ht="15" thickBot="1" x14ac:dyDescent="0.35">
      <c r="G42" s="302" t="s">
        <v>161</v>
      </c>
      <c r="H42" s="302"/>
      <c r="I42" s="128">
        <f>H41+I41</f>
        <v>27565.946668000008</v>
      </c>
    </row>
    <row r="43" spans="1:11" s="118" customForma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239"/>
    </row>
    <row r="44" spans="1:11" ht="24" thickBot="1" x14ac:dyDescent="0.5">
      <c r="A44" s="275" t="s">
        <v>41</v>
      </c>
      <c r="B44" s="275"/>
      <c r="C44" s="275"/>
      <c r="D44" s="275"/>
      <c r="E44" s="275"/>
      <c r="F44" s="275"/>
      <c r="G44" s="275"/>
      <c r="H44" s="275"/>
      <c r="I44" s="275"/>
      <c r="J44" s="103"/>
      <c r="K44" s="103"/>
    </row>
    <row r="45" spans="1:11" ht="15" thickBot="1" x14ac:dyDescent="0.35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273"/>
      <c r="K45"/>
    </row>
    <row r="46" spans="1:11" ht="15" thickBot="1" x14ac:dyDescent="0.35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>
        <f>_xlfn.IFS(E46=22.5,0.00848061,E46=22,0.00821976,E46=24,0.00929323)</f>
        <v>8.4806099999999995E-3</v>
      </c>
      <c r="H46" s="95">
        <f t="shared" ref="H46:H89" si="2">ABS(1.232*C46*(D46-E46))</f>
        <v>960.96</v>
      </c>
      <c r="I46" s="96">
        <f t="shared" ref="I46:I89" si="3">ABS(3000*C46*(F46-G46))</f>
        <v>1882.9473</v>
      </c>
      <c r="J46" s="119"/>
      <c r="K46"/>
    </row>
    <row r="47" spans="1:11" ht="15" thickBot="1" x14ac:dyDescent="0.35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>
        <f t="shared" ref="G47:G89" si="4">_xlfn.IFS(E47=22.5,0.00848061,E47=22,0.00821976,E47=24,0.00929323)</f>
        <v>8.4806099999999995E-3</v>
      </c>
      <c r="H47" s="95">
        <f t="shared" si="2"/>
        <v>960.96</v>
      </c>
      <c r="I47" s="96">
        <f t="shared" si="3"/>
        <v>1882.9473</v>
      </c>
      <c r="J47" s="119"/>
      <c r="K47"/>
    </row>
    <row r="48" spans="1:11" ht="15" thickBot="1" x14ac:dyDescent="0.35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>
        <f t="shared" si="4"/>
        <v>8.4806099999999995E-3</v>
      </c>
      <c r="H48" s="95">
        <f t="shared" si="2"/>
        <v>960.96</v>
      </c>
      <c r="I48" s="96">
        <f t="shared" si="3"/>
        <v>1882.9473</v>
      </c>
      <c r="J48" s="119"/>
      <c r="K48"/>
    </row>
    <row r="49" spans="1:11" ht="15" thickBot="1" x14ac:dyDescent="0.35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>
        <f t="shared" si="4"/>
        <v>8.4806099999999995E-3</v>
      </c>
      <c r="H49" s="95">
        <f t="shared" si="2"/>
        <v>960.96</v>
      </c>
      <c r="I49" s="96">
        <f t="shared" si="3"/>
        <v>1882.9473</v>
      </c>
      <c r="J49" s="119"/>
      <c r="K49"/>
    </row>
    <row r="50" spans="1:11" ht="15" thickBot="1" x14ac:dyDescent="0.35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>
        <f t="shared" si="4"/>
        <v>8.4806099999999995E-3</v>
      </c>
      <c r="H50" s="95">
        <f t="shared" si="2"/>
        <v>384.38399999999996</v>
      </c>
      <c r="I50" s="96">
        <f t="shared" si="3"/>
        <v>753.17892000000006</v>
      </c>
      <c r="J50" s="119"/>
      <c r="K50"/>
    </row>
    <row r="51" spans="1:11" ht="15" thickBot="1" x14ac:dyDescent="0.35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>
        <f t="shared" si="4"/>
        <v>8.4806099999999995E-3</v>
      </c>
      <c r="H51" s="95">
        <f t="shared" si="2"/>
        <v>384.38399999999996</v>
      </c>
      <c r="I51" s="96">
        <f t="shared" si="3"/>
        <v>753.17892000000006</v>
      </c>
      <c r="J51" s="119"/>
      <c r="K51"/>
    </row>
    <row r="52" spans="1:11" ht="15" thickBot="1" x14ac:dyDescent="0.35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>
        <f t="shared" si="4"/>
        <v>8.4806099999999995E-3</v>
      </c>
      <c r="H52" s="95">
        <f t="shared" si="2"/>
        <v>384.38399999999996</v>
      </c>
      <c r="I52" s="96">
        <f t="shared" si="3"/>
        <v>753.17892000000006</v>
      </c>
      <c r="J52" s="119"/>
      <c r="K52"/>
    </row>
    <row r="53" spans="1:11" ht="15" thickBot="1" x14ac:dyDescent="0.35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>
        <f t="shared" si="4"/>
        <v>8.4806099999999995E-3</v>
      </c>
      <c r="H53" s="95">
        <f t="shared" si="2"/>
        <v>258.71999999999997</v>
      </c>
      <c r="I53" s="96">
        <f t="shared" si="3"/>
        <v>506.94735000000003</v>
      </c>
      <c r="J53" s="119"/>
      <c r="K53"/>
    </row>
    <row r="54" spans="1:11" ht="15" thickBot="1" x14ac:dyDescent="0.35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>
        <f t="shared" si="4"/>
        <v>8.4806099999999995E-3</v>
      </c>
      <c r="H54" s="95">
        <f t="shared" si="2"/>
        <v>236.54399999999998</v>
      </c>
      <c r="I54" s="96">
        <f t="shared" si="3"/>
        <v>463.49472000000003</v>
      </c>
      <c r="J54" s="119"/>
      <c r="K54"/>
    </row>
    <row r="55" spans="1:11" ht="15" thickBot="1" x14ac:dyDescent="0.35">
      <c r="A55" s="166" t="s">
        <v>175</v>
      </c>
      <c r="B55" s="167">
        <v>5</v>
      </c>
      <c r="C55" s="167">
        <f>B55*References!AT13</f>
        <v>40</v>
      </c>
      <c r="D55" s="167">
        <v>34.5</v>
      </c>
      <c r="E55" s="167">
        <v>22.5</v>
      </c>
      <c r="F55" s="167">
        <v>1.813675E-2</v>
      </c>
      <c r="G55" s="167">
        <f t="shared" si="4"/>
        <v>8.4806099999999995E-3</v>
      </c>
      <c r="H55" s="167">
        <f t="shared" si="2"/>
        <v>591.36</v>
      </c>
      <c r="I55" s="168">
        <f t="shared" si="3"/>
        <v>1158.7368000000001</v>
      </c>
      <c r="J55" s="119"/>
      <c r="K55"/>
    </row>
    <row r="56" spans="1:11" ht="15" thickBot="1" x14ac:dyDescent="0.35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>
        <f t="shared" si="4"/>
        <v>9.2932299999999995E-3</v>
      </c>
      <c r="H56" s="95">
        <f t="shared" si="2"/>
        <v>32.340000000000003</v>
      </c>
      <c r="I56" s="96">
        <f t="shared" si="3"/>
        <v>66.326400000000007</v>
      </c>
      <c r="J56" s="119"/>
      <c r="K56"/>
    </row>
    <row r="57" spans="1:11" ht="15" thickBot="1" x14ac:dyDescent="0.35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>
        <f t="shared" si="4"/>
        <v>9.2932299999999995E-3</v>
      </c>
      <c r="H57" s="95">
        <f t="shared" si="2"/>
        <v>32.340000000000003</v>
      </c>
      <c r="I57" s="96">
        <f t="shared" si="3"/>
        <v>66.326400000000007</v>
      </c>
      <c r="J57" s="119"/>
      <c r="K57"/>
    </row>
    <row r="58" spans="1:11" ht="15" thickBot="1" x14ac:dyDescent="0.35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>
        <f t="shared" si="4"/>
        <v>8.4806099999999995E-3</v>
      </c>
      <c r="H58" s="95">
        <f t="shared" si="2"/>
        <v>384.38399999999996</v>
      </c>
      <c r="I58" s="96">
        <f t="shared" si="3"/>
        <v>753.17892000000006</v>
      </c>
      <c r="J58" s="119"/>
      <c r="K58"/>
    </row>
    <row r="59" spans="1:11" ht="15" thickBot="1" x14ac:dyDescent="0.35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>
        <f t="shared" si="4"/>
        <v>8.4806099999999995E-3</v>
      </c>
      <c r="H59" s="95">
        <f t="shared" si="2"/>
        <v>384.38399999999996</v>
      </c>
      <c r="I59" s="96">
        <f t="shared" si="3"/>
        <v>753.17892000000006</v>
      </c>
      <c r="J59" s="119"/>
      <c r="K59"/>
    </row>
    <row r="60" spans="1:11" ht="15" thickBot="1" x14ac:dyDescent="0.35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>
        <f t="shared" si="4"/>
        <v>8.4806099999999995E-3</v>
      </c>
      <c r="H60" s="95">
        <f t="shared" si="2"/>
        <v>384.38399999999996</v>
      </c>
      <c r="I60" s="96">
        <f t="shared" si="3"/>
        <v>753.17892000000006</v>
      </c>
      <c r="J60" s="119"/>
      <c r="K60"/>
    </row>
    <row r="61" spans="1:11" ht="15" thickBot="1" x14ac:dyDescent="0.35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>
        <f t="shared" si="4"/>
        <v>8.4806099999999995E-3</v>
      </c>
      <c r="H61" s="95">
        <f t="shared" si="2"/>
        <v>384.38399999999996</v>
      </c>
      <c r="I61" s="96">
        <f t="shared" si="3"/>
        <v>753.17892000000006</v>
      </c>
      <c r="J61" s="119"/>
      <c r="K61"/>
    </row>
    <row r="62" spans="1:11" ht="15" thickBot="1" x14ac:dyDescent="0.35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>
        <f t="shared" si="4"/>
        <v>8.4806099999999995E-3</v>
      </c>
      <c r="H62" s="95">
        <f t="shared" si="2"/>
        <v>384.38399999999996</v>
      </c>
      <c r="I62" s="96">
        <f t="shared" si="3"/>
        <v>753.17892000000006</v>
      </c>
      <c r="J62" s="119"/>
      <c r="K62"/>
    </row>
    <row r="63" spans="1:11" ht="15" thickBot="1" x14ac:dyDescent="0.35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>
        <f t="shared" si="4"/>
        <v>8.4806099999999995E-3</v>
      </c>
      <c r="H63" s="95">
        <f t="shared" si="2"/>
        <v>110.88</v>
      </c>
      <c r="I63" s="96">
        <f t="shared" si="3"/>
        <v>217.26315000000002</v>
      </c>
      <c r="J63" s="119"/>
      <c r="K63"/>
    </row>
    <row r="64" spans="1:11" ht="15" thickBot="1" x14ac:dyDescent="0.35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>
        <f t="shared" si="4"/>
        <v>8.4806099999999995E-3</v>
      </c>
      <c r="H64" s="95">
        <f t="shared" si="2"/>
        <v>576.57600000000002</v>
      </c>
      <c r="I64" s="96">
        <f t="shared" si="3"/>
        <v>1129.76838</v>
      </c>
      <c r="J64" s="119"/>
      <c r="K64"/>
    </row>
    <row r="65" spans="1:11" ht="15" thickBot="1" x14ac:dyDescent="0.35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>
        <f t="shared" si="4"/>
        <v>8.4806099999999995E-3</v>
      </c>
      <c r="H65" s="95">
        <f t="shared" si="2"/>
        <v>576.57600000000002</v>
      </c>
      <c r="I65" s="96">
        <f t="shared" si="3"/>
        <v>1129.76838</v>
      </c>
      <c r="J65" s="119"/>
      <c r="K65"/>
    </row>
    <row r="66" spans="1:11" ht="15" thickBot="1" x14ac:dyDescent="0.35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>
        <f t="shared" si="4"/>
        <v>8.4806099999999995E-3</v>
      </c>
      <c r="H66" s="95">
        <f t="shared" si="2"/>
        <v>384.38399999999996</v>
      </c>
      <c r="I66" s="96">
        <f t="shared" si="3"/>
        <v>753.17892000000006</v>
      </c>
      <c r="J66" s="119"/>
      <c r="K66"/>
    </row>
    <row r="67" spans="1:11" ht="15" thickBot="1" x14ac:dyDescent="0.35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>
        <f t="shared" si="4"/>
        <v>8.4806099999999995E-3</v>
      </c>
      <c r="H67" s="95">
        <f t="shared" si="2"/>
        <v>1537.5359999999998</v>
      </c>
      <c r="I67" s="96">
        <f t="shared" si="3"/>
        <v>3012.7156800000002</v>
      </c>
      <c r="J67" s="119"/>
      <c r="K67"/>
    </row>
    <row r="68" spans="1:11" ht="15" thickBot="1" x14ac:dyDescent="0.35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>
        <f t="shared" si="4"/>
        <v>8.4806099999999995E-3</v>
      </c>
      <c r="H68" s="95">
        <f t="shared" si="2"/>
        <v>576.57600000000002</v>
      </c>
      <c r="I68" s="96">
        <f t="shared" si="3"/>
        <v>1129.76838</v>
      </c>
      <c r="J68" s="119"/>
      <c r="K68"/>
    </row>
    <row r="69" spans="1:11" ht="15" thickBot="1" x14ac:dyDescent="0.35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>
        <f t="shared" si="4"/>
        <v>8.4806099999999995E-3</v>
      </c>
      <c r="H69" s="95">
        <f t="shared" si="2"/>
        <v>576.57600000000002</v>
      </c>
      <c r="I69" s="96">
        <f t="shared" si="3"/>
        <v>1129.76838</v>
      </c>
      <c r="J69" s="119"/>
      <c r="K69"/>
    </row>
    <row r="70" spans="1:11" ht="15" thickBot="1" x14ac:dyDescent="0.35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>
        <f t="shared" si="4"/>
        <v>8.4806099999999995E-3</v>
      </c>
      <c r="H70" s="95">
        <f t="shared" si="2"/>
        <v>384.38399999999996</v>
      </c>
      <c r="I70" s="96">
        <f t="shared" si="3"/>
        <v>753.17892000000006</v>
      </c>
      <c r="J70" s="119"/>
      <c r="K70"/>
    </row>
    <row r="71" spans="1:11" ht="15" thickBot="1" x14ac:dyDescent="0.35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>
        <f t="shared" si="4"/>
        <v>8.4806099999999995E-3</v>
      </c>
      <c r="H71" s="95">
        <f t="shared" si="2"/>
        <v>384.38399999999996</v>
      </c>
      <c r="I71" s="96">
        <f t="shared" si="3"/>
        <v>753.17892000000006</v>
      </c>
      <c r="J71" s="119"/>
      <c r="K71"/>
    </row>
    <row r="72" spans="1:11" ht="15" thickBot="1" x14ac:dyDescent="0.35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>
        <f t="shared" si="4"/>
        <v>8.4806099999999995E-3</v>
      </c>
      <c r="H72" s="95">
        <f t="shared" si="2"/>
        <v>184.8</v>
      </c>
      <c r="I72" s="96">
        <f t="shared" si="3"/>
        <v>362.10525000000001</v>
      </c>
      <c r="J72" s="119"/>
      <c r="K72"/>
    </row>
    <row r="73" spans="1:11" ht="15" thickBot="1" x14ac:dyDescent="0.35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>
        <f t="shared" si="4"/>
        <v>8.2197599999999996E-3</v>
      </c>
      <c r="H73" s="95">
        <f t="shared" si="2"/>
        <v>985.6</v>
      </c>
      <c r="I73" s="96">
        <f t="shared" si="3"/>
        <v>1904.0620800000002</v>
      </c>
      <c r="J73" s="119"/>
      <c r="K73"/>
    </row>
    <row r="74" spans="1:11" ht="15" thickBot="1" x14ac:dyDescent="0.35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>
        <f t="shared" si="4"/>
        <v>9.2932299999999995E-3</v>
      </c>
      <c r="H74" s="95">
        <f t="shared" si="2"/>
        <v>32.340000000000003</v>
      </c>
      <c r="I74" s="96">
        <f t="shared" si="3"/>
        <v>66.326400000000007</v>
      </c>
      <c r="J74" s="119"/>
      <c r="K74"/>
    </row>
    <row r="75" spans="1:11" ht="15" thickBot="1" x14ac:dyDescent="0.35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>
        <f t="shared" si="4"/>
        <v>8.4806099999999995E-3</v>
      </c>
      <c r="H75" s="95">
        <f t="shared" si="2"/>
        <v>709.63199999999995</v>
      </c>
      <c r="I75" s="96">
        <f t="shared" si="3"/>
        <v>1390.48416</v>
      </c>
      <c r="J75" s="119"/>
      <c r="K75"/>
    </row>
    <row r="76" spans="1:11" ht="15" thickBot="1" x14ac:dyDescent="0.35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>
        <f t="shared" si="4"/>
        <v>8.4806099999999995E-3</v>
      </c>
      <c r="H76" s="95">
        <f t="shared" si="2"/>
        <v>147.84</v>
      </c>
      <c r="I76" s="96">
        <f t="shared" si="3"/>
        <v>289.68420000000003</v>
      </c>
      <c r="J76" s="119"/>
      <c r="K76"/>
    </row>
    <row r="77" spans="1:11" ht="15" thickBot="1" x14ac:dyDescent="0.35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>
        <f t="shared" si="4"/>
        <v>8.4806099999999995E-3</v>
      </c>
      <c r="H77" s="95">
        <f t="shared" si="2"/>
        <v>147.84</v>
      </c>
      <c r="I77" s="96">
        <f t="shared" si="3"/>
        <v>289.68420000000003</v>
      </c>
      <c r="J77" s="119"/>
      <c r="K77"/>
    </row>
    <row r="78" spans="1:11" ht="15" thickBot="1" x14ac:dyDescent="0.35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>
        <f t="shared" si="4"/>
        <v>8.4806099999999995E-3</v>
      </c>
      <c r="H78" s="95">
        <f t="shared" si="2"/>
        <v>73.92</v>
      </c>
      <c r="I78" s="96">
        <f t="shared" si="3"/>
        <v>144.84210000000002</v>
      </c>
      <c r="J78" s="119"/>
      <c r="K78"/>
    </row>
    <row r="79" spans="1:11" ht="15" thickBot="1" x14ac:dyDescent="0.35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>
        <f>_xlfn.IFS(E79=22.5,0.00848061,E79=22,0.00821976,E79=24,0.00929323)</f>
        <v>8.2197599999999996E-3</v>
      </c>
      <c r="H79" s="95">
        <f t="shared" si="2"/>
        <v>924</v>
      </c>
      <c r="I79" s="96">
        <f t="shared" si="3"/>
        <v>1785.0582000000002</v>
      </c>
      <c r="J79" s="119"/>
      <c r="K79"/>
    </row>
    <row r="80" spans="1:11" ht="15" thickBot="1" x14ac:dyDescent="0.35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>
        <f t="shared" si="4"/>
        <v>8.4806099999999995E-3</v>
      </c>
      <c r="H80" s="95">
        <f t="shared" si="2"/>
        <v>354.81599999999997</v>
      </c>
      <c r="I80" s="96">
        <f t="shared" si="3"/>
        <v>695.24207999999999</v>
      </c>
      <c r="J80" s="119"/>
      <c r="K80"/>
    </row>
    <row r="81" spans="1:11" ht="15" thickBot="1" x14ac:dyDescent="0.35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>
        <f t="shared" si="4"/>
        <v>9.2932299999999995E-3</v>
      </c>
      <c r="H81" s="95">
        <f t="shared" si="2"/>
        <v>161.70000000000002</v>
      </c>
      <c r="I81" s="96">
        <f t="shared" si="3"/>
        <v>331.63200000000001</v>
      </c>
      <c r="J81" s="119"/>
      <c r="K81"/>
    </row>
    <row r="82" spans="1:11" ht="15" thickBot="1" x14ac:dyDescent="0.35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>
        <f t="shared" si="4"/>
        <v>8.2197599999999996E-3</v>
      </c>
      <c r="H82" s="95">
        <f t="shared" si="2"/>
        <v>1848</v>
      </c>
      <c r="I82" s="96">
        <f t="shared" si="3"/>
        <v>3570.1164000000003</v>
      </c>
      <c r="J82" s="119"/>
      <c r="K82"/>
    </row>
    <row r="83" spans="1:11" ht="15" thickBot="1" x14ac:dyDescent="0.35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>
        <f t="shared" si="4"/>
        <v>9.2932299999999995E-3</v>
      </c>
      <c r="H83" s="95">
        <f t="shared" si="2"/>
        <v>32.340000000000003</v>
      </c>
      <c r="I83" s="96">
        <f t="shared" si="3"/>
        <v>66.326400000000007</v>
      </c>
      <c r="J83" s="119"/>
      <c r="K83"/>
    </row>
    <row r="84" spans="1:11" ht="15" thickBot="1" x14ac:dyDescent="0.35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>
        <f t="shared" si="4"/>
        <v>9.2932299999999995E-3</v>
      </c>
      <c r="H84" s="95">
        <f t="shared" si="2"/>
        <v>32.340000000000003</v>
      </c>
      <c r="I84" s="96">
        <f t="shared" si="3"/>
        <v>66.326400000000007</v>
      </c>
      <c r="J84" s="119"/>
      <c r="K84"/>
    </row>
    <row r="85" spans="1:11" ht="15" thickBot="1" x14ac:dyDescent="0.35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>
        <f t="shared" si="4"/>
        <v>9.2932299999999995E-3</v>
      </c>
      <c r="H85" s="95">
        <f t="shared" si="2"/>
        <v>97.02</v>
      </c>
      <c r="I85" s="96">
        <f t="shared" si="3"/>
        <v>198.97920000000002</v>
      </c>
      <c r="J85" s="119"/>
      <c r="K85"/>
    </row>
    <row r="86" spans="1:11" ht="15" thickBot="1" x14ac:dyDescent="0.35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>
        <f t="shared" si="4"/>
        <v>9.2932299999999995E-3</v>
      </c>
      <c r="H86" s="95">
        <f t="shared" si="2"/>
        <v>64.680000000000007</v>
      </c>
      <c r="I86" s="96">
        <f t="shared" si="3"/>
        <v>132.65280000000001</v>
      </c>
      <c r="J86" s="119"/>
      <c r="K86"/>
    </row>
    <row r="87" spans="1:11" ht="15" thickBot="1" x14ac:dyDescent="0.35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>
        <f t="shared" si="4"/>
        <v>9.2932299999999995E-3</v>
      </c>
      <c r="H87" s="95">
        <f t="shared" si="2"/>
        <v>129.36000000000001</v>
      </c>
      <c r="I87" s="96">
        <f t="shared" si="3"/>
        <v>265.30560000000003</v>
      </c>
      <c r="J87" s="119"/>
      <c r="K87"/>
    </row>
    <row r="88" spans="1:11" ht="15" thickBot="1" x14ac:dyDescent="0.35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>
        <f t="shared" si="4"/>
        <v>8.4806099999999995E-3</v>
      </c>
      <c r="H88" s="95">
        <f t="shared" si="2"/>
        <v>354.81599999999997</v>
      </c>
      <c r="I88" s="96">
        <f t="shared" si="3"/>
        <v>695.24207999999999</v>
      </c>
      <c r="J88" s="119"/>
      <c r="K88"/>
    </row>
    <row r="89" spans="1:11" ht="15" thickBot="1" x14ac:dyDescent="0.35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>
        <f t="shared" si="4"/>
        <v>8.4806099999999995E-3</v>
      </c>
      <c r="H89" s="98">
        <f t="shared" si="2"/>
        <v>709.63199999999995</v>
      </c>
      <c r="I89" s="99">
        <f t="shared" si="3"/>
        <v>1390.48416</v>
      </c>
      <c r="J89" s="119"/>
      <c r="K89"/>
    </row>
    <row r="90" spans="1:11" ht="15" thickBot="1" x14ac:dyDescent="0.35">
      <c r="G90" s="128" t="s">
        <v>333</v>
      </c>
      <c r="H90" s="128">
        <f>SUM(Table18[Qs(W)])</f>
        <v>20168.763999999999</v>
      </c>
      <c r="I90" s="128">
        <f>SUM(Table18[Ql(W)])</f>
        <v>39472.195050000002</v>
      </c>
    </row>
    <row r="91" spans="1:11" ht="15" thickBot="1" x14ac:dyDescent="0.35">
      <c r="G91" s="302" t="s">
        <v>161</v>
      </c>
      <c r="H91" s="302"/>
      <c r="I91" s="128">
        <f>H90+I90</f>
        <v>59640.959050000005</v>
      </c>
    </row>
    <row r="92" spans="1:11" s="118" customFormat="1" x14ac:dyDescent="0.3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239"/>
    </row>
    <row r="93" spans="1:11" s="105" customFormat="1" ht="23.4" x14ac:dyDescent="0.45">
      <c r="A93" s="276" t="s">
        <v>59</v>
      </c>
      <c r="B93" s="276"/>
      <c r="C93" s="276"/>
      <c r="D93" s="276"/>
      <c r="E93" s="276"/>
      <c r="F93" s="276"/>
      <c r="G93" s="276"/>
      <c r="H93" s="276"/>
      <c r="I93" s="276"/>
      <c r="J93" s="106"/>
      <c r="K93" s="106"/>
    </row>
    <row r="94" spans="1:11" ht="15" thickBot="1" x14ac:dyDescent="0.35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273"/>
      <c r="K94"/>
    </row>
    <row r="95" spans="1:11" ht="15" thickBot="1" x14ac:dyDescent="0.35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>
        <f>_xlfn.IFS(E95=22.5,0.00848031,E95=24,0.009293235,E95=22,0.00821976)</f>
        <v>8.4803099999999996E-3</v>
      </c>
      <c r="H95" s="95">
        <f t="shared" ref="H95:H124" si="5">ABS(1.232*C95*(D95-E95))</f>
        <v>960.96</v>
      </c>
      <c r="I95" s="96">
        <f t="shared" ref="I95:I124" si="6">ABS(3000*C95*(F95-G95))</f>
        <v>1883.0058000000001</v>
      </c>
      <c r="J95" s="119"/>
      <c r="K95"/>
    </row>
    <row r="96" spans="1:11" ht="15" thickBot="1" x14ac:dyDescent="0.35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>
        <f t="shared" ref="G96:G98" si="7">_xlfn.IFS(E96=22.5,0.00848031,E96=24,0.009293235,E96=22,0.00821976)</f>
        <v>8.4803099999999996E-3</v>
      </c>
      <c r="H96" s="95">
        <f t="shared" si="5"/>
        <v>960.96</v>
      </c>
      <c r="I96" s="96">
        <f t="shared" si="6"/>
        <v>1883.0058000000001</v>
      </c>
      <c r="J96" s="119"/>
      <c r="K96"/>
    </row>
    <row r="97" spans="1:11" ht="15" thickBot="1" x14ac:dyDescent="0.35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>
        <f t="shared" si="7"/>
        <v>8.4803099999999996E-3</v>
      </c>
      <c r="H97" s="95">
        <f t="shared" si="5"/>
        <v>960.96</v>
      </c>
      <c r="I97" s="96">
        <f t="shared" si="6"/>
        <v>1883.0058000000001</v>
      </c>
      <c r="J97" s="119"/>
      <c r="K97"/>
    </row>
    <row r="98" spans="1:11" ht="15" thickBot="1" x14ac:dyDescent="0.35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>
        <f t="shared" si="7"/>
        <v>8.4803099999999996E-3</v>
      </c>
      <c r="H98" s="95">
        <f t="shared" si="5"/>
        <v>960.96</v>
      </c>
      <c r="I98" s="96">
        <f t="shared" si="6"/>
        <v>1883.0058000000001</v>
      </c>
      <c r="J98" s="119"/>
      <c r="K98"/>
    </row>
    <row r="99" spans="1:11" ht="15" thickBot="1" x14ac:dyDescent="0.35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>
        <f>_xlfn.IFS(E99=22.5,0.00848031,E99=24,0.009293235,E99=22,0.00821976)</f>
        <v>8.4803099999999996E-3</v>
      </c>
      <c r="H99" s="95">
        <f t="shared" si="5"/>
        <v>384.38399999999996</v>
      </c>
      <c r="I99" s="96">
        <f t="shared" si="6"/>
        <v>753.20231999999999</v>
      </c>
      <c r="J99" s="119"/>
      <c r="K99"/>
    </row>
    <row r="100" spans="1:11" ht="15" thickBot="1" x14ac:dyDescent="0.35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>
        <f t="shared" ref="G100:G124" si="8">_xlfn.IFS(E100=22.5,0.00848031,E100=24,0.009293235,E100=22,0.00821976)</f>
        <v>8.4803099999999996E-3</v>
      </c>
      <c r="H100" s="95">
        <f t="shared" si="5"/>
        <v>192.19199999999998</v>
      </c>
      <c r="I100" s="96">
        <f t="shared" si="6"/>
        <v>376.60115999999999</v>
      </c>
      <c r="J100" s="119"/>
      <c r="K100"/>
    </row>
    <row r="101" spans="1:11" ht="15" thickBot="1" x14ac:dyDescent="0.35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>
        <f t="shared" si="8"/>
        <v>8.4803099999999996E-3</v>
      </c>
      <c r="H101" s="95">
        <f t="shared" si="5"/>
        <v>384.38399999999996</v>
      </c>
      <c r="I101" s="96">
        <f t="shared" si="6"/>
        <v>753.20231999999999</v>
      </c>
      <c r="J101" s="119"/>
      <c r="K101"/>
    </row>
    <row r="102" spans="1:11" ht="15" thickBot="1" x14ac:dyDescent="0.35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>
        <f t="shared" si="8"/>
        <v>8.4803099999999996E-3</v>
      </c>
      <c r="H102" s="95">
        <f t="shared" si="5"/>
        <v>258.71999999999997</v>
      </c>
      <c r="I102" s="96">
        <f t="shared" si="6"/>
        <v>506.96310000000005</v>
      </c>
      <c r="J102" s="119"/>
      <c r="K102"/>
    </row>
    <row r="103" spans="1:11" ht="15" thickBot="1" x14ac:dyDescent="0.35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>
        <f t="shared" si="8"/>
        <v>8.4803099999999996E-3</v>
      </c>
      <c r="H103" s="95">
        <f t="shared" si="5"/>
        <v>236.54399999999998</v>
      </c>
      <c r="I103" s="96">
        <f t="shared" si="6"/>
        <v>463.50912000000005</v>
      </c>
      <c r="J103" s="119"/>
      <c r="K103"/>
    </row>
    <row r="104" spans="1:11" ht="15" thickBot="1" x14ac:dyDescent="0.35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>
        <f t="shared" si="8"/>
        <v>8.4803099999999996E-3</v>
      </c>
      <c r="H104" s="95">
        <f t="shared" si="5"/>
        <v>384.38399999999996</v>
      </c>
      <c r="I104" s="96">
        <f t="shared" si="6"/>
        <v>753.20231999999999</v>
      </c>
      <c r="J104" s="119"/>
      <c r="K104"/>
    </row>
    <row r="105" spans="1:11" ht="15" thickBot="1" x14ac:dyDescent="0.35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>
        <f t="shared" si="8"/>
        <v>8.4803099999999996E-3</v>
      </c>
      <c r="H105" s="95">
        <f t="shared" si="5"/>
        <v>384.38399999999996</v>
      </c>
      <c r="I105" s="96">
        <f t="shared" si="6"/>
        <v>753.20231999999999</v>
      </c>
      <c r="J105" s="119"/>
      <c r="K105"/>
    </row>
    <row r="106" spans="1:11" ht="15" thickBot="1" x14ac:dyDescent="0.35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>
        <f t="shared" si="8"/>
        <v>8.4803099999999996E-3</v>
      </c>
      <c r="H106" s="95">
        <f t="shared" si="5"/>
        <v>192.19199999999998</v>
      </c>
      <c r="I106" s="96">
        <f t="shared" si="6"/>
        <v>376.60115999999999</v>
      </c>
      <c r="J106" s="119"/>
      <c r="K106"/>
    </row>
    <row r="107" spans="1:11" ht="15" thickBot="1" x14ac:dyDescent="0.35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>
        <f t="shared" si="8"/>
        <v>8.4803099999999996E-3</v>
      </c>
      <c r="H107" s="95">
        <f t="shared" si="5"/>
        <v>384.38399999999996</v>
      </c>
      <c r="I107" s="96">
        <f t="shared" si="6"/>
        <v>753.20231999999999</v>
      </c>
      <c r="J107" s="119"/>
      <c r="K107"/>
    </row>
    <row r="108" spans="1:11" ht="15" thickBot="1" x14ac:dyDescent="0.35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>
        <f t="shared" si="8"/>
        <v>8.4803099999999996E-3</v>
      </c>
      <c r="H108" s="95">
        <f t="shared" si="5"/>
        <v>384.38399999999996</v>
      </c>
      <c r="I108" s="96">
        <f t="shared" si="6"/>
        <v>753.20231999999999</v>
      </c>
      <c r="J108" s="119"/>
      <c r="K108"/>
    </row>
    <row r="109" spans="1:11" ht="15" thickBot="1" x14ac:dyDescent="0.35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>
        <f t="shared" si="8"/>
        <v>8.4803099999999996E-3</v>
      </c>
      <c r="H109" s="95">
        <f t="shared" si="5"/>
        <v>576.57600000000002</v>
      </c>
      <c r="I109" s="96">
        <f t="shared" si="6"/>
        <v>1129.80348</v>
      </c>
      <c r="J109" s="119"/>
      <c r="K109"/>
    </row>
    <row r="110" spans="1:11" ht="15" thickBot="1" x14ac:dyDescent="0.35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>
        <f t="shared" si="8"/>
        <v>8.4803099999999996E-3</v>
      </c>
      <c r="H110" s="95">
        <f t="shared" si="5"/>
        <v>576.57600000000002</v>
      </c>
      <c r="I110" s="96">
        <f t="shared" si="6"/>
        <v>1129.80348</v>
      </c>
      <c r="J110" s="119"/>
      <c r="K110"/>
    </row>
    <row r="111" spans="1:11" ht="15" thickBot="1" x14ac:dyDescent="0.35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>
        <f t="shared" si="8"/>
        <v>8.4803099999999996E-3</v>
      </c>
      <c r="H111" s="95">
        <f t="shared" si="5"/>
        <v>384.38399999999996</v>
      </c>
      <c r="I111" s="96">
        <f t="shared" si="6"/>
        <v>753.20231999999999</v>
      </c>
      <c r="J111" s="119"/>
      <c r="K111"/>
    </row>
    <row r="112" spans="1:11" ht="15" thickBot="1" x14ac:dyDescent="0.35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>
        <f t="shared" si="8"/>
        <v>8.4803099999999996E-3</v>
      </c>
      <c r="H112" s="95">
        <f t="shared" si="5"/>
        <v>384.38399999999996</v>
      </c>
      <c r="I112" s="96">
        <f t="shared" si="6"/>
        <v>753.20231999999999</v>
      </c>
      <c r="J112" s="119"/>
      <c r="K112"/>
    </row>
    <row r="113" spans="1:11" ht="15" thickBot="1" x14ac:dyDescent="0.35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>
        <f t="shared" si="8"/>
        <v>8.4803099999999996E-3</v>
      </c>
      <c r="H113" s="95">
        <f t="shared" si="5"/>
        <v>384.38399999999996</v>
      </c>
      <c r="I113" s="96">
        <f t="shared" si="6"/>
        <v>753.20231999999999</v>
      </c>
      <c r="J113" s="119"/>
      <c r="K113"/>
    </row>
    <row r="114" spans="1:11" ht="15" thickBot="1" x14ac:dyDescent="0.35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>
        <f t="shared" si="8"/>
        <v>8.4803099999999996E-3</v>
      </c>
      <c r="H114" s="95">
        <f t="shared" si="5"/>
        <v>384.38399999999996</v>
      </c>
      <c r="I114" s="96">
        <f t="shared" si="6"/>
        <v>753.20231999999999</v>
      </c>
      <c r="J114" s="119"/>
      <c r="K114"/>
    </row>
    <row r="115" spans="1:11" ht="15" thickBot="1" x14ac:dyDescent="0.35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>
        <f t="shared" si="8"/>
        <v>8.4803099999999996E-3</v>
      </c>
      <c r="H115" s="95">
        <f t="shared" si="5"/>
        <v>384.38399999999996</v>
      </c>
      <c r="I115" s="96">
        <f t="shared" si="6"/>
        <v>753.20231999999999</v>
      </c>
      <c r="J115" s="119"/>
      <c r="K115"/>
    </row>
    <row r="116" spans="1:11" ht="15" thickBot="1" x14ac:dyDescent="0.35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>
        <f t="shared" si="8"/>
        <v>8.4803099999999996E-3</v>
      </c>
      <c r="H116" s="95">
        <f t="shared" si="5"/>
        <v>384.38399999999996</v>
      </c>
      <c r="I116" s="96">
        <f t="shared" si="6"/>
        <v>753.20231999999999</v>
      </c>
      <c r="J116" s="119"/>
      <c r="K116"/>
    </row>
    <row r="117" spans="1:11" ht="15" thickBot="1" x14ac:dyDescent="0.35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>
        <f t="shared" si="8"/>
        <v>8.4803099999999996E-3</v>
      </c>
      <c r="H117" s="95">
        <f t="shared" si="5"/>
        <v>384.38399999999996</v>
      </c>
      <c r="I117" s="96">
        <f t="shared" si="6"/>
        <v>753.20231999999999</v>
      </c>
      <c r="J117" s="119"/>
      <c r="K117"/>
    </row>
    <row r="118" spans="1:11" ht="15" thickBot="1" x14ac:dyDescent="0.35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>
        <f t="shared" si="8"/>
        <v>8.4803099999999996E-3</v>
      </c>
      <c r="H118" s="95">
        <f t="shared" si="5"/>
        <v>384.38399999999996</v>
      </c>
      <c r="I118" s="96">
        <f t="shared" si="6"/>
        <v>753.20231999999999</v>
      </c>
      <c r="J118" s="119"/>
      <c r="K118"/>
    </row>
    <row r="119" spans="1:11" ht="15" thickBot="1" x14ac:dyDescent="0.35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>
        <f t="shared" si="8"/>
        <v>8.4803099999999996E-3</v>
      </c>
      <c r="H119" s="95">
        <f t="shared" si="5"/>
        <v>73.92</v>
      </c>
      <c r="I119" s="96">
        <f t="shared" si="6"/>
        <v>144.8466</v>
      </c>
      <c r="J119" s="119"/>
      <c r="K119"/>
    </row>
    <row r="120" spans="1:11" ht="15" thickBot="1" x14ac:dyDescent="0.35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>
        <f t="shared" si="8"/>
        <v>8.4803099999999996E-3</v>
      </c>
      <c r="H120" s="95">
        <f t="shared" si="5"/>
        <v>73.92</v>
      </c>
      <c r="I120" s="96">
        <f t="shared" si="6"/>
        <v>144.8466</v>
      </c>
      <c r="J120" s="119"/>
      <c r="K120"/>
    </row>
    <row r="121" spans="1:11" ht="15" thickBot="1" x14ac:dyDescent="0.35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>
        <f t="shared" si="8"/>
        <v>8.4803099999999996E-3</v>
      </c>
      <c r="H121" s="95">
        <f t="shared" si="5"/>
        <v>73.92</v>
      </c>
      <c r="I121" s="96">
        <f t="shared" si="6"/>
        <v>144.8466</v>
      </c>
      <c r="J121" s="119"/>
      <c r="K121"/>
    </row>
    <row r="122" spans="1:11" ht="15" thickBot="1" x14ac:dyDescent="0.35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>
        <f t="shared" si="8"/>
        <v>8.4803099999999996E-3</v>
      </c>
      <c r="H122" s="95">
        <f t="shared" si="5"/>
        <v>73.92</v>
      </c>
      <c r="I122" s="96">
        <f t="shared" si="6"/>
        <v>144.8466</v>
      </c>
      <c r="J122" s="119"/>
      <c r="K122"/>
    </row>
    <row r="123" spans="1:11" ht="15" thickBot="1" x14ac:dyDescent="0.35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>
        <f t="shared" si="8"/>
        <v>8.4803099999999996E-3</v>
      </c>
      <c r="H123" s="95">
        <f t="shared" si="5"/>
        <v>73.92</v>
      </c>
      <c r="I123" s="96">
        <f t="shared" si="6"/>
        <v>144.8466</v>
      </c>
      <c r="J123" s="119"/>
      <c r="K123"/>
    </row>
    <row r="124" spans="1:11" ht="15" thickBot="1" x14ac:dyDescent="0.35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22.5</v>
      </c>
      <c r="F124" s="98">
        <v>1.813675E-2</v>
      </c>
      <c r="G124" s="98">
        <f t="shared" si="8"/>
        <v>8.4803099999999996E-3</v>
      </c>
      <c r="H124" s="98">
        <f t="shared" si="5"/>
        <v>709.63199999999995</v>
      </c>
      <c r="I124" s="99">
        <f t="shared" si="6"/>
        <v>1390.52736</v>
      </c>
      <c r="J124" s="119"/>
      <c r="K124"/>
    </row>
    <row r="125" spans="1:11" s="118" customFormat="1" ht="15" thickBot="1" x14ac:dyDescent="0.35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>
        <f>_xlfn.IFS(E125=22.5,0.00848031,E125=24,0.009293235,E125=22,0.00821976)</f>
        <v>8.4803099999999996E-3</v>
      </c>
      <c r="H125" s="163">
        <f>ABS(1.232*C125*(D125-E125))</f>
        <v>384.38399999999996</v>
      </c>
      <c r="I125" s="164">
        <f>ABS(3000*C125*(F125-G125))</f>
        <v>753.20231999999999</v>
      </c>
      <c r="J125" s="119"/>
    </row>
    <row r="126" spans="1:11" s="118" customFormat="1" ht="15" thickBot="1" x14ac:dyDescent="0.35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>
        <f>_xlfn.IFS(E126=22.5,0.00848031,E126=24,0.009293235,E126=22,0.00821976)</f>
        <v>8.4803099999999996E-3</v>
      </c>
      <c r="H126" s="163">
        <f>ABS(1.232*C126*(D126-E126))</f>
        <v>384.38399999999996</v>
      </c>
      <c r="I126" s="164">
        <f>ABS(3000*C126*(F126-G126))</f>
        <v>753.20231999999999</v>
      </c>
      <c r="J126" s="119"/>
    </row>
    <row r="127" spans="1:11" ht="15" thickBot="1" x14ac:dyDescent="0.35">
      <c r="G127" s="128" t="s">
        <v>333</v>
      </c>
      <c r="H127" s="128">
        <f>SUM(Table19[Qs(W)])</f>
        <v>13106.016</v>
      </c>
      <c r="I127" s="128">
        <f>SUM(Table19[Ql(W)])</f>
        <v>25681.30218000001</v>
      </c>
    </row>
    <row r="128" spans="1:11" ht="15" thickBot="1" x14ac:dyDescent="0.35">
      <c r="G128" s="302" t="s">
        <v>161</v>
      </c>
      <c r="H128" s="302"/>
      <c r="I128" s="128">
        <f>H127+I127</f>
        <v>38787.318180000009</v>
      </c>
    </row>
  </sheetData>
  <mergeCells count="16">
    <mergeCell ref="A2:I2"/>
    <mergeCell ref="A1:I1"/>
    <mergeCell ref="A44:I44"/>
    <mergeCell ref="A93:I93"/>
    <mergeCell ref="G42:H42"/>
    <mergeCell ref="G91:H91"/>
    <mergeCell ref="M8:O9"/>
    <mergeCell ref="P8:P9"/>
    <mergeCell ref="Q8:Q9"/>
    <mergeCell ref="R8:R9"/>
    <mergeCell ref="G128:H128"/>
    <mergeCell ref="M3:R3"/>
    <mergeCell ref="M4:O4"/>
    <mergeCell ref="M5:O5"/>
    <mergeCell ref="M6:O6"/>
    <mergeCell ref="M7:O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Q128"/>
  <sheetViews>
    <sheetView topLeftCell="A118" zoomScale="85" zoomScaleNormal="85" workbookViewId="0">
      <selection activeCell="I95" sqref="I95:I126"/>
    </sheetView>
  </sheetViews>
  <sheetFormatPr defaultColWidth="9.109375" defaultRowHeight="14.4" x14ac:dyDescent="0.3"/>
  <cols>
    <col min="1" max="1" width="39.6640625" style="89" customWidth="1"/>
    <col min="2" max="2" width="6.33203125" style="89" customWidth="1"/>
    <col min="3" max="3" width="14.33203125" style="89" customWidth="1"/>
    <col min="4" max="4" width="10.6640625" style="89" customWidth="1"/>
    <col min="5" max="6" width="9.109375" style="89" customWidth="1"/>
    <col min="7" max="7" width="9.33203125" style="89" customWidth="1"/>
    <col min="8" max="8" width="9.109375" style="89" customWidth="1"/>
    <col min="9" max="16384" width="9.109375" style="91"/>
  </cols>
  <sheetData>
    <row r="1" spans="1:17" ht="24.75" customHeight="1" x14ac:dyDescent="0.3">
      <c r="A1" s="277" t="s">
        <v>503</v>
      </c>
      <c r="B1" s="277"/>
      <c r="C1" s="277"/>
      <c r="D1" s="277"/>
      <c r="E1" s="277"/>
      <c r="F1" s="277"/>
      <c r="G1" s="277"/>
      <c r="H1" s="277"/>
      <c r="I1" s="111"/>
    </row>
    <row r="2" spans="1:17" ht="24" thickBot="1" x14ac:dyDescent="0.5">
      <c r="A2" s="275" t="s">
        <v>160</v>
      </c>
      <c r="B2" s="275"/>
      <c r="C2" s="275"/>
      <c r="D2" s="275"/>
      <c r="E2" s="275"/>
      <c r="F2" s="275"/>
      <c r="G2" s="275"/>
      <c r="H2" s="275"/>
      <c r="I2" s="103"/>
    </row>
    <row r="3" spans="1:17" ht="15" thickBot="1" x14ac:dyDescent="0.35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L3" s="290" t="s">
        <v>539</v>
      </c>
      <c r="M3" s="290"/>
      <c r="N3" s="290"/>
      <c r="O3" s="290"/>
      <c r="P3" s="290"/>
      <c r="Q3" s="290"/>
    </row>
    <row r="4" spans="1:17" ht="15" thickBot="1" x14ac:dyDescent="0.35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L4" s="291"/>
      <c r="M4" s="291"/>
      <c r="N4" s="291"/>
      <c r="O4" s="133" t="s">
        <v>541</v>
      </c>
      <c r="P4" s="133" t="s">
        <v>542</v>
      </c>
      <c r="Q4" s="133" t="s">
        <v>430</v>
      </c>
    </row>
    <row r="5" spans="1:17" ht="15" thickBot="1" x14ac:dyDescent="0.35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L5" s="292" t="s">
        <v>160</v>
      </c>
      <c r="M5" s="292"/>
      <c r="N5" s="292"/>
      <c r="O5" s="82">
        <f>G41</f>
        <v>6432.18</v>
      </c>
      <c r="P5" s="82">
        <f>H41</f>
        <v>1888.7599999999993</v>
      </c>
      <c r="Q5" s="82">
        <f>O5+P5</f>
        <v>8320.9399999999987</v>
      </c>
    </row>
    <row r="6" spans="1:17" ht="15" thickBot="1" x14ac:dyDescent="0.35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L6" s="292" t="s">
        <v>41</v>
      </c>
      <c r="M6" s="292"/>
      <c r="N6" s="292"/>
      <c r="O6" s="82">
        <f>G90</f>
        <v>8765.2999999999993</v>
      </c>
      <c r="P6" s="82">
        <f>H90</f>
        <v>6432.5</v>
      </c>
      <c r="Q6" s="82">
        <f>O6+P6</f>
        <v>15197.8</v>
      </c>
    </row>
    <row r="7" spans="1:17" ht="15" thickBot="1" x14ac:dyDescent="0.35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L7" s="292" t="s">
        <v>59</v>
      </c>
      <c r="M7" s="292"/>
      <c r="N7" s="292"/>
      <c r="O7" s="82">
        <f>G127</f>
        <v>4519.5</v>
      </c>
      <c r="P7" s="82">
        <f>H127</f>
        <v>2132.1000000000004</v>
      </c>
      <c r="Q7" s="82">
        <f>O7+P7</f>
        <v>6651.6</v>
      </c>
    </row>
    <row r="8" spans="1:17" ht="15" thickBot="1" x14ac:dyDescent="0.35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L8" s="281" t="s">
        <v>540</v>
      </c>
      <c r="M8" s="281"/>
      <c r="N8" s="281"/>
      <c r="O8" s="282">
        <f>SUM(O5:O7)</f>
        <v>19716.98</v>
      </c>
      <c r="P8" s="282">
        <f>SUM(P5:P7)</f>
        <v>10453.359999999999</v>
      </c>
      <c r="Q8" s="282">
        <f>Q5+Q6+Q7</f>
        <v>30170.339999999997</v>
      </c>
    </row>
    <row r="9" spans="1:17" ht="15" thickBot="1" x14ac:dyDescent="0.35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L9" s="281"/>
      <c r="M9" s="281"/>
      <c r="N9" s="281"/>
      <c r="O9" s="283"/>
      <c r="P9" s="283"/>
      <c r="Q9" s="283"/>
    </row>
    <row r="10" spans="1:17" ht="15" thickBot="1" x14ac:dyDescent="0.35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</row>
    <row r="11" spans="1:17" ht="15" thickBot="1" x14ac:dyDescent="0.35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</row>
    <row r="12" spans="1:17" ht="15" thickBot="1" x14ac:dyDescent="0.35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</row>
    <row r="13" spans="1:17" ht="15" thickBot="1" x14ac:dyDescent="0.35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</row>
    <row r="14" spans="1:17" ht="15" thickBot="1" x14ac:dyDescent="0.35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</row>
    <row r="15" spans="1:17" ht="15" thickBot="1" x14ac:dyDescent="0.35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</row>
    <row r="16" spans="1:17" ht="15" thickBot="1" x14ac:dyDescent="0.35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</row>
    <row r="17" spans="1:8" ht="15" thickBot="1" x14ac:dyDescent="0.35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</row>
    <row r="18" spans="1:8" ht="15" thickBot="1" x14ac:dyDescent="0.35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</row>
    <row r="19" spans="1:8" ht="15" thickBot="1" x14ac:dyDescent="0.35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</row>
    <row r="20" spans="1:8" ht="15" thickBot="1" x14ac:dyDescent="0.35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</row>
    <row r="21" spans="1:8" ht="15" thickBot="1" x14ac:dyDescent="0.35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</row>
    <row r="22" spans="1:8" ht="15" thickBot="1" x14ac:dyDescent="0.35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</row>
    <row r="23" spans="1:8" ht="15" thickBot="1" x14ac:dyDescent="0.35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</row>
    <row r="24" spans="1:8" ht="15" thickBot="1" x14ac:dyDescent="0.35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</row>
    <row r="25" spans="1:8" ht="15" thickBot="1" x14ac:dyDescent="0.35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</row>
    <row r="26" spans="1:8" ht="15" thickBot="1" x14ac:dyDescent="0.35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</row>
    <row r="27" spans="1:8" ht="15" thickBot="1" x14ac:dyDescent="0.35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</row>
    <row r="28" spans="1:8" ht="15" thickBot="1" x14ac:dyDescent="0.35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</row>
    <row r="29" spans="1:8" ht="15" thickBot="1" x14ac:dyDescent="0.35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</row>
    <row r="30" spans="1:8" ht="15" thickBot="1" x14ac:dyDescent="0.35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</row>
    <row r="31" spans="1:8" ht="15" thickBot="1" x14ac:dyDescent="0.35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</row>
    <row r="32" spans="1:8" ht="15" thickBot="1" x14ac:dyDescent="0.35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</row>
    <row r="33" spans="1:9" ht="15" thickBot="1" x14ac:dyDescent="0.35">
      <c r="A33" s="166" t="s">
        <v>453</v>
      </c>
      <c r="B33" s="167"/>
      <c r="C33" s="167"/>
      <c r="D33" s="167"/>
      <c r="E33" s="167"/>
      <c r="F33" s="167">
        <v>0.92</v>
      </c>
      <c r="G33" s="167">
        <f t="shared" si="0"/>
        <v>0</v>
      </c>
      <c r="H33" s="168">
        <f t="shared" si="1"/>
        <v>0</v>
      </c>
    </row>
    <row r="34" spans="1:9" ht="15" thickBot="1" x14ac:dyDescent="0.35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</row>
    <row r="35" spans="1:9" ht="15" thickBot="1" x14ac:dyDescent="0.35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</row>
    <row r="36" spans="1:9" ht="15" thickBot="1" x14ac:dyDescent="0.35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</row>
    <row r="37" spans="1:9" ht="15" thickBot="1" x14ac:dyDescent="0.35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</row>
    <row r="38" spans="1:9" ht="15" thickBot="1" x14ac:dyDescent="0.35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</row>
    <row r="39" spans="1:9" ht="15" thickBot="1" x14ac:dyDescent="0.35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</row>
    <row r="40" spans="1:9" ht="15" thickBot="1" x14ac:dyDescent="0.35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</row>
    <row r="41" spans="1:9" ht="15" thickBot="1" x14ac:dyDescent="0.35">
      <c r="F41" s="128" t="s">
        <v>333</v>
      </c>
      <c r="G41" s="128">
        <f>SUM(Table22[Qs (W)])</f>
        <v>6432.18</v>
      </c>
      <c r="H41" s="128">
        <f>SUM(Table22[Ql (W)])</f>
        <v>1888.7599999999993</v>
      </c>
    </row>
    <row r="42" spans="1:9" ht="15" thickBot="1" x14ac:dyDescent="0.35">
      <c r="F42" s="302" t="s">
        <v>161</v>
      </c>
      <c r="G42" s="302"/>
      <c r="H42" s="128">
        <f>G41+H41</f>
        <v>8320.9399999999987</v>
      </c>
    </row>
    <row r="44" spans="1:9" ht="24" customHeight="1" thickBot="1" x14ac:dyDescent="0.5">
      <c r="A44" s="275" t="s">
        <v>41</v>
      </c>
      <c r="B44" s="275"/>
      <c r="C44" s="275"/>
      <c r="D44" s="275"/>
      <c r="E44" s="275"/>
      <c r="F44" s="275"/>
      <c r="G44" s="275"/>
      <c r="H44" s="275"/>
      <c r="I44" s="103"/>
    </row>
    <row r="45" spans="1:9" ht="15.75" customHeight="1" thickBot="1" x14ac:dyDescent="0.35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</row>
    <row r="46" spans="1:9" ht="15.75" customHeight="1" thickBot="1" x14ac:dyDescent="0.35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</row>
    <row r="47" spans="1:9" ht="15.75" customHeight="1" thickBot="1" x14ac:dyDescent="0.35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</row>
    <row r="48" spans="1:9" ht="15.75" customHeight="1" thickBot="1" x14ac:dyDescent="0.35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</row>
    <row r="49" spans="1:8" ht="15.75" customHeight="1" thickBot="1" x14ac:dyDescent="0.35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</row>
    <row r="50" spans="1:8" ht="15.75" customHeight="1" thickBot="1" x14ac:dyDescent="0.35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</row>
    <row r="51" spans="1:8" ht="15.75" customHeight="1" thickBot="1" x14ac:dyDescent="0.35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</row>
    <row r="52" spans="1:8" ht="15" thickBot="1" x14ac:dyDescent="0.35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</row>
    <row r="53" spans="1:8" ht="15" thickBot="1" x14ac:dyDescent="0.35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</row>
    <row r="54" spans="1:8" ht="15" thickBot="1" x14ac:dyDescent="0.35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</row>
    <row r="55" spans="1:8" ht="15" thickBot="1" x14ac:dyDescent="0.35">
      <c r="A55" s="166" t="s">
        <v>175</v>
      </c>
      <c r="B55" s="167">
        <v>5</v>
      </c>
      <c r="C55" s="152">
        <v>100</v>
      </c>
      <c r="D55" s="152">
        <v>0.6</v>
      </c>
      <c r="E55" s="152">
        <v>0.4</v>
      </c>
      <c r="F55" s="152">
        <v>0.92</v>
      </c>
      <c r="G55" s="152">
        <f t="shared" si="2"/>
        <v>276</v>
      </c>
      <c r="H55" s="153">
        <f t="shared" si="3"/>
        <v>200</v>
      </c>
    </row>
    <row r="56" spans="1:8" ht="15" thickBot="1" x14ac:dyDescent="0.35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</row>
    <row r="57" spans="1:8" ht="15" thickBot="1" x14ac:dyDescent="0.35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</row>
    <row r="58" spans="1:8" ht="15" thickBot="1" x14ac:dyDescent="0.35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</row>
    <row r="59" spans="1:8" ht="15" thickBot="1" x14ac:dyDescent="0.35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</row>
    <row r="60" spans="1:8" ht="15" thickBot="1" x14ac:dyDescent="0.35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</row>
    <row r="61" spans="1:8" ht="15" thickBot="1" x14ac:dyDescent="0.35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</row>
    <row r="62" spans="1:8" ht="15" thickBot="1" x14ac:dyDescent="0.35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</row>
    <row r="63" spans="1:8" ht="15" thickBot="1" x14ac:dyDescent="0.35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</row>
    <row r="64" spans="1:8" ht="15" thickBot="1" x14ac:dyDescent="0.35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</row>
    <row r="65" spans="1:8" ht="15" thickBot="1" x14ac:dyDescent="0.35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</row>
    <row r="66" spans="1:8" ht="15" thickBot="1" x14ac:dyDescent="0.35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</row>
    <row r="67" spans="1:8" ht="15" thickBot="1" x14ac:dyDescent="0.35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</row>
    <row r="68" spans="1:8" ht="15" thickBot="1" x14ac:dyDescent="0.35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</row>
    <row r="69" spans="1:8" ht="15" thickBot="1" x14ac:dyDescent="0.35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</row>
    <row r="70" spans="1:8" ht="15" thickBot="1" x14ac:dyDescent="0.35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</row>
    <row r="71" spans="1:8" ht="15" thickBot="1" x14ac:dyDescent="0.35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</row>
    <row r="72" spans="1:8" ht="15" thickBot="1" x14ac:dyDescent="0.35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</row>
    <row r="73" spans="1:8" ht="15" thickBot="1" x14ac:dyDescent="0.35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</row>
    <row r="74" spans="1:8" ht="15" thickBot="1" x14ac:dyDescent="0.35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</row>
    <row r="75" spans="1:8" ht="15" thickBot="1" x14ac:dyDescent="0.35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</row>
    <row r="76" spans="1:8" ht="15" thickBot="1" x14ac:dyDescent="0.35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</row>
    <row r="77" spans="1:8" ht="15" thickBot="1" x14ac:dyDescent="0.35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</row>
    <row r="78" spans="1:8" ht="15" thickBot="1" x14ac:dyDescent="0.35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</row>
    <row r="79" spans="1:8" ht="15" thickBot="1" x14ac:dyDescent="0.35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</row>
    <row r="80" spans="1:8" ht="15" thickBot="1" x14ac:dyDescent="0.35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</row>
    <row r="81" spans="1:9" ht="15" thickBot="1" x14ac:dyDescent="0.35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</row>
    <row r="82" spans="1:9" ht="15" thickBot="1" x14ac:dyDescent="0.35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</row>
    <row r="83" spans="1:9" ht="15" thickBot="1" x14ac:dyDescent="0.35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</row>
    <row r="84" spans="1:9" ht="15" thickBot="1" x14ac:dyDescent="0.35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</row>
    <row r="85" spans="1:9" ht="15" thickBot="1" x14ac:dyDescent="0.35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</row>
    <row r="86" spans="1:9" ht="15" thickBot="1" x14ac:dyDescent="0.35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</row>
    <row r="87" spans="1:9" ht="15" thickBot="1" x14ac:dyDescent="0.35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</row>
    <row r="88" spans="1:9" ht="15" thickBot="1" x14ac:dyDescent="0.35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</row>
    <row r="89" spans="1:9" ht="15" thickBot="1" x14ac:dyDescent="0.35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</row>
    <row r="90" spans="1:9" ht="15" thickBot="1" x14ac:dyDescent="0.35">
      <c r="F90" s="128" t="s">
        <v>333</v>
      </c>
      <c r="G90" s="128">
        <f>SUM(Table21[Qs (W)])</f>
        <v>8765.2999999999993</v>
      </c>
      <c r="H90" s="128">
        <f>SUM(Table21[Ql (W)])</f>
        <v>6432.5</v>
      </c>
    </row>
    <row r="91" spans="1:9" ht="15" thickBot="1" x14ac:dyDescent="0.35">
      <c r="F91" s="302" t="s">
        <v>161</v>
      </c>
      <c r="G91" s="302"/>
      <c r="H91" s="128">
        <f>G90+H90</f>
        <v>15197.8</v>
      </c>
    </row>
    <row r="93" spans="1:9" ht="23.4" x14ac:dyDescent="0.45">
      <c r="A93" s="276" t="s">
        <v>59</v>
      </c>
      <c r="B93" s="276"/>
      <c r="C93" s="276"/>
      <c r="D93" s="276"/>
      <c r="E93" s="276"/>
      <c r="F93" s="276"/>
      <c r="G93" s="276"/>
      <c r="H93" s="276"/>
      <c r="I93" s="106"/>
    </row>
    <row r="94" spans="1:9" ht="15" thickBot="1" x14ac:dyDescent="0.35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</row>
    <row r="95" spans="1:9" ht="15" thickBot="1" x14ac:dyDescent="0.35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</row>
    <row r="96" spans="1:9" ht="15" thickBot="1" x14ac:dyDescent="0.35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</row>
    <row r="97" spans="1:8" ht="15" thickBot="1" x14ac:dyDescent="0.35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</row>
    <row r="98" spans="1:8" ht="15" thickBot="1" x14ac:dyDescent="0.35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</row>
    <row r="99" spans="1:8" ht="15" thickBot="1" x14ac:dyDescent="0.35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</row>
    <row r="100" spans="1:8" ht="15" thickBot="1" x14ac:dyDescent="0.35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</row>
    <row r="101" spans="1:8" ht="15" thickBot="1" x14ac:dyDescent="0.35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</row>
    <row r="102" spans="1:8" ht="15" thickBot="1" x14ac:dyDescent="0.35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</row>
    <row r="103" spans="1:8" ht="15" thickBot="1" x14ac:dyDescent="0.35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</row>
    <row r="104" spans="1:8" ht="15" thickBot="1" x14ac:dyDescent="0.35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</row>
    <row r="105" spans="1:8" ht="15" thickBot="1" x14ac:dyDescent="0.35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</row>
    <row r="106" spans="1:8" ht="15" thickBot="1" x14ac:dyDescent="0.35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</row>
    <row r="107" spans="1:8" ht="15" thickBot="1" x14ac:dyDescent="0.35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</row>
    <row r="108" spans="1:8" ht="15" thickBot="1" x14ac:dyDescent="0.35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</row>
    <row r="109" spans="1:8" ht="15" thickBot="1" x14ac:dyDescent="0.35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</row>
    <row r="110" spans="1:8" ht="15" thickBot="1" x14ac:dyDescent="0.35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</row>
    <row r="111" spans="1:8" ht="15" thickBot="1" x14ac:dyDescent="0.35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</row>
    <row r="112" spans="1:8" ht="15" thickBot="1" x14ac:dyDescent="0.35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</row>
    <row r="113" spans="1:8" ht="15" thickBot="1" x14ac:dyDescent="0.35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</row>
    <row r="114" spans="1:8" ht="15" thickBot="1" x14ac:dyDescent="0.35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</row>
    <row r="115" spans="1:8" ht="15" thickBot="1" x14ac:dyDescent="0.35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</row>
    <row r="116" spans="1:8" ht="15" thickBot="1" x14ac:dyDescent="0.35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</row>
    <row r="117" spans="1:8" ht="15" thickBot="1" x14ac:dyDescent="0.35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</row>
    <row r="118" spans="1:8" ht="15" thickBot="1" x14ac:dyDescent="0.35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</row>
    <row r="119" spans="1:8" ht="15" thickBot="1" x14ac:dyDescent="0.35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</row>
    <row r="120" spans="1:8" ht="15" thickBot="1" x14ac:dyDescent="0.35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</row>
    <row r="121" spans="1:8" ht="15" thickBot="1" x14ac:dyDescent="0.35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</row>
    <row r="122" spans="1:8" ht="15" thickBot="1" x14ac:dyDescent="0.35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</row>
    <row r="123" spans="1:8" ht="15" thickBot="1" x14ac:dyDescent="0.35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</row>
    <row r="124" spans="1:8" ht="15" thickBot="1" x14ac:dyDescent="0.35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</row>
    <row r="125" spans="1:8" ht="15" thickBot="1" x14ac:dyDescent="0.35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</row>
    <row r="126" spans="1:8" ht="15" thickBot="1" x14ac:dyDescent="0.35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</row>
    <row r="127" spans="1:8" ht="15" thickBot="1" x14ac:dyDescent="0.35">
      <c r="F127" s="128" t="s">
        <v>333</v>
      </c>
      <c r="G127" s="128">
        <f>SUM(Table20[Qs (W)])</f>
        <v>4519.5</v>
      </c>
      <c r="H127" s="128">
        <f>SUM(Table20[Ql (W)])</f>
        <v>2132.1000000000004</v>
      </c>
    </row>
    <row r="128" spans="1:8" ht="15" thickBot="1" x14ac:dyDescent="0.35">
      <c r="F128" s="302" t="s">
        <v>534</v>
      </c>
      <c r="G128" s="302"/>
      <c r="H128" s="128">
        <f>G127+H127</f>
        <v>6651.6</v>
      </c>
    </row>
  </sheetData>
  <mergeCells count="16">
    <mergeCell ref="A1:H1"/>
    <mergeCell ref="A2:H2"/>
    <mergeCell ref="A44:H44"/>
    <mergeCell ref="F42:G42"/>
    <mergeCell ref="F91:G91"/>
    <mergeCell ref="F128:G128"/>
    <mergeCell ref="L3:Q3"/>
    <mergeCell ref="L4:N4"/>
    <mergeCell ref="L5:N5"/>
    <mergeCell ref="L6:N6"/>
    <mergeCell ref="L7:N7"/>
    <mergeCell ref="L8:N9"/>
    <mergeCell ref="O8:O9"/>
    <mergeCell ref="P8:P9"/>
    <mergeCell ref="Q8:Q9"/>
    <mergeCell ref="A93:H9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201"/>
  <sheetViews>
    <sheetView topLeftCell="A91" zoomScale="85" zoomScaleNormal="85" workbookViewId="0">
      <selection activeCell="L169" sqref="L169"/>
    </sheetView>
  </sheetViews>
  <sheetFormatPr defaultRowHeight="14.4" x14ac:dyDescent="0.3"/>
  <cols>
    <col min="1" max="1" width="38.5546875" customWidth="1"/>
    <col min="2" max="2" width="35.44140625" customWidth="1"/>
    <col min="8" max="8" width="9.109375" hidden="1" customWidth="1"/>
  </cols>
  <sheetData>
    <row r="1" spans="1:16" ht="23.4" x14ac:dyDescent="0.3">
      <c r="A1" s="277" t="s">
        <v>535</v>
      </c>
      <c r="B1" s="277"/>
      <c r="C1" s="277"/>
      <c r="D1" s="277"/>
      <c r="E1" s="277"/>
      <c r="F1" s="277"/>
      <c r="G1" s="277"/>
      <c r="H1" s="129"/>
      <c r="I1" s="111"/>
    </row>
    <row r="2" spans="1:16" ht="24" thickBot="1" x14ac:dyDescent="0.5">
      <c r="A2" s="303" t="s">
        <v>160</v>
      </c>
      <c r="B2" s="303"/>
      <c r="C2" s="303"/>
      <c r="D2" s="303"/>
      <c r="E2" s="303"/>
      <c r="F2" s="303"/>
      <c r="G2" s="303"/>
      <c r="H2" s="103"/>
      <c r="I2" s="103"/>
    </row>
    <row r="3" spans="1:16" ht="15" thickBot="1" x14ac:dyDescent="0.35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278" t="s">
        <v>539</v>
      </c>
      <c r="L3" s="278"/>
      <c r="M3" s="278"/>
      <c r="N3" s="278"/>
      <c r="O3" s="278"/>
      <c r="P3" s="278"/>
    </row>
    <row r="4" spans="1:16" ht="15" thickBot="1" x14ac:dyDescent="0.35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279"/>
      <c r="L4" s="279"/>
      <c r="M4" s="279"/>
      <c r="N4" s="279" t="s">
        <v>430</v>
      </c>
      <c r="O4" s="279"/>
      <c r="P4" s="279"/>
    </row>
    <row r="5" spans="1:16" ht="15" thickBot="1" x14ac:dyDescent="0.35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280" t="s">
        <v>160</v>
      </c>
      <c r="L5" s="280"/>
      <c r="M5" s="280"/>
      <c r="N5" s="280">
        <f>G63</f>
        <v>1147.9227799999999</v>
      </c>
      <c r="O5" s="280"/>
      <c r="P5" s="280"/>
    </row>
    <row r="6" spans="1:16" ht="15" thickBot="1" x14ac:dyDescent="0.35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280" t="s">
        <v>41</v>
      </c>
      <c r="L6" s="280"/>
      <c r="M6" s="280"/>
      <c r="N6" s="280">
        <f>G137</f>
        <v>1229.8197599999994</v>
      </c>
      <c r="O6" s="280"/>
      <c r="P6" s="280"/>
    </row>
    <row r="7" spans="1:16" ht="15" thickBot="1" x14ac:dyDescent="0.35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280" t="s">
        <v>59</v>
      </c>
      <c r="L7" s="280"/>
      <c r="M7" s="280"/>
      <c r="N7" s="280">
        <f>G201</f>
        <v>1068.55</v>
      </c>
      <c r="O7" s="280"/>
      <c r="P7" s="280"/>
    </row>
    <row r="8" spans="1:16" ht="15" thickBot="1" x14ac:dyDescent="0.35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281" t="s">
        <v>540</v>
      </c>
      <c r="L8" s="281"/>
      <c r="M8" s="281"/>
      <c r="N8" s="294">
        <f>N5+N6+N7</f>
        <v>3446.2925399999995</v>
      </c>
      <c r="O8" s="295"/>
      <c r="P8" s="296"/>
    </row>
    <row r="9" spans="1:16" ht="15" thickBot="1" x14ac:dyDescent="0.35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281"/>
      <c r="L9" s="281"/>
      <c r="M9" s="281"/>
      <c r="N9" s="297"/>
      <c r="O9" s="298"/>
      <c r="P9" s="299"/>
    </row>
    <row r="10" spans="1:16" ht="15" thickBot="1" x14ac:dyDescent="0.35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" thickBot="1" x14ac:dyDescent="0.35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" thickBot="1" x14ac:dyDescent="0.35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" thickBot="1" x14ac:dyDescent="0.35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" thickBot="1" x14ac:dyDescent="0.35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" thickBot="1" x14ac:dyDescent="0.35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" thickBot="1" x14ac:dyDescent="0.35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" thickBot="1" x14ac:dyDescent="0.35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" thickBot="1" x14ac:dyDescent="0.35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" thickBot="1" x14ac:dyDescent="0.35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" thickBot="1" x14ac:dyDescent="0.35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" thickBot="1" x14ac:dyDescent="0.35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" thickBot="1" x14ac:dyDescent="0.35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" thickBot="1" x14ac:dyDescent="0.35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" thickBot="1" x14ac:dyDescent="0.35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" thickBot="1" x14ac:dyDescent="0.35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" thickBot="1" x14ac:dyDescent="0.35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" thickBot="1" x14ac:dyDescent="0.35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" thickBot="1" x14ac:dyDescent="0.35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" thickBot="1" x14ac:dyDescent="0.35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" thickBot="1" x14ac:dyDescent="0.35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" thickBot="1" x14ac:dyDescent="0.35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" thickBot="1" x14ac:dyDescent="0.35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" thickBot="1" x14ac:dyDescent="0.35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" thickBot="1" x14ac:dyDescent="0.35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" thickBot="1" x14ac:dyDescent="0.35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" thickBot="1" x14ac:dyDescent="0.35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" thickBot="1" x14ac:dyDescent="0.35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" thickBot="1" x14ac:dyDescent="0.35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" thickBot="1" x14ac:dyDescent="0.35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" thickBot="1" x14ac:dyDescent="0.35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" thickBot="1" x14ac:dyDescent="0.35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" thickBot="1" x14ac:dyDescent="0.35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" thickBot="1" x14ac:dyDescent="0.35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" thickBot="1" x14ac:dyDescent="0.35">
      <c r="A44" s="81"/>
      <c r="B44" s="134" t="s">
        <v>450</v>
      </c>
      <c r="C44" s="134">
        <v>1.6048</v>
      </c>
      <c r="D44" s="134">
        <f>References!AW44*2</f>
        <v>1.6</v>
      </c>
      <c r="E44" s="134">
        <v>22.5</v>
      </c>
      <c r="F44" s="134">
        <v>24</v>
      </c>
      <c r="G44" s="135">
        <f t="shared" si="1"/>
        <v>3.8515200000000003</v>
      </c>
      <c r="H44" s="117"/>
    </row>
    <row r="45" spans="1:8" ht="15" thickBot="1" x14ac:dyDescent="0.35">
      <c r="A45" s="136" t="s">
        <v>367</v>
      </c>
      <c r="B45" s="134" t="s">
        <v>64</v>
      </c>
      <c r="C45" s="134">
        <v>2.3576000000000001</v>
      </c>
      <c r="D45" s="134">
        <f>References!AW45*2</f>
        <v>1.8</v>
      </c>
      <c r="E45" s="134">
        <v>22.5</v>
      </c>
      <c r="F45" s="134">
        <v>28</v>
      </c>
      <c r="G45" s="135">
        <f t="shared" si="1"/>
        <v>23.340240000000001</v>
      </c>
      <c r="H45" s="117"/>
    </row>
    <row r="46" spans="1:8" ht="15" thickBot="1" x14ac:dyDescent="0.35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" thickBot="1" x14ac:dyDescent="0.35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" thickBot="1" x14ac:dyDescent="0.35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" thickBot="1" x14ac:dyDescent="0.35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" thickBot="1" x14ac:dyDescent="0.35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" thickBot="1" x14ac:dyDescent="0.35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" thickBot="1" x14ac:dyDescent="0.35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" thickBot="1" x14ac:dyDescent="0.35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" thickBot="1" x14ac:dyDescent="0.35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" thickBot="1" x14ac:dyDescent="0.35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" thickBot="1" x14ac:dyDescent="0.35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" thickBot="1" x14ac:dyDescent="0.35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" thickBot="1" x14ac:dyDescent="0.35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" thickBot="1" x14ac:dyDescent="0.35">
      <c r="A59" s="137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" thickBot="1" x14ac:dyDescent="0.35">
      <c r="A60" s="136" t="s">
        <v>30</v>
      </c>
      <c r="B60" s="134" t="s">
        <v>64</v>
      </c>
      <c r="C60" s="134">
        <v>2.3576000000000001</v>
      </c>
      <c r="D60" s="134">
        <f>References!AW60*2</f>
        <v>4</v>
      </c>
      <c r="E60" s="134">
        <v>24</v>
      </c>
      <c r="F60" s="134">
        <v>28</v>
      </c>
      <c r="G60" s="135">
        <f t="shared" si="1"/>
        <v>37.721600000000002</v>
      </c>
      <c r="H60" s="117"/>
    </row>
    <row r="61" spans="1:8" ht="15" thickBot="1" x14ac:dyDescent="0.35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" thickBot="1" x14ac:dyDescent="0.35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" thickBot="1" x14ac:dyDescent="0.35">
      <c r="F63" s="41" t="s">
        <v>333</v>
      </c>
      <c r="G63" s="41">
        <f>SUM(Table26[Qs (W)])</f>
        <v>1147.9227799999999</v>
      </c>
    </row>
    <row r="65" spans="1:9" ht="24" thickBot="1" x14ac:dyDescent="0.5">
      <c r="A65" s="303" t="s">
        <v>41</v>
      </c>
      <c r="B65" s="303"/>
      <c r="C65" s="303"/>
      <c r="D65" s="303"/>
      <c r="E65" s="303"/>
      <c r="F65" s="303"/>
      <c r="G65" s="303"/>
      <c r="H65" s="130"/>
      <c r="I65" s="118"/>
    </row>
    <row r="66" spans="1:9" ht="15" thickBot="1" x14ac:dyDescent="0.35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" thickBot="1" x14ac:dyDescent="0.35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" thickBot="1" x14ac:dyDescent="0.35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" thickBot="1" x14ac:dyDescent="0.35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" thickBot="1" x14ac:dyDescent="0.35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" thickBot="1" x14ac:dyDescent="0.35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" thickBot="1" x14ac:dyDescent="0.35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" thickBot="1" x14ac:dyDescent="0.35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" thickBot="1" x14ac:dyDescent="0.35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" thickBot="1" x14ac:dyDescent="0.35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" thickBot="1" x14ac:dyDescent="0.35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" thickBot="1" x14ac:dyDescent="0.35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" thickBot="1" x14ac:dyDescent="0.35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" thickBot="1" x14ac:dyDescent="0.35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" thickBot="1" x14ac:dyDescent="0.35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" thickBot="1" x14ac:dyDescent="0.35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" thickBot="1" x14ac:dyDescent="0.35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" thickBot="1" x14ac:dyDescent="0.35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" thickBot="1" x14ac:dyDescent="0.35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" thickBot="1" x14ac:dyDescent="0.35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" thickBot="1" x14ac:dyDescent="0.35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" thickBot="1" x14ac:dyDescent="0.35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" thickBot="1" x14ac:dyDescent="0.35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" thickBot="1" x14ac:dyDescent="0.35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" thickBot="1" x14ac:dyDescent="0.35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" thickBot="1" x14ac:dyDescent="0.35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" thickBot="1" x14ac:dyDescent="0.35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" thickBot="1" x14ac:dyDescent="0.35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" thickBot="1" x14ac:dyDescent="0.35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" thickBot="1" x14ac:dyDescent="0.35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" thickBot="1" x14ac:dyDescent="0.35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" thickBot="1" x14ac:dyDescent="0.35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" thickBot="1" x14ac:dyDescent="0.35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" thickBot="1" x14ac:dyDescent="0.35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" thickBot="1" x14ac:dyDescent="0.35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" thickBot="1" x14ac:dyDescent="0.35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" thickBot="1" x14ac:dyDescent="0.35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" thickBot="1" x14ac:dyDescent="0.35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" thickBot="1" x14ac:dyDescent="0.35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" thickBot="1" x14ac:dyDescent="0.35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" thickBot="1" x14ac:dyDescent="0.35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" thickBot="1" x14ac:dyDescent="0.35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" thickBot="1" x14ac:dyDescent="0.35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" thickBot="1" x14ac:dyDescent="0.35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" thickBot="1" x14ac:dyDescent="0.35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" thickBot="1" x14ac:dyDescent="0.35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" thickBot="1" x14ac:dyDescent="0.35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" thickBot="1" x14ac:dyDescent="0.35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" thickBot="1" x14ac:dyDescent="0.35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" thickBot="1" x14ac:dyDescent="0.35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" thickBot="1" x14ac:dyDescent="0.35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" thickBot="1" x14ac:dyDescent="0.35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" thickBot="1" x14ac:dyDescent="0.35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" thickBot="1" x14ac:dyDescent="0.35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" thickBot="1" x14ac:dyDescent="0.35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" thickBot="1" x14ac:dyDescent="0.35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" thickBot="1" x14ac:dyDescent="0.35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" thickBot="1" x14ac:dyDescent="0.35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" thickBot="1" x14ac:dyDescent="0.35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" thickBot="1" x14ac:dyDescent="0.35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" thickBot="1" x14ac:dyDescent="0.35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" thickBot="1" x14ac:dyDescent="0.35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" thickBot="1" x14ac:dyDescent="0.35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" thickBot="1" x14ac:dyDescent="0.35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" thickBot="1" x14ac:dyDescent="0.35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" thickBot="1" x14ac:dyDescent="0.35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" thickBot="1" x14ac:dyDescent="0.35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" thickBot="1" x14ac:dyDescent="0.35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" thickBot="1" x14ac:dyDescent="0.35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" thickBot="1" x14ac:dyDescent="0.35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" thickBot="1" x14ac:dyDescent="0.35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" thickBot="1" x14ac:dyDescent="0.35">
      <c r="F137" s="121" t="s">
        <v>333</v>
      </c>
      <c r="G137" s="121">
        <f>SUM(Table27[Qs (W)])</f>
        <v>1229.8197599999994</v>
      </c>
    </row>
    <row r="138" spans="1:8" s="118" customFormat="1" x14ac:dyDescent="0.3"/>
    <row r="139" spans="1:8" s="118" customFormat="1" x14ac:dyDescent="0.3"/>
    <row r="140" spans="1:8" ht="15" thickBot="1" x14ac:dyDescent="0.35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" thickBot="1" x14ac:dyDescent="0.35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" thickBot="1" x14ac:dyDescent="0.35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" thickBot="1" x14ac:dyDescent="0.35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" thickBot="1" x14ac:dyDescent="0.35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" thickBot="1" x14ac:dyDescent="0.35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" thickBot="1" x14ac:dyDescent="0.35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" thickBot="1" x14ac:dyDescent="0.35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" thickBot="1" x14ac:dyDescent="0.35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" thickBot="1" x14ac:dyDescent="0.35">
      <c r="A149" s="138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" thickBot="1" x14ac:dyDescent="0.35">
      <c r="A150" s="139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" thickBot="1" x14ac:dyDescent="0.35">
      <c r="A151" s="138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" thickBot="1" x14ac:dyDescent="0.35">
      <c r="A152" s="139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" thickBot="1" x14ac:dyDescent="0.35">
      <c r="A153" s="138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" thickBot="1" x14ac:dyDescent="0.35">
      <c r="A154" s="139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" thickBot="1" x14ac:dyDescent="0.35">
      <c r="A155" s="138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" thickBot="1" x14ac:dyDescent="0.35">
      <c r="A156" s="139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" thickBot="1" x14ac:dyDescent="0.35">
      <c r="A157" s="137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" thickBot="1" x14ac:dyDescent="0.35">
      <c r="A158" s="137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" thickBot="1" x14ac:dyDescent="0.35">
      <c r="A159" s="137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" thickBot="1" x14ac:dyDescent="0.35">
      <c r="A160" s="137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" thickBot="1" x14ac:dyDescent="0.35">
      <c r="A161" s="138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" thickBot="1" x14ac:dyDescent="0.35">
      <c r="A162" s="139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" thickBot="1" x14ac:dyDescent="0.35">
      <c r="A163" s="138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" thickBot="1" x14ac:dyDescent="0.35">
      <c r="A164" s="139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" thickBot="1" x14ac:dyDescent="0.35">
      <c r="A165" s="138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" thickBot="1" x14ac:dyDescent="0.35">
      <c r="A166" s="139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" thickBot="1" x14ac:dyDescent="0.35">
      <c r="A167" s="138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" thickBot="1" x14ac:dyDescent="0.35">
      <c r="A168" s="139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" thickBot="1" x14ac:dyDescent="0.35">
      <c r="A169" s="138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" thickBot="1" x14ac:dyDescent="0.35">
      <c r="A170" s="139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" thickBot="1" x14ac:dyDescent="0.35">
      <c r="A171" s="138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" thickBot="1" x14ac:dyDescent="0.35">
      <c r="A172" s="139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" thickBot="1" x14ac:dyDescent="0.35">
      <c r="A173" s="138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" thickBot="1" x14ac:dyDescent="0.35">
      <c r="A174" s="139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" thickBot="1" x14ac:dyDescent="0.35">
      <c r="A175" s="138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" thickBot="1" x14ac:dyDescent="0.35">
      <c r="A176" s="139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" thickBot="1" x14ac:dyDescent="0.35">
      <c r="A177" s="138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" thickBot="1" x14ac:dyDescent="0.35">
      <c r="A178" s="139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" thickBot="1" x14ac:dyDescent="0.35">
      <c r="A179" s="138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" thickBot="1" x14ac:dyDescent="0.35">
      <c r="A180" s="139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" thickBot="1" x14ac:dyDescent="0.35">
      <c r="A181" s="138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" thickBot="1" x14ac:dyDescent="0.35">
      <c r="A182" s="139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" thickBot="1" x14ac:dyDescent="0.35">
      <c r="A183" s="138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" thickBot="1" x14ac:dyDescent="0.35">
      <c r="A184" s="139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" thickBot="1" x14ac:dyDescent="0.35">
      <c r="A185" s="138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" thickBot="1" x14ac:dyDescent="0.35">
      <c r="A186" s="139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" thickBot="1" x14ac:dyDescent="0.35">
      <c r="A187" s="138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" thickBot="1" x14ac:dyDescent="0.35">
      <c r="A188" s="139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" thickBot="1" x14ac:dyDescent="0.35">
      <c r="A189" s="138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" thickBot="1" x14ac:dyDescent="0.35">
      <c r="A190" s="139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" thickBot="1" x14ac:dyDescent="0.35">
      <c r="A191" s="138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" thickBot="1" x14ac:dyDescent="0.35">
      <c r="A192" s="139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" thickBot="1" x14ac:dyDescent="0.35">
      <c r="A193" s="138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" thickBot="1" x14ac:dyDescent="0.35">
      <c r="A194" s="139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" thickBot="1" x14ac:dyDescent="0.35">
      <c r="A195" s="137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" thickBot="1" x14ac:dyDescent="0.35">
      <c r="A196" s="137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" thickBot="1" x14ac:dyDescent="0.35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" thickBot="1" x14ac:dyDescent="0.35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" thickBot="1" x14ac:dyDescent="0.35">
      <c r="A199" s="137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" thickBot="1" x14ac:dyDescent="0.35">
      <c r="A200" s="138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" thickBot="1" x14ac:dyDescent="0.35">
      <c r="A201" s="112"/>
      <c r="B201" s="112"/>
      <c r="E201" s="112"/>
      <c r="F201" s="121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80" priority="7" operator="equal">
      <formula>$J$1</formula>
    </cfRule>
  </conditionalFormatting>
  <conditionalFormatting sqref="D135:G136 D67:H134 C67:C136">
    <cfRule type="cellIs" dxfId="79" priority="6" operator="equal">
      <formula>$I$65</formula>
    </cfRule>
  </conditionalFormatting>
  <conditionalFormatting sqref="D141:H200">
    <cfRule type="cellIs" dxfId="78" priority="5" operator="equal">
      <formula>$J$182</formula>
    </cfRule>
  </conditionalFormatting>
  <conditionalFormatting sqref="C141:C200">
    <cfRule type="cellIs" dxfId="77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Heat Load Calculation Summary</vt:lpstr>
      <vt:lpstr>References</vt:lpstr>
      <vt:lpstr>Pipe Sizing Third Floor </vt:lpstr>
      <vt:lpstr>Pipe Sizing Second Floor</vt:lpstr>
      <vt:lpstr>Pipe Sizing Ground Floor</vt:lpstr>
      <vt:lpstr>Summary of Piping Calculation</vt:lpstr>
      <vt:lpstr>Cooling Capacity</vt:lpstr>
      <vt:lpstr>Ducting Calculations</vt:lpstr>
      <vt:lpstr>Equipment Schedule AHU &amp; FCU</vt:lpstr>
      <vt:lpstr>Equipment Schedule Diffuser</vt:lpstr>
      <vt:lpstr>Summary of TOR</vt:lpstr>
      <vt:lpstr>Exhaust Calculations</vt:lpstr>
      <vt:lpstr>Total Heat Calculation 1</vt:lpstr>
      <vt:lpstr>Total Heat Calculation 2</vt:lpstr>
      <vt:lpstr>Total Heat Calculation 3</vt:lpstr>
      <vt:lpstr>Cost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2020-01-02T12:06:32Z</dcterms:modified>
</cp:coreProperties>
</file>