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evinpowers/Desktop/"/>
    </mc:Choice>
  </mc:AlternateContent>
  <xr:revisionPtr revIDLastSave="0" documentId="8_{E1B26BDA-0FA1-7C4B-A7C2-13862B29D496}" xr6:coauthVersionLast="43" xr6:coauthVersionMax="43" xr10:uidLastSave="{00000000-0000-0000-0000-000000000000}"/>
  <bookViews>
    <workbookView xWindow="0" yWindow="460" windowWidth="25600" windowHeight="14540" activeTab="4" xr2:uid="{00000000-000D-0000-FFFF-FFFF00000000}"/>
  </bookViews>
  <sheets>
    <sheet name="RVF Section 1 (A-B)" sheetId="1" r:id="rId1"/>
    <sheet name="GVF Section 2 (B-C)" sheetId="2" r:id="rId2"/>
    <sheet name="After Jump" sheetId="3" r:id="rId3"/>
    <sheet name="Unloading (Wier)" sheetId="4" r:id="rId4"/>
    <sheet name="Overview" sheetId="5" r:id="rId5"/>
  </sheets>
  <definedNames>
    <definedName name="solver_adj" localSheetId="0" hidden="1">'RVF Section 1 (A-B)'!$C$5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'RVF Section 1 (A-B)'!$D$5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E9" i="4"/>
  <c r="F15" i="3"/>
  <c r="E18" i="3"/>
  <c r="C34" i="1"/>
  <c r="C4" i="1"/>
  <c r="C33" i="1"/>
  <c r="E25" i="2"/>
  <c r="B15" i="2"/>
  <c r="C15" i="2"/>
  <c r="J15" i="2"/>
  <c r="K15" i="2"/>
  <c r="E26" i="2"/>
  <c r="B12" i="2"/>
  <c r="C12" i="2"/>
  <c r="J12" i="2"/>
  <c r="K12" i="2"/>
  <c r="B13" i="2"/>
  <c r="C13" i="2"/>
  <c r="J13" i="2"/>
  <c r="K13" i="2"/>
  <c r="B14" i="2"/>
  <c r="C14" i="2"/>
  <c r="J14" i="2"/>
  <c r="K14" i="2"/>
  <c r="B16" i="2"/>
  <c r="C16" i="2"/>
  <c r="J16" i="2"/>
  <c r="K16" i="2"/>
  <c r="B17" i="2"/>
  <c r="C17" i="2"/>
  <c r="J17" i="2"/>
  <c r="K17" i="2"/>
  <c r="B18" i="2"/>
  <c r="C18" i="2"/>
  <c r="J18" i="2"/>
  <c r="K18" i="2"/>
  <c r="C11" i="3"/>
  <c r="D11" i="3"/>
  <c r="K11" i="3"/>
  <c r="L11" i="3"/>
  <c r="C12" i="3"/>
  <c r="D12" i="3"/>
  <c r="K12" i="3"/>
  <c r="L12" i="3"/>
  <c r="C13" i="3"/>
  <c r="D13" i="3"/>
  <c r="K13" i="3"/>
  <c r="L13" i="3"/>
  <c r="C14" i="3"/>
  <c r="D14" i="3"/>
  <c r="K14" i="3"/>
  <c r="L14" i="3"/>
  <c r="C15" i="3"/>
  <c r="D15" i="3"/>
  <c r="K15" i="3"/>
  <c r="L15" i="3"/>
  <c r="C10" i="3"/>
  <c r="D10" i="3"/>
  <c r="K10" i="3"/>
  <c r="L10" i="3"/>
  <c r="E11" i="3"/>
  <c r="E10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G15" i="3"/>
  <c r="H15" i="3"/>
  <c r="I15" i="3"/>
  <c r="J15" i="3"/>
  <c r="B11" i="2"/>
  <c r="C11" i="2"/>
  <c r="D11" i="2"/>
  <c r="B10" i="2"/>
  <c r="C10" i="2"/>
  <c r="D10" i="2"/>
  <c r="E11" i="2"/>
  <c r="F11" i="2"/>
  <c r="G11" i="2"/>
  <c r="J11" i="2"/>
  <c r="K11" i="2"/>
  <c r="L11" i="2"/>
  <c r="L12" i="2"/>
  <c r="L13" i="2"/>
  <c r="L14" i="2"/>
  <c r="L15" i="2"/>
  <c r="L16" i="2"/>
  <c r="L17" i="2"/>
  <c r="L18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J10" i="2"/>
  <c r="K10" i="2"/>
  <c r="L10" i="2"/>
  <c r="C14" i="1"/>
  <c r="D14" i="1"/>
  <c r="K14" i="1"/>
  <c r="L14" i="1"/>
  <c r="F15" i="1"/>
  <c r="G15" i="1"/>
  <c r="E4" i="2"/>
  <c r="F27" i="1"/>
  <c r="G27" i="1"/>
  <c r="C27" i="1"/>
  <c r="D27" i="1"/>
  <c r="E27" i="1"/>
  <c r="C26" i="1"/>
  <c r="D26" i="1"/>
  <c r="E26" i="1"/>
  <c r="H27" i="1"/>
  <c r="I27" i="1"/>
  <c r="C16" i="1"/>
  <c r="D16" i="1"/>
  <c r="E16" i="1"/>
  <c r="C15" i="1"/>
  <c r="D15" i="1"/>
  <c r="E15" i="1"/>
  <c r="F16" i="1"/>
  <c r="G16" i="1"/>
  <c r="H16" i="1"/>
  <c r="I16" i="1"/>
  <c r="I15" i="1"/>
  <c r="J15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F26" i="1"/>
  <c r="G26" i="1"/>
  <c r="H26" i="1"/>
  <c r="I26" i="1"/>
  <c r="J26" i="1"/>
  <c r="J27" i="1"/>
  <c r="F28" i="1"/>
  <c r="G28" i="1"/>
  <c r="C28" i="1"/>
  <c r="D28" i="1"/>
  <c r="E28" i="1"/>
  <c r="H28" i="1"/>
  <c r="I28" i="1"/>
  <c r="J28" i="1"/>
  <c r="F29" i="1"/>
  <c r="G29" i="1"/>
  <c r="C29" i="1"/>
  <c r="D29" i="1"/>
  <c r="E29" i="1"/>
  <c r="H29" i="1"/>
  <c r="I29" i="1"/>
  <c r="J29" i="1"/>
  <c r="F30" i="1"/>
  <c r="G30" i="1"/>
  <c r="C30" i="1"/>
  <c r="D30" i="1"/>
  <c r="E30" i="1"/>
  <c r="H30" i="1"/>
  <c r="I30" i="1"/>
  <c r="J30" i="1"/>
  <c r="F31" i="1"/>
  <c r="G31" i="1"/>
  <c r="C31" i="1"/>
  <c r="D31" i="1"/>
  <c r="E31" i="1"/>
  <c r="H31" i="1"/>
  <c r="I31" i="1"/>
  <c r="J31" i="1"/>
  <c r="K31" i="1"/>
  <c r="L31" i="1"/>
  <c r="K30" i="1"/>
  <c r="L30" i="1"/>
  <c r="K29" i="1"/>
  <c r="L29" i="1"/>
  <c r="K28" i="1"/>
  <c r="L28" i="1"/>
  <c r="K27" i="1"/>
  <c r="L27" i="1"/>
  <c r="D5" i="1"/>
  <c r="K26" i="1"/>
  <c r="L26" i="1"/>
  <c r="K25" i="1"/>
  <c r="L25" i="1"/>
  <c r="K24" i="1"/>
  <c r="L24" i="1"/>
  <c r="K23" i="1"/>
  <c r="L23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E14" i="1"/>
</calcChain>
</file>

<file path=xl/sharedStrings.xml><?xml version="1.0" encoding="utf-8"?>
<sst xmlns="http://schemas.openxmlformats.org/spreadsheetml/2006/main" count="141" uniqueCount="66">
  <si>
    <t>Station</t>
  </si>
  <si>
    <t>y [ft]</t>
  </si>
  <si>
    <t>A [ft2]</t>
  </si>
  <si>
    <t>E [ft]</t>
  </si>
  <si>
    <t>ym [ft]</t>
  </si>
  <si>
    <t>Sf-bar (@ym)</t>
  </si>
  <si>
    <t>Δx [ft]</t>
  </si>
  <si>
    <t>Δx (rounded)</t>
  </si>
  <si>
    <t>x [ft]</t>
  </si>
  <si>
    <t>Critical</t>
  </si>
  <si>
    <t>Normal</t>
  </si>
  <si>
    <t>b</t>
  </si>
  <si>
    <t>Q</t>
  </si>
  <si>
    <t>n</t>
  </si>
  <si>
    <t>S0</t>
  </si>
  <si>
    <t>Unfinished Concrete</t>
  </si>
  <si>
    <t>Fr1</t>
  </si>
  <si>
    <t>ycj</t>
  </si>
  <si>
    <t>V [ft/s]</t>
  </si>
  <si>
    <t>Depth [Ft]</t>
  </si>
  <si>
    <t>Residual</t>
  </si>
  <si>
    <t>For a rectangular Channel</t>
  </si>
  <si>
    <t>conjugate</t>
  </si>
  <si>
    <t>Depth</t>
  </si>
  <si>
    <t>Δy</t>
  </si>
  <si>
    <t>Conjugate</t>
  </si>
  <si>
    <t>Y</t>
  </si>
  <si>
    <t>Yc</t>
  </si>
  <si>
    <t>Y1</t>
  </si>
  <si>
    <t xml:space="preserve"> First Conguate Under 2ft</t>
  </si>
  <si>
    <t>Y2</t>
  </si>
  <si>
    <t>Y3</t>
  </si>
  <si>
    <t>Depths</t>
  </si>
  <si>
    <t>Y4</t>
  </si>
  <si>
    <t>Y5</t>
  </si>
  <si>
    <t>Alternative Depth</t>
  </si>
  <si>
    <t>x(ft)</t>
  </si>
  <si>
    <t>b2 (Unloading)</t>
  </si>
  <si>
    <t>Normal Y</t>
  </si>
  <si>
    <t>Critical Yc</t>
  </si>
  <si>
    <t>S0 (Steep)</t>
  </si>
  <si>
    <t>S0 (flat)</t>
  </si>
  <si>
    <t xml:space="preserve">b </t>
  </si>
  <si>
    <t>Units</t>
  </si>
  <si>
    <t>Ft</t>
  </si>
  <si>
    <t>cfs</t>
  </si>
  <si>
    <t>ft</t>
  </si>
  <si>
    <t>Summary of Waterslide</t>
  </si>
  <si>
    <t>Elevation A</t>
  </si>
  <si>
    <t>Elevation B</t>
  </si>
  <si>
    <t>Elevation C</t>
  </si>
  <si>
    <t>Entrance Condtions</t>
  </si>
  <si>
    <t>Steep</t>
  </si>
  <si>
    <t>Normal y</t>
  </si>
  <si>
    <t>yc</t>
  </si>
  <si>
    <t>Y Weir</t>
  </si>
  <si>
    <t>Wier (1)</t>
  </si>
  <si>
    <t>Wier (2)</t>
  </si>
  <si>
    <t>EGL at Yc</t>
  </si>
  <si>
    <t>EGL at Y1</t>
  </si>
  <si>
    <t>EGL at Y3</t>
  </si>
  <si>
    <t>EGL at Y4</t>
  </si>
  <si>
    <t>EGL at Y5</t>
  </si>
  <si>
    <t>Unloading Wier</t>
  </si>
  <si>
    <t>Conditions After Jump</t>
  </si>
  <si>
    <t>Condtions From B to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</si>
</sst>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AA2DB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7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4" xfId="0" applyBorder="1" applyAlignment="1"/>
    <xf numFmtId="0" fontId="2" fillId="3" borderId="8" xfId="2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9" xfId="2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3" borderId="16" xfId="2" applyBorder="1" applyAlignment="1">
      <alignment horizontal="center"/>
    </xf>
    <xf numFmtId="0" fontId="2" fillId="3" borderId="17" xfId="2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" fillId="3" borderId="14" xfId="2" applyBorder="1" applyAlignment="1">
      <alignment horizontal="center"/>
    </xf>
    <xf numFmtId="0" fontId="0" fillId="0" borderId="14" xfId="0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3" borderId="17" xfId="2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3" borderId="20" xfId="2" applyFont="1" applyBorder="1" applyAlignment="1">
      <alignment horizontal="center"/>
    </xf>
    <xf numFmtId="0" fontId="0" fillId="0" borderId="22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AA2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257175</xdr:colOff>
      <xdr:row>27</xdr:row>
      <xdr:rowOff>76200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58025" y="3886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366347</xdr:colOff>
      <xdr:row>14</xdr:row>
      <xdr:rowOff>130879</xdr:rowOff>
    </xdr:from>
    <xdr:to>
      <xdr:col>11</xdr:col>
      <xdr:colOff>58168</xdr:colOff>
      <xdr:row>19</xdr:row>
      <xdr:rowOff>36635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5854212" y="2841841"/>
          <a:ext cx="1611475" cy="8655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14</xdr:row>
      <xdr:rowOff>142875</xdr:rowOff>
    </xdr:from>
    <xdr:to>
      <xdr:col>5</xdr:col>
      <xdr:colOff>76200</xdr:colOff>
      <xdr:row>17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2438400" y="2266950"/>
          <a:ext cx="6000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161585</xdr:colOff>
      <xdr:row>27</xdr:row>
      <xdr:rowOff>148319</xdr:rowOff>
    </xdr:from>
    <xdr:to>
      <xdr:col>7</xdr:col>
      <xdr:colOff>392226</xdr:colOff>
      <xdr:row>41</xdr:row>
      <xdr:rowOff>6840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CAC9C-21A8-EB49-83C8-68D99B726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85" y="5233989"/>
          <a:ext cx="5256779" cy="247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zoomScale="118" zoomScaleNormal="118" workbookViewId="0">
      <selection activeCell="E12" sqref="E12"/>
    </sheetView>
  </sheetViews>
  <sheetFormatPr baseColWidth="10" defaultColWidth="8.83203125" defaultRowHeight="15" x14ac:dyDescent="0.2"/>
  <cols>
    <col min="4" max="4" width="10" customWidth="1"/>
    <col min="5" max="5" width="11" customWidth="1"/>
    <col min="6" max="6" width="7.5" customWidth="1"/>
    <col min="7" max="7" width="14.1640625" customWidth="1"/>
    <col min="8" max="8" width="9.33203125" customWidth="1"/>
    <col min="9" max="9" width="12.33203125" customWidth="1"/>
    <col min="10" max="10" width="12.5" customWidth="1"/>
  </cols>
  <sheetData>
    <row r="1" spans="1:15" ht="16" thickBot="1" x14ac:dyDescent="0.25"/>
    <row r="2" spans="1:15" ht="16" thickBot="1" x14ac:dyDescent="0.25">
      <c r="B2" s="61" t="s">
        <v>52</v>
      </c>
      <c r="C2" s="62"/>
      <c r="D2" s="62"/>
      <c r="E2" s="62"/>
      <c r="F2" s="63"/>
      <c r="H2" s="61" t="s">
        <v>51</v>
      </c>
      <c r="I2" s="62"/>
      <c r="J2" s="63"/>
    </row>
    <row r="3" spans="1:15" x14ac:dyDescent="0.2">
      <c r="B3" s="33"/>
      <c r="C3" s="34" t="s">
        <v>19</v>
      </c>
      <c r="D3" s="34" t="s">
        <v>20</v>
      </c>
      <c r="E3" s="34"/>
      <c r="F3" s="35"/>
      <c r="H3" s="33" t="s">
        <v>11</v>
      </c>
      <c r="I3" s="34">
        <v>12</v>
      </c>
      <c r="J3" s="35" t="s">
        <v>46</v>
      </c>
    </row>
    <row r="4" spans="1:15" x14ac:dyDescent="0.2">
      <c r="B4" s="26" t="s">
        <v>9</v>
      </c>
      <c r="C4" s="31">
        <f>(((I4/I3)^2)/32.2)^(1/3)</f>
        <v>2.3939416441856038</v>
      </c>
      <c r="D4" s="64" t="s">
        <v>21</v>
      </c>
      <c r="E4" s="64"/>
      <c r="F4" s="65"/>
      <c r="H4" s="26" t="s">
        <v>12</v>
      </c>
      <c r="I4" s="25">
        <v>252.22</v>
      </c>
      <c r="J4" s="27" t="s">
        <v>45</v>
      </c>
      <c r="N4" s="16"/>
      <c r="O4" s="17"/>
    </row>
    <row r="5" spans="1:15" ht="16" thickBot="1" x14ac:dyDescent="0.25">
      <c r="B5" s="28" t="s">
        <v>10</v>
      </c>
      <c r="C5" s="29">
        <v>1.2102313026565474</v>
      </c>
      <c r="D5" s="29">
        <f>((5.261)/(SQRT(I6))-((12*C5)^(5/3)/(12+2*C5)^(2/3)))</f>
        <v>1.3793878395063075E-6</v>
      </c>
      <c r="E5" s="29"/>
      <c r="F5" s="30"/>
      <c r="H5" s="26" t="s">
        <v>13</v>
      </c>
      <c r="I5" s="25">
        <v>1.4E-2</v>
      </c>
      <c r="J5" s="27"/>
      <c r="K5" t="s">
        <v>15</v>
      </c>
    </row>
    <row r="6" spans="1:15" x14ac:dyDescent="0.2">
      <c r="H6" s="26" t="s">
        <v>14</v>
      </c>
      <c r="I6" s="25">
        <v>0.13</v>
      </c>
      <c r="J6" s="27"/>
    </row>
    <row r="7" spans="1:15" x14ac:dyDescent="0.2">
      <c r="C7" s="11"/>
      <c r="H7" s="26" t="s">
        <v>53</v>
      </c>
      <c r="I7" s="25">
        <v>1.21</v>
      </c>
      <c r="J7" s="27" t="s">
        <v>46</v>
      </c>
    </row>
    <row r="8" spans="1:15" x14ac:dyDescent="0.2">
      <c r="H8" s="26" t="s">
        <v>54</v>
      </c>
      <c r="I8" s="25">
        <v>2.39</v>
      </c>
      <c r="J8" s="27" t="s">
        <v>46</v>
      </c>
    </row>
    <row r="9" spans="1:15" ht="16" thickBot="1" x14ac:dyDescent="0.25">
      <c r="H9" s="28" t="s">
        <v>55</v>
      </c>
      <c r="I9" s="29">
        <v>3</v>
      </c>
      <c r="J9" s="30" t="s">
        <v>46</v>
      </c>
    </row>
    <row r="12" spans="1:15" ht="16" thickBot="1" x14ac:dyDescent="0.25">
      <c r="L12" s="10" t="s">
        <v>22</v>
      </c>
    </row>
    <row r="13" spans="1:15" ht="16" thickBot="1" x14ac:dyDescent="0.25">
      <c r="A13" s="22" t="s">
        <v>0</v>
      </c>
      <c r="B13" s="23" t="s">
        <v>1</v>
      </c>
      <c r="C13" s="23" t="s">
        <v>2</v>
      </c>
      <c r="D13" s="23" t="s">
        <v>18</v>
      </c>
      <c r="E13" s="23" t="s">
        <v>3</v>
      </c>
      <c r="F13" s="23" t="s">
        <v>4</v>
      </c>
      <c r="G13" s="23" t="s">
        <v>5</v>
      </c>
      <c r="H13" s="23" t="s">
        <v>6</v>
      </c>
      <c r="I13" s="23" t="s">
        <v>7</v>
      </c>
      <c r="J13" s="23" t="s">
        <v>8</v>
      </c>
      <c r="K13" s="23" t="s">
        <v>16</v>
      </c>
      <c r="L13" s="24" t="s">
        <v>17</v>
      </c>
    </row>
    <row r="14" spans="1:15" x14ac:dyDescent="0.2">
      <c r="A14" s="33">
        <v>1</v>
      </c>
      <c r="B14" s="34">
        <v>2.39</v>
      </c>
      <c r="C14" s="34">
        <f t="shared" ref="C14:C31" si="0">$I$3*B14</f>
        <v>28.68</v>
      </c>
      <c r="D14" s="34">
        <f t="shared" ref="D14:D31" si="1">$I$4/C14</f>
        <v>8.7942817294281728</v>
      </c>
      <c r="E14" s="34">
        <f>B14+D14^2/(2*32.2)</f>
        <v>3.5909222226173005</v>
      </c>
      <c r="F14" s="34"/>
      <c r="G14" s="34"/>
      <c r="H14" s="34"/>
      <c r="I14" s="34"/>
      <c r="J14" s="34">
        <v>0</v>
      </c>
      <c r="K14" s="34">
        <f>D14/SQRT(32.2*B14)</f>
        <v>1.002474854959561</v>
      </c>
      <c r="L14" s="35">
        <f>0.5*B14*(SQRT(1+8*K14^2)-1)</f>
        <v>2.3978876197595427</v>
      </c>
    </row>
    <row r="15" spans="1:15" x14ac:dyDescent="0.2">
      <c r="A15" s="26">
        <v>2</v>
      </c>
      <c r="B15" s="25">
        <v>2.2999999999999998</v>
      </c>
      <c r="C15" s="25">
        <f t="shared" si="0"/>
        <v>27.599999999999998</v>
      </c>
      <c r="D15" s="25">
        <f t="shared" si="1"/>
        <v>9.1384057971014503</v>
      </c>
      <c r="E15" s="25">
        <f t="shared" ref="E15:E31" si="2">B15+D15^2/(2*32.2)</f>
        <v>3.5967462812499589</v>
      </c>
      <c r="F15" s="25">
        <f>0.5*(B14+B15)</f>
        <v>2.3449999999999998</v>
      </c>
      <c r="G15" s="25">
        <f t="shared" ref="G15:G31" si="3">(($I$4^2)*(1.49)*($I$5^2)*($I$3+2*F15)^(4/3))/(($I$3*F15)^(10/3))</f>
        <v>1.1691301337624064E-2</v>
      </c>
      <c r="H15" s="25"/>
      <c r="I15" s="25">
        <f>ROUNDUP(H15,0)</f>
        <v>0</v>
      </c>
      <c r="J15" s="25">
        <f>J14+I15</f>
        <v>0</v>
      </c>
      <c r="K15" s="25">
        <f t="shared" ref="K15:K31" si="4">D15/SQRT(32.2*B15)</f>
        <v>1.0618876880143617</v>
      </c>
      <c r="L15" s="27">
        <f t="shared" ref="L15:L31" si="5">0.5*B15*(SQRT(1+8*K15^2)-1)</f>
        <v>2.4904073655979251</v>
      </c>
    </row>
    <row r="16" spans="1:15" x14ac:dyDescent="0.2">
      <c r="A16" s="26">
        <v>3</v>
      </c>
      <c r="B16" s="25">
        <v>2.2000000000000002</v>
      </c>
      <c r="C16" s="25">
        <f t="shared" si="0"/>
        <v>26.400000000000002</v>
      </c>
      <c r="D16" s="25">
        <f t="shared" si="1"/>
        <v>9.5537878787878778</v>
      </c>
      <c r="E16" s="25">
        <f t="shared" si="2"/>
        <v>3.6173115346719591</v>
      </c>
      <c r="F16" s="25">
        <f t="shared" ref="F16:F22" si="6">0.5*(B15+B16)</f>
        <v>2.25</v>
      </c>
      <c r="G16" s="25">
        <f t="shared" si="3"/>
        <v>1.3216022242681483E-2</v>
      </c>
      <c r="H16" s="25">
        <f t="shared" ref="H16:H31" si="7">(E16-E15)/($I$6-G16)</f>
        <v>0.17609653153564939</v>
      </c>
      <c r="I16" s="25">
        <f t="shared" ref="I16:I26" si="8">ROUNDUP(H16,0)</f>
        <v>1</v>
      </c>
      <c r="J16" s="25">
        <f t="shared" ref="J16:J22" si="9">J15+I16</f>
        <v>1</v>
      </c>
      <c r="K16" s="25">
        <f t="shared" si="4"/>
        <v>1.1351057358325534</v>
      </c>
      <c r="L16" s="27">
        <f t="shared" si="5"/>
        <v>2.5989649234770038</v>
      </c>
    </row>
    <row r="17" spans="1:12" x14ac:dyDescent="0.2">
      <c r="A17" s="26">
        <v>4</v>
      </c>
      <c r="B17" s="25">
        <v>2.1</v>
      </c>
      <c r="C17" s="25">
        <f t="shared" si="0"/>
        <v>25.200000000000003</v>
      </c>
      <c r="D17" s="25">
        <f t="shared" si="1"/>
        <v>10.008730158730158</v>
      </c>
      <c r="E17" s="25">
        <f t="shared" si="2"/>
        <v>3.6555074439483635</v>
      </c>
      <c r="F17" s="25">
        <f t="shared" si="6"/>
        <v>2.1500000000000004</v>
      </c>
      <c r="G17" s="25">
        <f t="shared" si="3"/>
        <v>1.5130472892302059E-2</v>
      </c>
      <c r="H17" s="25">
        <f t="shared" si="7"/>
        <v>0.33251559606920922</v>
      </c>
      <c r="I17" s="25">
        <f t="shared" si="8"/>
        <v>1</v>
      </c>
      <c r="J17" s="25">
        <f t="shared" si="9"/>
        <v>2</v>
      </c>
      <c r="K17" s="25">
        <f t="shared" si="4"/>
        <v>1.2171424160315847</v>
      </c>
      <c r="L17" s="27">
        <f t="shared" si="5"/>
        <v>2.7141416723027647</v>
      </c>
    </row>
    <row r="18" spans="1:12" x14ac:dyDescent="0.2">
      <c r="A18" s="26">
        <v>5</v>
      </c>
      <c r="B18" s="25">
        <v>1.9</v>
      </c>
      <c r="C18" s="25">
        <f t="shared" si="0"/>
        <v>22.799999999999997</v>
      </c>
      <c r="D18" s="25">
        <f t="shared" si="1"/>
        <v>11.062280701754387</v>
      </c>
      <c r="E18" s="25">
        <f t="shared" si="2"/>
        <v>3.8002182348510485</v>
      </c>
      <c r="F18" s="25">
        <f t="shared" si="6"/>
        <v>2</v>
      </c>
      <c r="G18" s="25">
        <f t="shared" si="3"/>
        <v>1.8784107008534064E-2</v>
      </c>
      <c r="H18" s="25">
        <f t="shared" si="7"/>
        <v>1.3011700667079054</v>
      </c>
      <c r="I18" s="25">
        <f t="shared" si="8"/>
        <v>2</v>
      </c>
      <c r="J18" s="25">
        <f t="shared" si="9"/>
        <v>4</v>
      </c>
      <c r="K18" s="25">
        <f t="shared" si="4"/>
        <v>1.4142947786426425</v>
      </c>
      <c r="L18" s="27">
        <f t="shared" si="5"/>
        <v>2.9671620575191895</v>
      </c>
    </row>
    <row r="19" spans="1:12" x14ac:dyDescent="0.2">
      <c r="A19" s="26">
        <v>6</v>
      </c>
      <c r="B19" s="25">
        <v>1.8</v>
      </c>
      <c r="C19" s="25">
        <f t="shared" si="0"/>
        <v>21.6</v>
      </c>
      <c r="D19" s="25">
        <f t="shared" si="1"/>
        <v>11.67685185185185</v>
      </c>
      <c r="E19" s="25">
        <f t="shared" si="2"/>
        <v>3.9172184653741606</v>
      </c>
      <c r="F19" s="25">
        <f t="shared" si="6"/>
        <v>1.85</v>
      </c>
      <c r="G19" s="25">
        <f t="shared" si="3"/>
        <v>2.3751497919964757E-2</v>
      </c>
      <c r="H19" s="25">
        <f t="shared" si="7"/>
        <v>1.1011941649302293</v>
      </c>
      <c r="I19" s="25">
        <f t="shared" si="8"/>
        <v>2</v>
      </c>
      <c r="J19" s="25">
        <f t="shared" si="9"/>
        <v>6</v>
      </c>
      <c r="K19" s="25">
        <f t="shared" si="4"/>
        <v>1.5337747427594595</v>
      </c>
      <c r="L19" s="27">
        <f t="shared" si="5"/>
        <v>3.1067409388047498</v>
      </c>
    </row>
    <row r="20" spans="1:12" x14ac:dyDescent="0.2">
      <c r="A20" s="26">
        <v>7</v>
      </c>
      <c r="B20" s="25">
        <v>1.7</v>
      </c>
      <c r="C20" s="25">
        <f t="shared" si="0"/>
        <v>20.399999999999999</v>
      </c>
      <c r="D20" s="25">
        <f t="shared" si="1"/>
        <v>12.36372549019608</v>
      </c>
      <c r="E20" s="25">
        <f t="shared" si="2"/>
        <v>4.0736290061634204</v>
      </c>
      <c r="F20" s="25">
        <f t="shared" si="6"/>
        <v>1.75</v>
      </c>
      <c r="G20" s="25">
        <f t="shared" si="3"/>
        <v>2.8100410499329518E-2</v>
      </c>
      <c r="H20" s="25">
        <f t="shared" si="7"/>
        <v>1.5349477024952156</v>
      </c>
      <c r="I20" s="25">
        <f t="shared" si="8"/>
        <v>2</v>
      </c>
      <c r="J20" s="25">
        <f t="shared" si="9"/>
        <v>8</v>
      </c>
      <c r="K20" s="25">
        <f t="shared" si="4"/>
        <v>1.6710789069141638</v>
      </c>
      <c r="L20" s="27">
        <f t="shared" si="5"/>
        <v>3.2564799088649226</v>
      </c>
    </row>
    <row r="21" spans="1:12" x14ac:dyDescent="0.2">
      <c r="A21" s="26">
        <v>8</v>
      </c>
      <c r="B21" s="25">
        <v>1.69</v>
      </c>
      <c r="C21" s="25">
        <f t="shared" si="0"/>
        <v>20.28</v>
      </c>
      <c r="D21" s="25">
        <f t="shared" si="1"/>
        <v>12.436883629191321</v>
      </c>
      <c r="E21" s="25">
        <f t="shared" si="2"/>
        <v>4.0918023976094267</v>
      </c>
      <c r="F21" s="25">
        <f t="shared" si="6"/>
        <v>1.6949999999999998</v>
      </c>
      <c r="G21" s="25">
        <f t="shared" si="3"/>
        <v>3.0961099871658581E-2</v>
      </c>
      <c r="H21" s="25">
        <f t="shared" si="7"/>
        <v>0.18349750878145799</v>
      </c>
      <c r="I21" s="25">
        <f t="shared" si="8"/>
        <v>1</v>
      </c>
      <c r="J21" s="25">
        <f t="shared" si="9"/>
        <v>9</v>
      </c>
      <c r="K21" s="25">
        <f t="shared" si="4"/>
        <v>1.6859328875471085</v>
      </c>
      <c r="L21" s="27">
        <f t="shared" si="5"/>
        <v>3.272063177538052</v>
      </c>
    </row>
    <row r="22" spans="1:12" x14ac:dyDescent="0.2">
      <c r="A22" s="26">
        <v>9</v>
      </c>
      <c r="B22" s="25">
        <v>1.67</v>
      </c>
      <c r="C22" s="25">
        <f t="shared" si="0"/>
        <v>20.04</v>
      </c>
      <c r="D22" s="25">
        <f t="shared" si="1"/>
        <v>12.585828343313374</v>
      </c>
      <c r="E22" s="25">
        <f t="shared" si="2"/>
        <v>4.1296750789961223</v>
      </c>
      <c r="F22" s="25">
        <f t="shared" si="6"/>
        <v>1.68</v>
      </c>
      <c r="G22" s="25">
        <f t="shared" si="3"/>
        <v>3.1809334089504947E-2</v>
      </c>
      <c r="H22" s="25">
        <f t="shared" si="7"/>
        <v>0.38570551523928143</v>
      </c>
      <c r="I22" s="25">
        <f t="shared" si="8"/>
        <v>1</v>
      </c>
      <c r="J22" s="25">
        <f t="shared" si="9"/>
        <v>10</v>
      </c>
      <c r="K22" s="25">
        <f t="shared" si="4"/>
        <v>1.7163096042032702</v>
      </c>
      <c r="L22" s="27">
        <f t="shared" si="5"/>
        <v>3.3035812215896039</v>
      </c>
    </row>
    <row r="23" spans="1:12" x14ac:dyDescent="0.2">
      <c r="A23" s="26">
        <v>10</v>
      </c>
      <c r="B23" s="25">
        <v>1.6</v>
      </c>
      <c r="C23" s="25">
        <f t="shared" si="0"/>
        <v>19.200000000000003</v>
      </c>
      <c r="D23" s="25">
        <f t="shared" si="1"/>
        <v>13.136458333333332</v>
      </c>
      <c r="E23" s="25">
        <f t="shared" si="2"/>
        <v>4.2796046202391729</v>
      </c>
      <c r="F23" s="25">
        <f t="shared" ref="F23:F26" si="10">0.5*(B22+B23)</f>
        <v>1.635</v>
      </c>
      <c r="G23" s="25">
        <f t="shared" si="3"/>
        <v>3.455069239691394E-2</v>
      </c>
      <c r="H23" s="25">
        <f t="shared" si="7"/>
        <v>1.5707766248710122</v>
      </c>
      <c r="I23" s="25">
        <f t="shared" si="8"/>
        <v>2</v>
      </c>
      <c r="J23" s="25">
        <f t="shared" ref="J23:J26" si="11">J22+I23</f>
        <v>12</v>
      </c>
      <c r="K23" s="25">
        <f t="shared" si="4"/>
        <v>1.8301655048926491</v>
      </c>
      <c r="L23" s="27">
        <f t="shared" si="5"/>
        <v>3.4177564616192222</v>
      </c>
    </row>
    <row r="24" spans="1:12" x14ac:dyDescent="0.2">
      <c r="A24" s="26">
        <v>11</v>
      </c>
      <c r="B24" s="25">
        <v>1.5</v>
      </c>
      <c r="C24" s="25">
        <f t="shared" si="0"/>
        <v>18</v>
      </c>
      <c r="D24" s="25">
        <f t="shared" si="1"/>
        <v>14.012222222222222</v>
      </c>
      <c r="E24" s="25">
        <f t="shared" si="2"/>
        <v>4.5487945901387929</v>
      </c>
      <c r="F24" s="25">
        <f t="shared" si="10"/>
        <v>1.55</v>
      </c>
      <c r="G24" s="25">
        <f t="shared" si="3"/>
        <v>4.0668750692617293E-2</v>
      </c>
      <c r="H24" s="25">
        <f t="shared" si="7"/>
        <v>3.0133908569145365</v>
      </c>
      <c r="I24" s="25">
        <f t="shared" si="8"/>
        <v>4</v>
      </c>
      <c r="J24" s="25">
        <f t="shared" si="11"/>
        <v>16</v>
      </c>
      <c r="K24" s="25">
        <f t="shared" si="4"/>
        <v>2.016199259378495</v>
      </c>
      <c r="L24" s="27">
        <f t="shared" si="5"/>
        <v>3.5922652545454614</v>
      </c>
    </row>
    <row r="25" spans="1:12" x14ac:dyDescent="0.2">
      <c r="A25" s="26">
        <v>12</v>
      </c>
      <c r="B25" s="25">
        <v>1.45</v>
      </c>
      <c r="C25" s="25">
        <f t="shared" si="0"/>
        <v>17.399999999999999</v>
      </c>
      <c r="D25" s="25">
        <f t="shared" si="1"/>
        <v>14.495402298850577</v>
      </c>
      <c r="E25" s="25">
        <f t="shared" si="2"/>
        <v>4.712681487663394</v>
      </c>
      <c r="F25" s="25">
        <f t="shared" si="10"/>
        <v>1.4750000000000001</v>
      </c>
      <c r="G25" s="25">
        <f t="shared" si="3"/>
        <v>4.7345504811275828E-2</v>
      </c>
      <c r="H25" s="25">
        <f t="shared" si="7"/>
        <v>1.9827947306483424</v>
      </c>
      <c r="I25" s="25">
        <f t="shared" si="8"/>
        <v>2</v>
      </c>
      <c r="J25" s="25">
        <f t="shared" si="11"/>
        <v>18</v>
      </c>
      <c r="K25" s="25">
        <f t="shared" si="4"/>
        <v>2.1213793455701357</v>
      </c>
      <c r="L25" s="27">
        <f t="shared" si="5"/>
        <v>3.6851221784036414</v>
      </c>
    </row>
    <row r="26" spans="1:12" x14ac:dyDescent="0.2">
      <c r="A26" s="26">
        <v>13</v>
      </c>
      <c r="B26" s="25">
        <v>1.4</v>
      </c>
      <c r="C26" s="25">
        <f t="shared" si="0"/>
        <v>16.799999999999997</v>
      </c>
      <c r="D26" s="25">
        <f t="shared" si="1"/>
        <v>15.013095238095241</v>
      </c>
      <c r="E26" s="25">
        <f t="shared" si="2"/>
        <v>4.8998917488838192</v>
      </c>
      <c r="F26" s="25">
        <f t="shared" si="10"/>
        <v>1.4249999999999998</v>
      </c>
      <c r="G26" s="25">
        <f t="shared" si="3"/>
        <v>5.264004914193917E-2</v>
      </c>
      <c r="H26" s="25">
        <f t="shared" si="7"/>
        <v>2.4199894020604598</v>
      </c>
      <c r="I26" s="25">
        <f t="shared" si="8"/>
        <v>3</v>
      </c>
      <c r="J26" s="25">
        <f t="shared" si="11"/>
        <v>21</v>
      </c>
      <c r="K26" s="25">
        <f t="shared" si="4"/>
        <v>2.2360333976817772</v>
      </c>
      <c r="L26" s="27">
        <f t="shared" si="5"/>
        <v>3.7821193417566858</v>
      </c>
    </row>
    <row r="27" spans="1:12" x14ac:dyDescent="0.2">
      <c r="A27" s="26">
        <v>14</v>
      </c>
      <c r="B27" s="25">
        <v>1.35</v>
      </c>
      <c r="C27" s="25">
        <f t="shared" si="0"/>
        <v>16.200000000000003</v>
      </c>
      <c r="D27" s="25">
        <f t="shared" si="1"/>
        <v>15.569135802469132</v>
      </c>
      <c r="E27" s="25">
        <f t="shared" si="2"/>
        <v>5.1139439384429526</v>
      </c>
      <c r="F27" s="25">
        <f t="shared" ref="F27:F31" si="12">0.5*(B26+B27)</f>
        <v>1.375</v>
      </c>
      <c r="G27" s="25">
        <f t="shared" si="3"/>
        <v>5.876394300554956E-2</v>
      </c>
      <c r="H27" s="25">
        <f t="shared" si="7"/>
        <v>3.0048292759354842</v>
      </c>
      <c r="I27" s="25">
        <f t="shared" ref="I27:I31" si="13">ROUNDUP(H27,0)</f>
        <v>4</v>
      </c>
      <c r="J27" s="25">
        <f t="shared" ref="J27:J31" si="14">J26+I27</f>
        <v>25</v>
      </c>
      <c r="K27" s="25">
        <f t="shared" si="4"/>
        <v>2.361400694955794</v>
      </c>
      <c r="L27" s="27">
        <f t="shared" si="5"/>
        <v>3.8836096858134215</v>
      </c>
    </row>
    <row r="28" spans="1:12" x14ac:dyDescent="0.2">
      <c r="A28" s="26">
        <v>15</v>
      </c>
      <c r="B28" s="25">
        <v>1.32</v>
      </c>
      <c r="C28" s="25">
        <f t="shared" si="0"/>
        <v>15.84</v>
      </c>
      <c r="D28" s="25">
        <f t="shared" si="1"/>
        <v>15.922979797979798</v>
      </c>
      <c r="E28" s="25">
        <f t="shared" si="2"/>
        <v>5.2569764851998873</v>
      </c>
      <c r="F28" s="25">
        <f t="shared" si="12"/>
        <v>1.335</v>
      </c>
      <c r="G28" s="25">
        <f t="shared" si="3"/>
        <v>6.4372418851348104E-2</v>
      </c>
      <c r="H28" s="25">
        <f t="shared" si="7"/>
        <v>2.1794578476533228</v>
      </c>
      <c r="I28" s="25">
        <f t="shared" si="13"/>
        <v>3</v>
      </c>
      <c r="J28" s="25">
        <f t="shared" si="14"/>
        <v>28</v>
      </c>
      <c r="K28" s="25">
        <f t="shared" si="4"/>
        <v>2.4423586728133309</v>
      </c>
      <c r="L28" s="27">
        <f t="shared" si="5"/>
        <v>3.9468249198179222</v>
      </c>
    </row>
    <row r="29" spans="1:12" x14ac:dyDescent="0.2">
      <c r="A29" s="26">
        <v>16</v>
      </c>
      <c r="B29" s="25">
        <v>1.3</v>
      </c>
      <c r="C29" s="25">
        <f t="shared" si="0"/>
        <v>15.600000000000001</v>
      </c>
      <c r="D29" s="25">
        <f t="shared" si="1"/>
        <v>16.167948717948715</v>
      </c>
      <c r="E29" s="25">
        <f t="shared" si="2"/>
        <v>5.359046051959929</v>
      </c>
      <c r="F29" s="25">
        <f t="shared" si="12"/>
        <v>1.31</v>
      </c>
      <c r="G29" s="25">
        <f t="shared" si="3"/>
        <v>6.8247917971421213E-2</v>
      </c>
      <c r="H29" s="25">
        <f t="shared" si="7"/>
        <v>1.6528927188690428</v>
      </c>
      <c r="I29" s="25">
        <f t="shared" si="13"/>
        <v>2</v>
      </c>
      <c r="J29" s="25">
        <f t="shared" si="14"/>
        <v>30</v>
      </c>
      <c r="K29" s="25">
        <f t="shared" si="4"/>
        <v>2.4989370207719337</v>
      </c>
      <c r="L29" s="27">
        <f t="shared" si="5"/>
        <v>3.9899934773867556</v>
      </c>
    </row>
    <row r="30" spans="1:12" x14ac:dyDescent="0.2">
      <c r="A30" s="26">
        <v>17</v>
      </c>
      <c r="B30" s="25">
        <v>1.28</v>
      </c>
      <c r="C30" s="25">
        <f t="shared" si="0"/>
        <v>15.36</v>
      </c>
      <c r="D30" s="25">
        <f t="shared" si="1"/>
        <v>16.420572916666668</v>
      </c>
      <c r="E30" s="25">
        <f t="shared" si="2"/>
        <v>5.4668822191237094</v>
      </c>
      <c r="F30" s="25">
        <f t="shared" si="12"/>
        <v>1.29</v>
      </c>
      <c r="G30" s="25">
        <f t="shared" si="3"/>
        <v>7.1577230968763006E-2</v>
      </c>
      <c r="H30" s="25">
        <f t="shared" si="7"/>
        <v>1.8457900738344579</v>
      </c>
      <c r="I30" s="25">
        <f t="shared" si="13"/>
        <v>2</v>
      </c>
      <c r="J30" s="25">
        <f t="shared" si="14"/>
        <v>32</v>
      </c>
      <c r="K30" s="25">
        <f t="shared" si="4"/>
        <v>2.5577340493844929</v>
      </c>
      <c r="L30" s="27">
        <f t="shared" si="5"/>
        <v>4.0340172188293648</v>
      </c>
    </row>
    <row r="31" spans="1:12" ht="16" thickBot="1" x14ac:dyDescent="0.25">
      <c r="A31" s="28">
        <v>18</v>
      </c>
      <c r="B31" s="32">
        <v>1.25</v>
      </c>
      <c r="C31" s="29">
        <f t="shared" si="0"/>
        <v>15</v>
      </c>
      <c r="D31" s="29">
        <f t="shared" si="1"/>
        <v>16.814666666666668</v>
      </c>
      <c r="E31" s="29">
        <f t="shared" si="2"/>
        <v>5.6402642097998612</v>
      </c>
      <c r="F31" s="29">
        <f t="shared" si="12"/>
        <v>1.2650000000000001</v>
      </c>
      <c r="G31" s="29">
        <f t="shared" si="3"/>
        <v>7.6052990606453499E-2</v>
      </c>
      <c r="H31" s="29">
        <f t="shared" si="7"/>
        <v>3.2139314602468563</v>
      </c>
      <c r="I31" s="29">
        <f t="shared" si="13"/>
        <v>4</v>
      </c>
      <c r="J31" s="32">
        <f t="shared" si="14"/>
        <v>36</v>
      </c>
      <c r="K31" s="29">
        <f t="shared" si="4"/>
        <v>2.6503627554883464</v>
      </c>
      <c r="L31" s="30">
        <f t="shared" si="5"/>
        <v>4.1017267796012193</v>
      </c>
    </row>
    <row r="32" spans="1:12" ht="16" thickBot="1" x14ac:dyDescent="0.25"/>
    <row r="33" spans="2:6" x14ac:dyDescent="0.2">
      <c r="B33" s="7" t="s">
        <v>27</v>
      </c>
      <c r="C33" s="15">
        <f>C4</f>
        <v>2.3939416441856038</v>
      </c>
      <c r="D33" s="13"/>
      <c r="E33" s="12"/>
      <c r="F33" s="12"/>
    </row>
    <row r="34" spans="2:6" ht="16" thickBot="1" x14ac:dyDescent="0.25">
      <c r="B34" s="4" t="s">
        <v>28</v>
      </c>
      <c r="C34" s="14">
        <f>B31</f>
        <v>1.25</v>
      </c>
    </row>
  </sheetData>
  <mergeCells count="3">
    <mergeCell ref="B2:F2"/>
    <mergeCell ref="H2:J2"/>
    <mergeCell ref="D4:F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zoomScale="130" zoomScaleNormal="130" workbookViewId="0">
      <selection activeCell="E32" sqref="E32"/>
    </sheetView>
  </sheetViews>
  <sheetFormatPr baseColWidth="10" defaultColWidth="8.83203125" defaultRowHeight="15" x14ac:dyDescent="0.2"/>
  <cols>
    <col min="5" max="5" width="12.1640625" bestFit="1" customWidth="1"/>
    <col min="6" max="6" width="13.5" customWidth="1"/>
    <col min="8" max="8" width="12" customWidth="1"/>
    <col min="10" max="10" width="11" customWidth="1"/>
  </cols>
  <sheetData>
    <row r="1" spans="1:12" ht="16" thickBot="1" x14ac:dyDescent="0.25">
      <c r="A1" s="12"/>
      <c r="B1" s="12"/>
      <c r="C1" s="12"/>
      <c r="D1" s="10"/>
    </row>
    <row r="2" spans="1:12" ht="16" thickBot="1" x14ac:dyDescent="0.25">
      <c r="C2" s="19"/>
      <c r="D2" s="20" t="s">
        <v>23</v>
      </c>
      <c r="E2" s="21" t="s">
        <v>20</v>
      </c>
      <c r="H2" s="66" t="s">
        <v>65</v>
      </c>
      <c r="I2" s="67"/>
      <c r="J2" s="68"/>
    </row>
    <row r="3" spans="1:12" x14ac:dyDescent="0.2">
      <c r="C3" s="38" t="s">
        <v>9</v>
      </c>
      <c r="D3" s="45">
        <v>2.3938999999999999</v>
      </c>
      <c r="E3" s="39"/>
      <c r="H3" s="7" t="s">
        <v>11</v>
      </c>
      <c r="I3" s="8">
        <v>12</v>
      </c>
      <c r="J3" s="9" t="s">
        <v>46</v>
      </c>
    </row>
    <row r="4" spans="1:12" ht="16" thickBot="1" x14ac:dyDescent="0.25">
      <c r="C4" s="28" t="s">
        <v>10</v>
      </c>
      <c r="D4" s="29">
        <v>1.2102310000000001</v>
      </c>
      <c r="E4" s="30">
        <f>1.379*10^(-6)</f>
        <v>1.3789999999999998E-6</v>
      </c>
      <c r="H4" s="1" t="s">
        <v>12</v>
      </c>
      <c r="I4" s="2">
        <v>252.22</v>
      </c>
      <c r="J4" s="3" t="s">
        <v>45</v>
      </c>
    </row>
    <row r="5" spans="1:12" x14ac:dyDescent="0.2">
      <c r="H5" s="1" t="s">
        <v>13</v>
      </c>
      <c r="I5" s="2">
        <v>1.4E-2</v>
      </c>
      <c r="J5" s="3"/>
    </row>
    <row r="6" spans="1:12" ht="16" thickBot="1" x14ac:dyDescent="0.25">
      <c r="H6" s="4" t="s">
        <v>14</v>
      </c>
      <c r="I6" s="5">
        <v>0</v>
      </c>
      <c r="J6" s="6"/>
    </row>
    <row r="8" spans="1:12" ht="16" thickBot="1" x14ac:dyDescent="0.25"/>
    <row r="9" spans="1:12" ht="16" thickBot="1" x14ac:dyDescent="0.25">
      <c r="A9" s="46" t="s">
        <v>1</v>
      </c>
      <c r="B9" s="47" t="s">
        <v>2</v>
      </c>
      <c r="C9" s="47" t="s">
        <v>18</v>
      </c>
      <c r="D9" s="47" t="s">
        <v>3</v>
      </c>
      <c r="E9" s="47" t="s">
        <v>4</v>
      </c>
      <c r="F9" s="47" t="s">
        <v>5</v>
      </c>
      <c r="G9" s="47" t="s">
        <v>6</v>
      </c>
      <c r="H9" s="47" t="s">
        <v>7</v>
      </c>
      <c r="I9" s="47" t="s">
        <v>8</v>
      </c>
      <c r="J9" s="47" t="s">
        <v>16</v>
      </c>
      <c r="K9" s="47" t="s">
        <v>17</v>
      </c>
      <c r="L9" s="48" t="s">
        <v>24</v>
      </c>
    </row>
    <row r="10" spans="1:12" x14ac:dyDescent="0.2">
      <c r="A10" s="33">
        <v>1.25</v>
      </c>
      <c r="B10" s="34">
        <f t="shared" ref="B10:B18" si="0">$I$3*A10</f>
        <v>15</v>
      </c>
      <c r="C10" s="34">
        <f t="shared" ref="C10:C18" si="1">$I$4/B10</f>
        <v>16.814666666666668</v>
      </c>
      <c r="D10" s="34">
        <f>A10+C10^2/(2*32.2)</f>
        <v>5.6402642097998612</v>
      </c>
      <c r="E10" s="34"/>
      <c r="F10" s="34"/>
      <c r="G10" s="34"/>
      <c r="H10" s="34"/>
      <c r="I10" s="34">
        <v>0</v>
      </c>
      <c r="J10" s="34">
        <f>C10/SQRT(32.2*A10)</f>
        <v>2.6503627554883464</v>
      </c>
      <c r="K10" s="34">
        <f>0.5*A10*(SQRT(1+8*J10^2)-1)</f>
        <v>4.1017267796012193</v>
      </c>
      <c r="L10" s="35">
        <f>K10-A10</f>
        <v>2.8517267796012193</v>
      </c>
    </row>
    <row r="11" spans="1:12" x14ac:dyDescent="0.2">
      <c r="A11" s="26">
        <v>1.35</v>
      </c>
      <c r="B11" s="25">
        <f t="shared" si="0"/>
        <v>16.200000000000003</v>
      </c>
      <c r="C11" s="25">
        <f t="shared" si="1"/>
        <v>15.569135802469132</v>
      </c>
      <c r="D11" s="25">
        <f t="shared" ref="D11:D18" si="2">A11+C11^2/(2*32.2)</f>
        <v>5.1139439384429526</v>
      </c>
      <c r="E11" s="25">
        <f>0.5*(A10+A11)</f>
        <v>1.3</v>
      </c>
      <c r="F11" s="25">
        <f t="shared" ref="F11:F18" si="3">(($I$4^2)*(1.49)*($I$5^2)*($I$3+2*E11)^(4/3))/(($I$3*E11)^(10/3))</f>
        <v>6.988594825911526E-2</v>
      </c>
      <c r="G11" s="25">
        <f t="shared" ref="G11:G18" si="4">(D11-D10)/($I$6-F11)</f>
        <v>7.5311315717642913</v>
      </c>
      <c r="H11" s="25">
        <f>(ROUNDUP(G11,0))</f>
        <v>8</v>
      </c>
      <c r="I11" s="25">
        <f>I10+H11</f>
        <v>8</v>
      </c>
      <c r="J11" s="25">
        <f t="shared" ref="J11:J18" si="5">C11/SQRT(32.2*A11)</f>
        <v>2.361400694955794</v>
      </c>
      <c r="K11" s="25">
        <f t="shared" ref="K11:K18" si="6">0.5*A11*(SQRT(1+8*J11^2)-1)</f>
        <v>3.8836096858134215</v>
      </c>
      <c r="L11" s="27">
        <f t="shared" ref="L11:L18" si="7">K11-A11</f>
        <v>2.5336096858134214</v>
      </c>
    </row>
    <row r="12" spans="1:12" x14ac:dyDescent="0.2">
      <c r="A12" s="26">
        <v>1.4</v>
      </c>
      <c r="B12" s="25">
        <f t="shared" si="0"/>
        <v>16.799999999999997</v>
      </c>
      <c r="C12" s="25">
        <f t="shared" si="1"/>
        <v>15.013095238095241</v>
      </c>
      <c r="D12" s="25">
        <f t="shared" si="2"/>
        <v>4.8998917488838192</v>
      </c>
      <c r="E12" s="25">
        <f t="shared" ref="E12:E18" si="8">0.5*(A11+A12)</f>
        <v>1.375</v>
      </c>
      <c r="F12" s="25">
        <f t="shared" si="3"/>
        <v>5.876394300554956E-2</v>
      </c>
      <c r="G12" s="25">
        <f t="shared" si="4"/>
        <v>3.6425770397830299</v>
      </c>
      <c r="H12" s="25">
        <f t="shared" ref="H12:H18" si="9">(ROUNDUP(G12,0))</f>
        <v>4</v>
      </c>
      <c r="I12" s="25">
        <f t="shared" ref="I12:I18" si="10">I11+H12</f>
        <v>12</v>
      </c>
      <c r="J12" s="25">
        <f t="shared" si="5"/>
        <v>2.2360333976817772</v>
      </c>
      <c r="K12" s="25">
        <f t="shared" si="6"/>
        <v>3.7821193417566858</v>
      </c>
      <c r="L12" s="27">
        <f t="shared" si="7"/>
        <v>2.3821193417566859</v>
      </c>
    </row>
    <row r="13" spans="1:12" x14ac:dyDescent="0.2">
      <c r="A13" s="26">
        <v>1.45</v>
      </c>
      <c r="B13" s="25">
        <f t="shared" si="0"/>
        <v>17.399999999999999</v>
      </c>
      <c r="C13" s="25">
        <f t="shared" si="1"/>
        <v>14.495402298850577</v>
      </c>
      <c r="D13" s="25">
        <f t="shared" si="2"/>
        <v>4.712681487663394</v>
      </c>
      <c r="E13" s="25">
        <f t="shared" si="8"/>
        <v>1.4249999999999998</v>
      </c>
      <c r="F13" s="25">
        <f t="shared" si="3"/>
        <v>5.264004914193917E-2</v>
      </c>
      <c r="G13" s="25">
        <f t="shared" si="4"/>
        <v>3.5564226149491138</v>
      </c>
      <c r="H13" s="25">
        <f t="shared" si="9"/>
        <v>4</v>
      </c>
      <c r="I13" s="25">
        <f t="shared" si="10"/>
        <v>16</v>
      </c>
      <c r="J13" s="25">
        <f t="shared" si="5"/>
        <v>2.1213793455701357</v>
      </c>
      <c r="K13" s="25">
        <f t="shared" si="6"/>
        <v>3.6851221784036414</v>
      </c>
      <c r="L13" s="27">
        <f t="shared" si="7"/>
        <v>2.2351221784036417</v>
      </c>
    </row>
    <row r="14" spans="1:12" x14ac:dyDescent="0.2">
      <c r="A14" s="26">
        <v>1.5</v>
      </c>
      <c r="B14" s="25">
        <f t="shared" si="0"/>
        <v>18</v>
      </c>
      <c r="C14" s="25">
        <f t="shared" si="1"/>
        <v>14.012222222222222</v>
      </c>
      <c r="D14" s="25">
        <f t="shared" si="2"/>
        <v>4.5487945901387929</v>
      </c>
      <c r="E14" s="25">
        <f t="shared" si="8"/>
        <v>1.4750000000000001</v>
      </c>
      <c r="F14" s="25">
        <f t="shared" si="3"/>
        <v>4.7345504811275828E-2</v>
      </c>
      <c r="G14" s="25">
        <f t="shared" si="4"/>
        <v>3.4615091375173104</v>
      </c>
      <c r="H14" s="25">
        <f t="shared" si="9"/>
        <v>4</v>
      </c>
      <c r="I14" s="25">
        <f t="shared" si="10"/>
        <v>20</v>
      </c>
      <c r="J14" s="25">
        <f t="shared" si="5"/>
        <v>2.016199259378495</v>
      </c>
      <c r="K14" s="25">
        <f t="shared" si="6"/>
        <v>3.5922652545454614</v>
      </c>
      <c r="L14" s="27">
        <f t="shared" si="7"/>
        <v>2.0922652545454614</v>
      </c>
    </row>
    <row r="15" spans="1:12" x14ac:dyDescent="0.2">
      <c r="A15" s="36">
        <v>1.55</v>
      </c>
      <c r="B15" s="25">
        <f t="shared" si="0"/>
        <v>18.600000000000001</v>
      </c>
      <c r="C15" s="25">
        <f t="shared" si="1"/>
        <v>13.560215053763439</v>
      </c>
      <c r="D15" s="25">
        <f t="shared" si="2"/>
        <v>4.4052706879551646</v>
      </c>
      <c r="E15" s="25">
        <f t="shared" si="8"/>
        <v>1.5249999999999999</v>
      </c>
      <c r="F15" s="25">
        <f t="shared" si="3"/>
        <v>4.2744451637242421E-2</v>
      </c>
      <c r="G15" s="25">
        <f t="shared" si="4"/>
        <v>3.3577200475436371</v>
      </c>
      <c r="H15" s="25">
        <f t="shared" si="9"/>
        <v>4</v>
      </c>
      <c r="I15" s="31">
        <f t="shared" si="10"/>
        <v>24</v>
      </c>
      <c r="J15" s="25">
        <f t="shared" si="5"/>
        <v>1.9194322708870957</v>
      </c>
      <c r="K15" s="31">
        <f t="shared" si="6"/>
        <v>3.5032359992550695</v>
      </c>
      <c r="L15" s="37">
        <f t="shared" si="7"/>
        <v>1.9532359992550694</v>
      </c>
    </row>
    <row r="16" spans="1:12" x14ac:dyDescent="0.2">
      <c r="A16" s="26">
        <v>1.6</v>
      </c>
      <c r="B16" s="25">
        <f t="shared" si="0"/>
        <v>19.200000000000003</v>
      </c>
      <c r="C16" s="25">
        <f t="shared" si="1"/>
        <v>13.136458333333332</v>
      </c>
      <c r="D16" s="25">
        <f t="shared" si="2"/>
        <v>4.2796046202391729</v>
      </c>
      <c r="E16" s="25">
        <f t="shared" si="8"/>
        <v>1.5750000000000002</v>
      </c>
      <c r="F16" s="25">
        <f t="shared" si="3"/>
        <v>3.8726853475008885E-2</v>
      </c>
      <c r="G16" s="25">
        <f t="shared" si="4"/>
        <v>3.2449335910309953</v>
      </c>
      <c r="H16" s="25">
        <f t="shared" si="9"/>
        <v>4</v>
      </c>
      <c r="I16" s="25">
        <f t="shared" si="10"/>
        <v>28</v>
      </c>
      <c r="J16" s="25">
        <f t="shared" si="5"/>
        <v>1.8301655048926491</v>
      </c>
      <c r="K16" s="25">
        <f t="shared" si="6"/>
        <v>3.4177564616192222</v>
      </c>
      <c r="L16" s="27">
        <f t="shared" si="7"/>
        <v>1.8177564616192221</v>
      </c>
    </row>
    <row r="17" spans="1:12" x14ac:dyDescent="0.2">
      <c r="A17" s="26">
        <v>1.65</v>
      </c>
      <c r="B17" s="25">
        <f t="shared" si="0"/>
        <v>19.799999999999997</v>
      </c>
      <c r="C17" s="25">
        <f t="shared" si="1"/>
        <v>12.738383838383839</v>
      </c>
      <c r="D17" s="25">
        <f t="shared" si="2"/>
        <v>4.1696649505279275</v>
      </c>
      <c r="E17" s="25">
        <f t="shared" si="8"/>
        <v>1.625</v>
      </c>
      <c r="F17" s="25">
        <f t="shared" si="3"/>
        <v>3.52029562727951E-2</v>
      </c>
      <c r="G17" s="25">
        <f t="shared" si="4"/>
        <v>3.1230237841191455</v>
      </c>
      <c r="H17" s="25">
        <f t="shared" si="9"/>
        <v>4</v>
      </c>
      <c r="I17" s="25">
        <f t="shared" si="10"/>
        <v>32</v>
      </c>
      <c r="J17" s="25">
        <f t="shared" si="5"/>
        <v>1.7476096057109682</v>
      </c>
      <c r="K17" s="25">
        <f t="shared" si="6"/>
        <v>3.335578526297073</v>
      </c>
      <c r="L17" s="27">
        <f t="shared" si="7"/>
        <v>1.6855785262970731</v>
      </c>
    </row>
    <row r="18" spans="1:12" ht="16" thickBot="1" x14ac:dyDescent="0.25">
      <c r="A18" s="28">
        <v>1.7</v>
      </c>
      <c r="B18" s="29">
        <f t="shared" si="0"/>
        <v>20.399999999999999</v>
      </c>
      <c r="C18" s="29">
        <f t="shared" si="1"/>
        <v>12.36372549019608</v>
      </c>
      <c r="D18" s="29">
        <f t="shared" si="2"/>
        <v>4.0736290061634204</v>
      </c>
      <c r="E18" s="29">
        <f t="shared" si="8"/>
        <v>1.6749999999999998</v>
      </c>
      <c r="F18" s="29">
        <f t="shared" si="3"/>
        <v>3.2099063665839374E-2</v>
      </c>
      <c r="G18" s="29">
        <f t="shared" si="4"/>
        <v>2.9918612382052436</v>
      </c>
      <c r="H18" s="29">
        <f t="shared" si="9"/>
        <v>3</v>
      </c>
      <c r="I18" s="29">
        <f t="shared" si="10"/>
        <v>35</v>
      </c>
      <c r="J18" s="29">
        <f t="shared" si="5"/>
        <v>1.6710789069141638</v>
      </c>
      <c r="K18" s="29">
        <f t="shared" si="6"/>
        <v>3.2564799088649226</v>
      </c>
      <c r="L18" s="30">
        <f t="shared" si="7"/>
        <v>1.5564799088649226</v>
      </c>
    </row>
    <row r="20" spans="1:12" x14ac:dyDescent="0.2">
      <c r="H20" s="17" t="s">
        <v>29</v>
      </c>
      <c r="I20" s="17"/>
      <c r="J20" s="17"/>
    </row>
    <row r="23" spans="1:12" ht="16" thickBot="1" x14ac:dyDescent="0.25"/>
    <row r="24" spans="1:12" x14ac:dyDescent="0.2">
      <c r="D24" s="49" t="s">
        <v>32</v>
      </c>
      <c r="E24" s="50"/>
    </row>
    <row r="25" spans="1:12" x14ac:dyDescent="0.2">
      <c r="D25" s="51" t="s">
        <v>30</v>
      </c>
      <c r="E25" s="52">
        <f>A15</f>
        <v>1.55</v>
      </c>
    </row>
    <row r="26" spans="1:12" ht="16" thickBot="1" x14ac:dyDescent="0.25">
      <c r="D26" s="53" t="s">
        <v>31</v>
      </c>
      <c r="E26" s="54">
        <f>K15</f>
        <v>3.5032359992550695</v>
      </c>
    </row>
  </sheetData>
  <mergeCells count="1">
    <mergeCell ref="H2:J2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zoomScale="148" zoomScaleNormal="148" workbookViewId="0">
      <selection activeCell="E23" sqref="E23"/>
    </sheetView>
  </sheetViews>
  <sheetFormatPr baseColWidth="10" defaultColWidth="8.83203125" defaultRowHeight="15" x14ac:dyDescent="0.2"/>
  <cols>
    <col min="1" max="1" width="7.83203125" customWidth="1"/>
    <col min="2" max="2" width="10" customWidth="1"/>
    <col min="7" max="7" width="13" customWidth="1"/>
    <col min="8" max="8" width="9.5" customWidth="1"/>
    <col min="9" max="10" width="12.6640625" customWidth="1"/>
  </cols>
  <sheetData>
    <row r="1" spans="1:12" ht="16" thickBot="1" x14ac:dyDescent="0.25"/>
    <row r="2" spans="1:12" ht="16" thickBot="1" x14ac:dyDescent="0.25">
      <c r="H2" s="61" t="s">
        <v>64</v>
      </c>
      <c r="I2" s="62"/>
      <c r="J2" s="63"/>
    </row>
    <row r="3" spans="1:12" x14ac:dyDescent="0.2">
      <c r="H3" s="33" t="s">
        <v>11</v>
      </c>
      <c r="I3" s="34">
        <v>12</v>
      </c>
      <c r="J3" s="35" t="s">
        <v>46</v>
      </c>
    </row>
    <row r="4" spans="1:12" x14ac:dyDescent="0.2">
      <c r="H4" s="26" t="s">
        <v>12</v>
      </c>
      <c r="I4" s="25">
        <v>252.22</v>
      </c>
      <c r="J4" s="27" t="s">
        <v>45</v>
      </c>
    </row>
    <row r="5" spans="1:12" x14ac:dyDescent="0.2">
      <c r="H5" s="26" t="s">
        <v>13</v>
      </c>
      <c r="I5" s="25">
        <v>1.4E-2</v>
      </c>
      <c r="J5" s="27"/>
    </row>
    <row r="6" spans="1:12" ht="16" thickBot="1" x14ac:dyDescent="0.25">
      <c r="H6" s="28" t="s">
        <v>14</v>
      </c>
      <c r="I6" s="29">
        <v>0</v>
      </c>
      <c r="J6" s="30"/>
    </row>
    <row r="8" spans="1:12" ht="16" thickBot="1" x14ac:dyDescent="0.25">
      <c r="B8" t="s">
        <v>25</v>
      </c>
    </row>
    <row r="9" spans="1:12" ht="16" thickBot="1" x14ac:dyDescent="0.25">
      <c r="A9" s="46" t="s">
        <v>0</v>
      </c>
      <c r="B9" s="47" t="s">
        <v>1</v>
      </c>
      <c r="C9" s="47" t="s">
        <v>2</v>
      </c>
      <c r="D9" s="47" t="s">
        <v>18</v>
      </c>
      <c r="E9" s="47" t="s">
        <v>3</v>
      </c>
      <c r="F9" s="47" t="s">
        <v>4</v>
      </c>
      <c r="G9" s="47" t="s">
        <v>5</v>
      </c>
      <c r="H9" s="47" t="s">
        <v>6</v>
      </c>
      <c r="I9" s="47" t="s">
        <v>7</v>
      </c>
      <c r="J9" s="47" t="s">
        <v>8</v>
      </c>
      <c r="K9" s="47" t="s">
        <v>16</v>
      </c>
      <c r="L9" s="48" t="s">
        <v>17</v>
      </c>
    </row>
    <row r="10" spans="1:12" x14ac:dyDescent="0.2">
      <c r="A10" s="33">
        <v>1</v>
      </c>
      <c r="B10" s="55">
        <v>3.5032399999999999</v>
      </c>
      <c r="C10" s="34">
        <f t="shared" ref="C10:C15" si="0">$I$3*B10</f>
        <v>42.038879999999999</v>
      </c>
      <c r="D10" s="34">
        <f t="shared" ref="D10:D15" si="1">$I$4/C10</f>
        <v>5.9996841019551423</v>
      </c>
      <c r="E10" s="34">
        <f>B10+D10^2/(2*32.2)</f>
        <v>4.0621873497399577</v>
      </c>
      <c r="F10" s="34"/>
      <c r="G10" s="34"/>
      <c r="H10" s="34"/>
      <c r="I10" s="34"/>
      <c r="J10" s="34">
        <v>0</v>
      </c>
      <c r="K10" s="34">
        <f>D10/SQRT(32.2*B10)</f>
        <v>0.56489210233387066</v>
      </c>
      <c r="L10" s="35">
        <f>0.5*B10*(SQRT(1+8*K10^2)-1)</f>
        <v>1.5499977062785502</v>
      </c>
    </row>
    <row r="11" spans="1:12" x14ac:dyDescent="0.2">
      <c r="A11" s="26">
        <v>2</v>
      </c>
      <c r="B11" s="25">
        <v>3.4</v>
      </c>
      <c r="C11" s="25">
        <f t="shared" si="0"/>
        <v>40.799999999999997</v>
      </c>
      <c r="D11" s="25">
        <f t="shared" si="1"/>
        <v>6.1818627450980399</v>
      </c>
      <c r="E11" s="25">
        <f t="shared" ref="E11:E15" si="2">B11+D11^2/(2*32.2)</f>
        <v>3.9934072515408552</v>
      </c>
      <c r="F11" s="25">
        <f>0.5*(B10+B11)</f>
        <v>3.4516200000000001</v>
      </c>
      <c r="G11" s="25">
        <f>(($I$4^2)*(1.49)*($I$5^2)*($I$3+2*F11)^(4/3))/(($I$3*F11)^(10/3))</f>
        <v>3.805125373324802E-3</v>
      </c>
      <c r="H11" s="25">
        <f>(E11-E10)/($I$6-G11)</f>
        <v>18.075645728068224</v>
      </c>
      <c r="I11" s="25">
        <f>ROUNDUP(H11,0)</f>
        <v>19</v>
      </c>
      <c r="J11" s="25">
        <f>J10+I11</f>
        <v>19</v>
      </c>
      <c r="K11" s="25">
        <f t="shared" ref="K11:K15" si="3">D11/SQRT(32.2*B11)</f>
        <v>0.59081561348840428</v>
      </c>
      <c r="L11" s="27">
        <f t="shared" ref="L11:L15" si="4">0.5*B11*(SQRT(1+8*K11^2)-1)</f>
        <v>1.6106402131544937</v>
      </c>
    </row>
    <row r="12" spans="1:12" x14ac:dyDescent="0.2">
      <c r="A12" s="26">
        <v>3</v>
      </c>
      <c r="B12" s="25">
        <v>3.3</v>
      </c>
      <c r="C12" s="25">
        <f t="shared" si="0"/>
        <v>39.599999999999994</v>
      </c>
      <c r="D12" s="25">
        <f t="shared" si="1"/>
        <v>6.3691919191919197</v>
      </c>
      <c r="E12" s="25">
        <f t="shared" si="2"/>
        <v>3.9299162376319821</v>
      </c>
      <c r="F12" s="25">
        <f t="shared" ref="F12:F15" si="5">0.5*(B11+B12)</f>
        <v>3.3499999999999996</v>
      </c>
      <c r="G12" s="25">
        <f>(($I$4^2)*(1.49)*($I$5^2)*($I$3+2*F12)^(4/3))/(($I$3*F12)^(10/3))</f>
        <v>4.1435254840606981E-3</v>
      </c>
      <c r="H12" s="25">
        <f>(E12-E11)/($I$6-G12)</f>
        <v>15.322945195609433</v>
      </c>
      <c r="I12" s="25">
        <f t="shared" ref="I12:I15" si="6">ROUNDUP(H12,0)</f>
        <v>16</v>
      </c>
      <c r="J12" s="25">
        <f t="shared" ref="J12:J15" si="7">J11+I12</f>
        <v>35</v>
      </c>
      <c r="K12" s="25">
        <f t="shared" si="3"/>
        <v>0.61787330153248721</v>
      </c>
      <c r="L12" s="27">
        <f t="shared" si="4"/>
        <v>1.6722574157855623</v>
      </c>
    </row>
    <row r="13" spans="1:12" x14ac:dyDescent="0.2">
      <c r="A13" s="26">
        <v>4</v>
      </c>
      <c r="B13" s="25">
        <v>3.2</v>
      </c>
      <c r="C13" s="25">
        <f t="shared" si="0"/>
        <v>38.400000000000006</v>
      </c>
      <c r="D13" s="25">
        <f t="shared" si="1"/>
        <v>6.5682291666666659</v>
      </c>
      <c r="E13" s="25">
        <f t="shared" si="2"/>
        <v>3.8699011550597935</v>
      </c>
      <c r="F13" s="25">
        <f t="shared" si="5"/>
        <v>3.25</v>
      </c>
      <c r="G13" s="25">
        <f>(($I$4^2)*(1.49)*($I$5^2)*($I$3+2*F13)^(4/3))/(($I$3*F13)^(10/3))</f>
        <v>4.5187154799688385E-3</v>
      </c>
      <c r="H13" s="25">
        <f>(E13-E12)/($I$6-G13)</f>
        <v>13.281447534865029</v>
      </c>
      <c r="I13" s="25">
        <f t="shared" si="6"/>
        <v>14</v>
      </c>
      <c r="J13" s="25">
        <f t="shared" si="7"/>
        <v>49</v>
      </c>
      <c r="K13" s="25">
        <f t="shared" si="3"/>
        <v>0.64706121960164686</v>
      </c>
      <c r="L13" s="27">
        <f t="shared" si="4"/>
        <v>1.7368750028680056</v>
      </c>
    </row>
    <row r="14" spans="1:12" x14ac:dyDescent="0.2">
      <c r="A14" s="26">
        <v>5</v>
      </c>
      <c r="B14" s="25">
        <v>3.1</v>
      </c>
      <c r="C14" s="25">
        <f t="shared" si="0"/>
        <v>37.200000000000003</v>
      </c>
      <c r="D14" s="25">
        <f t="shared" si="1"/>
        <v>6.7801075268817197</v>
      </c>
      <c r="E14" s="25">
        <f t="shared" si="2"/>
        <v>3.8138176719887911</v>
      </c>
      <c r="F14" s="25">
        <f t="shared" si="5"/>
        <v>3.1500000000000004</v>
      </c>
      <c r="G14" s="25">
        <f>(($I$4^2)*(1.49)*($I$5^2)*($I$3+2*F14)^(4/3))/(($I$3*F14)^(10/3))</f>
        <v>4.9426914773612399E-3</v>
      </c>
      <c r="H14" s="25">
        <f>(E14-E13)/($I$6-G14)</f>
        <v>11.346749706688909</v>
      </c>
      <c r="I14" s="25">
        <f t="shared" si="6"/>
        <v>12</v>
      </c>
      <c r="J14" s="25">
        <f t="shared" si="7"/>
        <v>61</v>
      </c>
      <c r="K14" s="25">
        <f t="shared" si="3"/>
        <v>0.67862178738627976</v>
      </c>
      <c r="L14" s="27">
        <f t="shared" si="4"/>
        <v>1.8046742215394043</v>
      </c>
    </row>
    <row r="15" spans="1:12" ht="16" thickBot="1" x14ac:dyDescent="0.25">
      <c r="A15" s="28">
        <v>6</v>
      </c>
      <c r="B15" s="29">
        <v>3</v>
      </c>
      <c r="C15" s="29">
        <f t="shared" si="0"/>
        <v>36</v>
      </c>
      <c r="D15" s="29">
        <f t="shared" si="1"/>
        <v>7.0061111111111112</v>
      </c>
      <c r="E15" s="29">
        <f t="shared" si="2"/>
        <v>3.7621986475346985</v>
      </c>
      <c r="F15" s="32">
        <f t="shared" si="5"/>
        <v>3.05</v>
      </c>
      <c r="G15" s="29">
        <f>(($I$4^2)*(1.49)*($I$5^2)*($I$3+2*F15)^(4/3))/(($I$3*F15)^(10/3))</f>
        <v>5.4237858156819026E-3</v>
      </c>
      <c r="H15" s="29">
        <f>(E15-E14)/($I$6-G15)</f>
        <v>9.5171576106205134</v>
      </c>
      <c r="I15" s="29">
        <f t="shared" si="6"/>
        <v>10</v>
      </c>
      <c r="J15" s="32">
        <f t="shared" si="7"/>
        <v>71</v>
      </c>
      <c r="K15" s="29">
        <f t="shared" si="3"/>
        <v>0.71283408426491424</v>
      </c>
      <c r="L15" s="30">
        <f t="shared" si="4"/>
        <v>1.8758530433679099</v>
      </c>
    </row>
    <row r="16" spans="1:12" ht="16" thickBot="1" x14ac:dyDescent="0.25"/>
    <row r="17" spans="4:11" ht="16" thickBot="1" x14ac:dyDescent="0.25">
      <c r="D17" s="18" t="s">
        <v>32</v>
      </c>
      <c r="E17" s="59"/>
      <c r="F17" s="59"/>
      <c r="G17" s="60"/>
    </row>
    <row r="18" spans="4:11" x14ac:dyDescent="0.2">
      <c r="D18" s="38" t="s">
        <v>33</v>
      </c>
      <c r="E18" s="44">
        <f>F15</f>
        <v>3.05</v>
      </c>
      <c r="F18" s="45"/>
      <c r="G18" s="39"/>
    </row>
    <row r="19" spans="4:11" ht="16" thickBot="1" x14ac:dyDescent="0.25">
      <c r="D19" s="28" t="s">
        <v>34</v>
      </c>
      <c r="E19" s="32">
        <v>3.54</v>
      </c>
      <c r="F19" s="69" t="s">
        <v>35</v>
      </c>
      <c r="G19" s="70"/>
    </row>
    <row r="28" spans="4:11" x14ac:dyDescent="0.2">
      <c r="I28" s="12"/>
      <c r="J28" s="12"/>
      <c r="K28" s="12"/>
    </row>
  </sheetData>
  <mergeCells count="2">
    <mergeCell ref="H2:J2"/>
    <mergeCell ref="F19:G19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H30" sqref="H30"/>
    </sheetView>
  </sheetViews>
  <sheetFormatPr baseColWidth="10" defaultColWidth="8.83203125" defaultRowHeight="15" x14ac:dyDescent="0.2"/>
  <cols>
    <col min="3" max="3" width="13.5" customWidth="1"/>
  </cols>
  <sheetData>
    <row r="1" spans="1:6" ht="16" thickBot="1" x14ac:dyDescent="0.25"/>
    <row r="2" spans="1:6" ht="16" thickBot="1" x14ac:dyDescent="0.25">
      <c r="C2" s="72" t="s">
        <v>63</v>
      </c>
      <c r="D2" s="73"/>
    </row>
    <row r="3" spans="1:6" x14ac:dyDescent="0.2">
      <c r="A3" s="71"/>
      <c r="B3" s="71"/>
      <c r="C3" s="38" t="s">
        <v>26</v>
      </c>
      <c r="D3" s="39">
        <v>1</v>
      </c>
    </row>
    <row r="4" spans="1:6" x14ac:dyDescent="0.2">
      <c r="C4" s="26" t="s">
        <v>12</v>
      </c>
      <c r="D4" s="27">
        <v>252.22</v>
      </c>
    </row>
    <row r="5" spans="1:6" x14ac:dyDescent="0.2">
      <c r="C5" s="26" t="s">
        <v>37</v>
      </c>
      <c r="D5" s="27">
        <v>60</v>
      </c>
    </row>
    <row r="6" spans="1:6" ht="16" thickBot="1" x14ac:dyDescent="0.25">
      <c r="C6" s="28" t="s">
        <v>14</v>
      </c>
      <c r="D6" s="30">
        <v>0</v>
      </c>
    </row>
    <row r="7" spans="1:6" ht="16" thickBot="1" x14ac:dyDescent="0.25"/>
    <row r="8" spans="1:6" ht="16" thickBot="1" x14ac:dyDescent="0.25">
      <c r="B8" s="46" t="s">
        <v>0</v>
      </c>
      <c r="C8" s="47" t="s">
        <v>1</v>
      </c>
      <c r="D8" s="47" t="s">
        <v>2</v>
      </c>
      <c r="E8" s="47" t="s">
        <v>18</v>
      </c>
      <c r="F8" s="48" t="s">
        <v>36</v>
      </c>
    </row>
    <row r="9" spans="1:6" ht="16" thickBot="1" x14ac:dyDescent="0.25">
      <c r="B9" s="56">
        <v>1</v>
      </c>
      <c r="C9" s="57">
        <v>1</v>
      </c>
      <c r="D9" s="57">
        <f>D5*C9</f>
        <v>60</v>
      </c>
      <c r="E9" s="57">
        <f>D4/D9</f>
        <v>4.2036666666666669</v>
      </c>
      <c r="F9" s="58">
        <v>30</v>
      </c>
    </row>
  </sheetData>
  <mergeCells count="2">
    <mergeCell ref="A3:B3"/>
    <mergeCell ref="C2:D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6"/>
  <sheetViews>
    <sheetView tabSelected="1" zoomScale="112" zoomScaleNormal="112" workbookViewId="0">
      <selection activeCell="G22" sqref="G22"/>
    </sheetView>
  </sheetViews>
  <sheetFormatPr baseColWidth="10" defaultColWidth="8.83203125" defaultRowHeight="15" x14ac:dyDescent="0.2"/>
  <cols>
    <col min="2" max="2" width="13.5" customWidth="1"/>
    <col min="5" max="5" width="16" customWidth="1"/>
    <col min="11" max="11" width="11.83203125" customWidth="1"/>
  </cols>
  <sheetData>
    <row r="1" spans="2:7" ht="16" thickBot="1" x14ac:dyDescent="0.25"/>
    <row r="2" spans="2:7" x14ac:dyDescent="0.2">
      <c r="B2" s="74" t="s">
        <v>47</v>
      </c>
      <c r="C2" s="75"/>
      <c r="D2" s="76"/>
      <c r="E2" s="40"/>
      <c r="F2" s="40"/>
      <c r="G2" s="40"/>
    </row>
    <row r="3" spans="2:7" x14ac:dyDescent="0.2">
      <c r="B3" s="26"/>
      <c r="C3" s="25"/>
      <c r="D3" s="27" t="s">
        <v>43</v>
      </c>
    </row>
    <row r="4" spans="2:7" x14ac:dyDescent="0.2">
      <c r="B4" s="26" t="s">
        <v>56</v>
      </c>
      <c r="C4" s="25">
        <v>3</v>
      </c>
      <c r="D4" s="27" t="s">
        <v>46</v>
      </c>
    </row>
    <row r="5" spans="2:7" x14ac:dyDescent="0.2">
      <c r="B5" s="26" t="s">
        <v>39</v>
      </c>
      <c r="C5" s="25">
        <v>2.39</v>
      </c>
      <c r="D5" s="27" t="s">
        <v>46</v>
      </c>
    </row>
    <row r="6" spans="2:7" x14ac:dyDescent="0.2">
      <c r="B6" s="26" t="s">
        <v>38</v>
      </c>
      <c r="C6" s="25">
        <v>1.21</v>
      </c>
      <c r="D6" s="27" t="s">
        <v>46</v>
      </c>
    </row>
    <row r="7" spans="2:7" x14ac:dyDescent="0.2">
      <c r="B7" s="26" t="s">
        <v>28</v>
      </c>
      <c r="C7" s="25">
        <v>1.25</v>
      </c>
      <c r="D7" s="27" t="s">
        <v>46</v>
      </c>
    </row>
    <row r="8" spans="2:7" x14ac:dyDescent="0.2">
      <c r="B8" s="26" t="s">
        <v>30</v>
      </c>
      <c r="C8" s="25">
        <v>1.55</v>
      </c>
      <c r="D8" s="27" t="s">
        <v>46</v>
      </c>
    </row>
    <row r="9" spans="2:7" x14ac:dyDescent="0.2">
      <c r="B9" s="26" t="s">
        <v>31</v>
      </c>
      <c r="C9" s="25">
        <v>3.5030000000000001</v>
      </c>
      <c r="D9" s="27" t="s">
        <v>46</v>
      </c>
    </row>
    <row r="10" spans="2:7" x14ac:dyDescent="0.2">
      <c r="B10" s="26" t="s">
        <v>33</v>
      </c>
      <c r="C10" s="25">
        <v>3.05</v>
      </c>
      <c r="D10" s="27" t="s">
        <v>46</v>
      </c>
    </row>
    <row r="11" spans="2:7" x14ac:dyDescent="0.2">
      <c r="B11" s="26" t="s">
        <v>34</v>
      </c>
      <c r="C11" s="25">
        <v>3.54</v>
      </c>
      <c r="D11" s="27" t="s">
        <v>46</v>
      </c>
    </row>
    <row r="12" spans="2:7" x14ac:dyDescent="0.2">
      <c r="B12" s="42" t="s">
        <v>58</v>
      </c>
      <c r="C12" s="41">
        <v>3.59</v>
      </c>
      <c r="D12" s="43" t="s">
        <v>46</v>
      </c>
    </row>
    <row r="13" spans="2:7" x14ac:dyDescent="0.2">
      <c r="B13" s="42" t="s">
        <v>59</v>
      </c>
      <c r="C13" s="41">
        <v>5.64</v>
      </c>
      <c r="D13" s="43" t="s">
        <v>46</v>
      </c>
    </row>
    <row r="14" spans="2:7" x14ac:dyDescent="0.2">
      <c r="B14" s="42" t="s">
        <v>60</v>
      </c>
      <c r="C14" s="41">
        <v>4.4050000000000002</v>
      </c>
      <c r="D14" s="43" t="s">
        <v>46</v>
      </c>
    </row>
    <row r="15" spans="2:7" x14ac:dyDescent="0.2">
      <c r="B15" s="42" t="s">
        <v>61</v>
      </c>
      <c r="C15" s="41">
        <v>3.76</v>
      </c>
      <c r="D15" s="43" t="s">
        <v>46</v>
      </c>
    </row>
    <row r="16" spans="2:7" x14ac:dyDescent="0.2">
      <c r="B16" s="42" t="s">
        <v>62</v>
      </c>
      <c r="C16" s="41">
        <v>3.76</v>
      </c>
      <c r="D16" s="43" t="s">
        <v>46</v>
      </c>
    </row>
    <row r="17" spans="2:4" x14ac:dyDescent="0.2">
      <c r="B17" s="42" t="s">
        <v>57</v>
      </c>
      <c r="C17" s="41">
        <v>1</v>
      </c>
      <c r="D17" s="43" t="s">
        <v>46</v>
      </c>
    </row>
    <row r="18" spans="2:4" x14ac:dyDescent="0.2">
      <c r="B18" s="26" t="s">
        <v>48</v>
      </c>
      <c r="C18" s="25">
        <v>25</v>
      </c>
      <c r="D18" s="27" t="s">
        <v>46</v>
      </c>
    </row>
    <row r="19" spans="2:4" x14ac:dyDescent="0.2">
      <c r="B19" s="26" t="s">
        <v>49</v>
      </c>
      <c r="C19" s="25">
        <v>15</v>
      </c>
      <c r="D19" s="27" t="s">
        <v>46</v>
      </c>
    </row>
    <row r="20" spans="2:4" x14ac:dyDescent="0.2">
      <c r="B20" s="26" t="s">
        <v>50</v>
      </c>
      <c r="C20" s="25">
        <v>15</v>
      </c>
      <c r="D20" s="27" t="s">
        <v>46</v>
      </c>
    </row>
    <row r="21" spans="2:4" x14ac:dyDescent="0.2">
      <c r="B21" s="26" t="s">
        <v>42</v>
      </c>
      <c r="C21" s="25">
        <v>12</v>
      </c>
      <c r="D21" s="27" t="s">
        <v>46</v>
      </c>
    </row>
    <row r="22" spans="2:4" x14ac:dyDescent="0.2">
      <c r="B22" s="26" t="s">
        <v>12</v>
      </c>
      <c r="C22" s="25">
        <v>252.22</v>
      </c>
      <c r="D22" s="27" t="s">
        <v>45</v>
      </c>
    </row>
    <row r="23" spans="2:4" x14ac:dyDescent="0.2">
      <c r="B23" s="26" t="s">
        <v>13</v>
      </c>
      <c r="C23" s="25">
        <v>1.4E-2</v>
      </c>
      <c r="D23" s="27"/>
    </row>
    <row r="24" spans="2:4" x14ac:dyDescent="0.2">
      <c r="B24" s="26" t="s">
        <v>40</v>
      </c>
      <c r="C24" s="25">
        <v>0.13</v>
      </c>
      <c r="D24" s="27"/>
    </row>
    <row r="25" spans="2:4" x14ac:dyDescent="0.2">
      <c r="B25" s="26" t="s">
        <v>41</v>
      </c>
      <c r="C25" s="25">
        <v>0</v>
      </c>
      <c r="D25" s="27"/>
    </row>
    <row r="26" spans="2:4" ht="16" thickBot="1" x14ac:dyDescent="0.25">
      <c r="B26" s="28" t="s">
        <v>37</v>
      </c>
      <c r="C26" s="29">
        <v>60</v>
      </c>
      <c r="D26" s="30" t="s">
        <v>44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RVF Section 1 (A-B)</vt:lpstr>
      <vt:lpstr>GVF Section 2 (B-C)</vt:lpstr>
      <vt:lpstr>After Jump</vt:lpstr>
      <vt:lpstr>Unloading (Wier)</vt:lpstr>
      <vt:lpstr>Overview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Joseph Powers</dc:creator>
  <cp:lastModifiedBy>Powers, Devin Joseph</cp:lastModifiedBy>
  <cp:lastPrinted>2019-05-01T00:51:23Z</cp:lastPrinted>
  <dcterms:created xsi:type="dcterms:W3CDTF">2019-04-24T20:23:20Z</dcterms:created>
  <dcterms:modified xsi:type="dcterms:W3CDTF">2019-08-03T22:11:48Z</dcterms:modified>
</cp:coreProperties>
</file>