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Formação Excel/3198 - Excel 4 - Lógica booleana e busca por valores/Materiais do Curso/"/>
    </mc:Choice>
  </mc:AlternateContent>
  <xr:revisionPtr revIDLastSave="18" documentId="13_ncr:1_{D8ADE950-BF5E-489E-BAF3-95819E2B8F16}" xr6:coauthVersionLast="47" xr6:coauthVersionMax="47" xr10:uidLastSave="{473E9B30-7181-4E8D-9ACF-6D0FE2EF4424}"/>
  <bookViews>
    <workbookView xWindow="-108" yWindow="-108" windowWidth="23256" windowHeight="12456" tabRatio="698" activeTab="3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6" l="1" a="1"/>
  <c r="G5" i="16" s="1"/>
  <c r="G9" i="16" a="1"/>
  <c r="G9" i="16" s="1"/>
  <c r="G6" i="16" a="1"/>
  <c r="G6" i="16" s="1"/>
  <c r="F17" i="23"/>
  <c r="F18" i="23"/>
  <c r="F16" i="23" a="1"/>
  <c r="F16" i="23" s="1"/>
  <c r="G7" i="16" a="1"/>
  <c r="G7" i="16" s="1"/>
  <c r="G8" i="16" a="1"/>
  <c r="G8" i="16" s="1"/>
  <c r="G10" i="16" a="1"/>
  <c r="G10" i="16"/>
  <c r="G11" i="16" a="1"/>
  <c r="G11" i="16" s="1"/>
  <c r="G12" i="16" a="1"/>
  <c r="G12" i="16" s="1"/>
  <c r="G13" i="16" a="1"/>
  <c r="G13" i="16" s="1"/>
  <c r="G14" i="16" a="1"/>
  <c r="G14" i="16" s="1"/>
  <c r="G15" i="16" a="1"/>
  <c r="G15" i="16" s="1"/>
  <c r="G16" i="16" a="1"/>
  <c r="G16" i="16"/>
  <c r="G17" i="16" a="1"/>
  <c r="G17" i="16" s="1"/>
  <c r="G18" i="16" a="1"/>
  <c r="G18" i="16" s="1"/>
  <c r="G19" i="16" a="1"/>
  <c r="G19" i="16" s="1"/>
  <c r="G20" i="16" a="1"/>
  <c r="G20" i="16" s="1"/>
  <c r="G21" i="16" a="1"/>
  <c r="G21" i="16" s="1"/>
  <c r="G22" i="16" a="1"/>
  <c r="G22" i="16"/>
  <c r="G23" i="16" a="1"/>
  <c r="G23" i="16" s="1"/>
  <c r="G24" i="16" a="1"/>
  <c r="G24" i="16" s="1"/>
  <c r="G25" i="16" a="1"/>
  <c r="G25" i="16" s="1"/>
  <c r="G26" i="16" a="1"/>
  <c r="G26" i="16" s="1"/>
  <c r="G27" i="16" a="1"/>
  <c r="G27" i="16" s="1"/>
  <c r="G28" i="16" a="1"/>
  <c r="G28" i="16"/>
  <c r="G29" i="16" a="1"/>
  <c r="G29" i="16" s="1"/>
  <c r="G30" i="16" a="1"/>
  <c r="G30" i="16" s="1"/>
  <c r="G31" i="16" a="1"/>
  <c r="G31" i="16" s="1"/>
  <c r="G32" i="16" a="1"/>
  <c r="G32" i="16" s="1"/>
  <c r="G33" i="16" a="1"/>
  <c r="G33" i="16" s="1"/>
  <c r="G34" i="16" a="1"/>
  <c r="G34" i="16"/>
  <c r="G35" i="16" a="1"/>
  <c r="G35" i="16" s="1"/>
  <c r="G36" i="16" a="1"/>
  <c r="G36" i="16" s="1"/>
  <c r="G37" i="16" a="1"/>
  <c r="G37" i="16" s="1"/>
  <c r="G38" i="16" a="1"/>
  <c r="G38" i="16" s="1"/>
  <c r="G39" i="16" a="1"/>
  <c r="G39" i="16" s="1"/>
  <c r="G40" i="16" a="1"/>
  <c r="G40" i="16"/>
  <c r="G41" i="16" a="1"/>
  <c r="G41" i="16" s="1"/>
  <c r="G42" i="16" a="1"/>
  <c r="G42" i="16" s="1"/>
  <c r="G43" i="16" a="1"/>
  <c r="G43" i="16" s="1"/>
  <c r="G44" i="16" a="1"/>
  <c r="G44" i="16" s="1"/>
  <c r="G45" i="16" a="1"/>
  <c r="G45" i="16" s="1"/>
  <c r="G46" i="16" a="1"/>
  <c r="G46" i="16"/>
  <c r="G47" i="16" a="1"/>
  <c r="G47" i="16" s="1"/>
  <c r="G48" i="16" a="1"/>
  <c r="G48" i="16" s="1"/>
  <c r="G49" i="16" a="1"/>
  <c r="G49" i="16" s="1"/>
  <c r="G50" i="16" a="1"/>
  <c r="G50" i="16" s="1"/>
  <c r="G51" i="16" a="1"/>
  <c r="G51" i="16" s="1"/>
  <c r="G52" i="16" a="1"/>
  <c r="G52" i="16"/>
  <c r="G53" i="16" a="1"/>
  <c r="G53" i="16" s="1"/>
  <c r="G54" i="16" a="1"/>
  <c r="G54" i="16" s="1"/>
  <c r="G55" i="16" a="1"/>
  <c r="G55" i="16" s="1"/>
  <c r="G56" i="16" a="1"/>
  <c r="G56" i="16" s="1"/>
  <c r="G57" i="16" a="1"/>
  <c r="G57" i="16" s="1"/>
  <c r="G58" i="16" a="1"/>
  <c r="G58" i="16"/>
  <c r="G59" i="16" a="1"/>
  <c r="G59" i="16" s="1"/>
  <c r="G60" i="16" a="1"/>
  <c r="G60" i="16" s="1"/>
  <c r="G61" i="16" a="1"/>
  <c r="G61" i="16" s="1"/>
  <c r="G62" i="16" a="1"/>
  <c r="G62" i="16" s="1"/>
  <c r="G63" i="16" a="1"/>
  <c r="G63" i="16" s="1"/>
  <c r="G64" i="16" a="1"/>
  <c r="G64" i="16"/>
  <c r="G65" i="16" a="1"/>
  <c r="G65" i="16" s="1"/>
  <c r="G66" i="16" a="1"/>
  <c r="G66" i="16" s="1"/>
  <c r="G67" i="16" a="1"/>
  <c r="G67" i="16" s="1"/>
  <c r="G68" i="16" a="1"/>
  <c r="G68" i="16" s="1"/>
  <c r="G69" i="16" a="1"/>
  <c r="G69" i="16" s="1"/>
  <c r="G70" i="16" a="1"/>
  <c r="G70" i="16"/>
  <c r="G71" i="16" a="1"/>
  <c r="G71" i="16" s="1"/>
  <c r="G72" i="16" a="1"/>
  <c r="G72" i="16" s="1"/>
  <c r="G73" i="16" a="1"/>
  <c r="G73" i="16" s="1"/>
  <c r="G74" i="16" a="1"/>
  <c r="G74" i="16" s="1"/>
  <c r="G75" i="16" a="1"/>
  <c r="G75" i="16" s="1"/>
  <c r="G76" i="16" a="1"/>
  <c r="G76" i="16"/>
  <c r="G77" i="16" a="1"/>
  <c r="G77" i="16" s="1"/>
  <c r="G78" i="16" a="1"/>
  <c r="G78" i="16" s="1"/>
  <c r="G79" i="16" a="1"/>
  <c r="G79" i="16" s="1"/>
  <c r="G80" i="16" a="1"/>
  <c r="G80" i="16" s="1"/>
  <c r="G81" i="16" a="1"/>
  <c r="G81" i="16" s="1"/>
  <c r="G82" i="16" a="1"/>
  <c r="G82" i="16" s="1"/>
  <c r="G83" i="16" a="1"/>
  <c r="G83" i="16" s="1"/>
  <c r="G84" i="16" a="1"/>
  <c r="G84" i="16" s="1"/>
  <c r="G85" i="16" a="1"/>
  <c r="G85" i="16" s="1"/>
  <c r="G86" i="16" a="1"/>
  <c r="G86" i="16" s="1"/>
  <c r="C18" i="23" a="1"/>
  <c r="C18" i="23" s="1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D17" i="23" l="1"/>
  <c r="H68" i="16"/>
  <c r="H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83" i="16" l="1"/>
  <c r="H75" i="16"/>
  <c r="H73" i="16"/>
  <c r="H65" i="16"/>
  <c r="H64" i="16"/>
  <c r="H79" i="16"/>
  <c r="H71" i="16"/>
  <c r="H80" i="16"/>
  <c r="H72" i="16"/>
  <c r="H84" i="16"/>
  <c r="H67" i="16"/>
  <c r="H82" i="16"/>
  <c r="H74" i="16"/>
  <c r="H66" i="16"/>
  <c r="H86" i="16"/>
  <c r="H78" i="16"/>
  <c r="H70" i="16"/>
  <c r="H85" i="16"/>
  <c r="H77" i="16"/>
  <c r="H69" i="16"/>
  <c r="H81" i="16"/>
  <c r="H5" i="16" l="1"/>
  <c r="H6" i="16"/>
  <c r="H7" i="16"/>
  <c r="H8" i="16"/>
  <c r="H9" i="16"/>
  <c r="H10" i="16"/>
  <c r="H11" i="16"/>
  <c r="F8" i="24" s="1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<sst xmlns="http://schemas.openxmlformats.org/spreadsheetml/2006/main" count="498" uniqueCount="171">
  <si>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</si>
  <si>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</si>
  <si>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</si>
  <si>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</si>
  <si>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</si>
  <si>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</si>
  <si>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</si>
  <si>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</si>
  <si>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</si>
  <si>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</si>
  <si>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</si>
  <si>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</si>
  <si>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</si>
  <si>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</si>
  <si>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</si>
  <si>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</si>
  <si>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</si>
  <si>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</si>
  <si>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</si>
  <si>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</si>
  <si>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</si>
  <si>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</si>
  <si>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</si>
  <si>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</si>
  <si>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</si>
  <si>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</si>
  <si>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</si>
  <si>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</si>
  <si>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</si>
  <si>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</si>
  <si>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</si>
  <si>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</si>
  <si>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</si>
  <si>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</si>
  <si>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</si>
  <si>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</si>
  <si>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</si>
  <si>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</si>
  <si>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</si>
  <si>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</si>
  <si>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</si>
  <si>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</si>
  <si>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</si>
  <si>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</si>
  <si>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</si>
  <si>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</si>
  <si>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</si>
  <si>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</si>
  <si>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</si>
  <si>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</si>
  <si>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</si>
  <si>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</si>
  <si>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</si>
  <si>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</si>
  <si>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</si>
  <si>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</si>
  <si>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</si>
  <si>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</si>
  <si>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</si>
  <si>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</si>
  <si>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</si>
  <si>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</si>
  <si>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</si>
  <si>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</si>
  <si>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</si>
  <si>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</si>
  <si>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</si>
  <si>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</si>
  <si>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</si>
  <si>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</si>
  <si>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</si>
  <si>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</si>
  <si>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</si>
  <si>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</si>
  <si>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</si>
  <si>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</si>
  <si>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</si>
  <si>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</si>
  <si>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</si>
  <si>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</si>
  <si>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</si>
  <si>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</si>
  <si>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</si>
  <si>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</si>
  <si>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</si>
  <si>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</si>
  <si>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</si>
  <si>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</si>
  <si>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</si>
  <si>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</si>
  <si>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</si>
  <si>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</si>
  <si>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</si>
  <si>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</si>
  <si>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</si>
  <si>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</si>
  <si>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</si>
  <si>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</si>
  <si>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</si>
  <si>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</si>
  <si>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</si>
  <si>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</si>
  <si>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</si>
  <si>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</si>
  <si>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</si>
  <si>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</si>
  <si>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</si>
  <si>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</si>
  <si>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</si>
  <si>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</si>
  <si>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</si>
  <si>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</si>
  <si>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</si>
  <si>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</si>
  <si>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</si>
  <si>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</si>
  <si>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</si>
  <si>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</si>
  <si>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</si>
  <si>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</si>
  <si>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</si>
  <si>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</si>
  <si>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</si>
  <si>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</si>
  <si>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</si>
  <si>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</si>
  <si>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</si>
  <si>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</si>
  <si>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</si>
  <si>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</si>
  <si>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</si>
  <si>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</si>
  <si>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</si>
  <si>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</si>
  <si>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</si>
  <si>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</si>
  <si>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</si>
  <si>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</si>
  <si>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</si>
  <si>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</si>
  <si>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</si>
  <si>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</si>
  <si>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</si>
  <si>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</si>
  <si>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</si>
  <si>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</si>
  <si>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</si>
  <si>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</si>
  <si>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</si>
  <si>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</si>
  <si>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</si>
  <si>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</si>
  <si>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</si>
  <si>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</si>
  <si>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</si>
  <si>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</si>
  <si>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</si>
  <si>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</si>
  <si>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</si>
  <si>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</si>
  <si>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</si>
  <si>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</si>
  <si>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</si>
  <si>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</si>
  <si>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</si>
  <si>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</si>
  <si>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</si>
  <si>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</si>
  <si>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</si>
  <si>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Linha</t>
  </si>
  <si>
    <t>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</si>
</sst>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9" fontId="26" fillId="8" borderId="0" xfId="5" applyFont="1" applyFill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895349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600075</xdr:colOff>
      <xdr:row>0</xdr:row>
      <xdr:rowOff>85725</xdr:rowOff>
    </xdr:from>
    <xdr:to>
      <xdr:col>8</xdr:col>
      <xdr:colOff>226695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661988</xdr:colOff>
      <xdr:row>0</xdr:row>
      <xdr:rowOff>85725</xdr:rowOff>
    </xdr:from>
    <xdr:to>
      <xdr:col>7</xdr:col>
      <xdr:colOff>507683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1114425</xdr:colOff>
      <xdr:row>0</xdr:row>
      <xdr:rowOff>85725</xdr:rowOff>
    </xdr:from>
    <xdr:to>
      <xdr:col>6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5" xr3:uid="{CA8AD0DE-58EC-4839-85FB-1DD75DA28087}" name="Preço Unitári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I86" totalsRowShown="0" headerRowDxfId="11" dataDxfId="10" headerRowCellStyle="Cabeçalho Meteora">
  <autoFilter ref="A4:I86" xr:uid="{AD739091-30BD-4C30-BDDA-7504C0C4B6E2}"/>
  <tableColumns count="9">
    <tableColumn id="7" xr3:uid="{5E8DE7C3-CDB6-4314-A5CC-C44D3C21973F}" name="Nº" dataDxfId="9">
      <calculatedColumnFormula>MONTH(TB_Vendas[[#This Row],[Data]])</calculatedColumnFormula>
    </tableColumn>
    <tableColumn id="10" xr3:uid="{BD1ABB49-B48B-4C50-A034-45488FDC03A8}" name="Mês" dataDxfId="8">
      <calculatedColumnFormula>PROPER(TEXT(DATE(,TB_Vendas[[#This Row],[Nº]],1),"Mmm"))</calculatedColumnFormula>
    </tableColumn>
    <tableColumn id="1" xr3:uid="{43632F1F-6978-4CE7-BB13-7CCE587D6821}" name="Data" dataDxfId="7"/>
    <tableColumn id="12" xr3:uid="{205A55AB-454E-4288-AE23-042C3C399E7A}" name="Código" dataDxfId="6"/>
    <tableColumn id="5" xr3:uid="{7DC2ADED-AF8A-4BC8-A38E-FEF676FE49C9}" name="Qtd" dataDxfId="5"/>
    <tableColumn id="9" xr3:uid="{05B7315B-2774-41BC-AFEC-4A19E452D6C7}" name="Preço Unitário" dataDxfId="4">
      <calculatedColumnFormula>VLOOKUP(TB_Vendas[[#This Row],[Código]],Produtos!$B$6:$G$66,6,0)</calculatedColumnFormula>
    </tableColumn>
    <tableColumn id="2" xr3:uid="{4BEBDE19-FA81-4412-AC83-E0AE6998A9B4}" name="Desconto" dataDxfId="3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4.4" zeroHeight="1" x14ac:dyDescent="0.3"/>
  <cols>
    <col min="1" max="5" width="8.88671875" style="40" customWidth="1"/>
    <col min="6" max="12" width="8.88671875" customWidth="1"/>
    <col min="13" max="16384" width="8.88671875" hidden="1"/>
  </cols>
  <sheetData>
    <row r="1" spans="1:12" x14ac:dyDescent="0.3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x14ac:dyDescent="0.3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 x14ac:dyDescent="0.3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2" x14ac:dyDescent="0.3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</row>
    <row r="5" spans="1:12" x14ac:dyDescent="0.3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x14ac:dyDescent="0.3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</row>
    <row r="7" spans="1:12" x14ac:dyDescent="0.3">
      <c r="F7" s="40"/>
      <c r="G7" s="40"/>
      <c r="H7" s="40"/>
      <c r="I7" s="40"/>
      <c r="J7" s="40"/>
      <c r="K7" s="40"/>
      <c r="L7" s="40"/>
    </row>
    <row r="8" spans="1:12" x14ac:dyDescent="0.3">
      <c r="F8" s="40"/>
      <c r="G8" s="40"/>
      <c r="H8" s="40"/>
      <c r="I8" s="40"/>
      <c r="J8" s="40"/>
      <c r="K8" s="40"/>
      <c r="L8" s="40"/>
    </row>
    <row r="9" spans="1:12" x14ac:dyDescent="0.3">
      <c r="F9" s="40"/>
      <c r="G9" s="40"/>
      <c r="H9" s="40"/>
      <c r="I9" s="40"/>
      <c r="J9" s="40"/>
      <c r="K9" s="40"/>
      <c r="L9" s="40"/>
    </row>
    <row r="10" spans="1:12" x14ac:dyDescent="0.3">
      <c r="F10" s="40"/>
      <c r="G10" s="40"/>
      <c r="H10" s="40"/>
      <c r="I10" s="40"/>
      <c r="J10" s="40"/>
      <c r="K10" s="40"/>
      <c r="L10" s="40"/>
    </row>
    <row r="11" spans="1:12" x14ac:dyDescent="0.3">
      <c r="F11" s="40"/>
      <c r="G11" s="40"/>
      <c r="H11" s="40"/>
      <c r="I11" s="40"/>
      <c r="J11" s="40"/>
      <c r="K11" s="40"/>
      <c r="L11" s="40"/>
    </row>
    <row r="12" spans="1:12" x14ac:dyDescent="0.3">
      <c r="F12" s="40"/>
      <c r="G12" s="40"/>
      <c r="H12" s="40"/>
      <c r="I12" s="40"/>
      <c r="J12" s="40"/>
      <c r="K12" s="40"/>
      <c r="L12" s="40"/>
    </row>
    <row r="13" spans="1:12" x14ac:dyDescent="0.3">
      <c r="F13" s="40"/>
      <c r="G13" s="40"/>
      <c r="H13" s="40"/>
      <c r="I13" s="40"/>
      <c r="J13" s="40"/>
      <c r="K13" s="40"/>
      <c r="L13" s="40"/>
    </row>
    <row r="14" spans="1:12" x14ac:dyDescent="0.3">
      <c r="F14" s="40"/>
      <c r="G14" s="40"/>
      <c r="H14" s="40"/>
      <c r="I14" s="40"/>
      <c r="J14" s="40"/>
      <c r="K14" s="40"/>
      <c r="L14" s="40"/>
    </row>
    <row r="15" spans="1:12" x14ac:dyDescent="0.3">
      <c r="F15" s="40"/>
      <c r="G15" s="40"/>
      <c r="H15" s="40"/>
      <c r="I15" s="40"/>
      <c r="J15" s="40"/>
      <c r="K15" s="40"/>
      <c r="L15" s="40"/>
    </row>
    <row r="16" spans="1:12" x14ac:dyDescent="0.3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selection activeCell="B6" sqref="B6"/>
    </sheetView>
  </sheetViews>
  <sheetFormatPr defaultColWidth="0" defaultRowHeight="14.4" x14ac:dyDescent="0.3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40" customFormat="1" ht="40.200000000000003" customHeight="1" x14ac:dyDescent="0.85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 x14ac:dyDescent="0.4">
      <c r="A2" s="44"/>
      <c r="B2" s="44"/>
      <c r="C2" s="44"/>
      <c r="D2" s="44"/>
      <c r="E2" s="44"/>
      <c r="F2" s="44"/>
    </row>
    <row r="3" spans="1:9" ht="4.5" customHeight="1" x14ac:dyDescent="0.4">
      <c r="A3" s="42"/>
      <c r="B3" s="42"/>
      <c r="C3" s="42"/>
      <c r="D3" s="42"/>
      <c r="E3" s="42"/>
      <c r="F3" s="42"/>
    </row>
    <row r="4" spans="1:9" ht="18" customHeight="1" x14ac:dyDescent="0.4">
      <c r="A4" s="46"/>
      <c r="B4" s="46"/>
      <c r="D4" s="42"/>
      <c r="E4" s="42"/>
      <c r="F4" s="42"/>
    </row>
    <row r="5" spans="1:9" ht="4.95" customHeight="1" x14ac:dyDescent="0.4">
      <c r="A5" s="42"/>
      <c r="B5" s="42"/>
      <c r="C5" s="42"/>
      <c r="D5" s="42"/>
      <c r="E5" s="42"/>
      <c r="F5" s="42"/>
    </row>
    <row r="6" spans="1:9" s="1" customFormat="1" ht="18" x14ac:dyDescent="0.4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 x14ac:dyDescent="0.3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 x14ac:dyDescent="0.3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 x14ac:dyDescent="0.3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 x14ac:dyDescent="0.3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 x14ac:dyDescent="0.3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 x14ac:dyDescent="0.3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 x14ac:dyDescent="0.3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 x14ac:dyDescent="0.3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 x14ac:dyDescent="0.3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 x14ac:dyDescent="0.3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 x14ac:dyDescent="0.3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 x14ac:dyDescent="0.3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 x14ac:dyDescent="0.3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 x14ac:dyDescent="0.3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 x14ac:dyDescent="0.3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 x14ac:dyDescent="0.3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 x14ac:dyDescent="0.3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 x14ac:dyDescent="0.3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 x14ac:dyDescent="0.3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 x14ac:dyDescent="0.3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 x14ac:dyDescent="0.3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 x14ac:dyDescent="0.3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 x14ac:dyDescent="0.3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 x14ac:dyDescent="0.3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 x14ac:dyDescent="0.3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 x14ac:dyDescent="0.3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 x14ac:dyDescent="0.3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 x14ac:dyDescent="0.3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 x14ac:dyDescent="0.3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 x14ac:dyDescent="0.3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 x14ac:dyDescent="0.3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 x14ac:dyDescent="0.3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 x14ac:dyDescent="0.3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 x14ac:dyDescent="0.3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 x14ac:dyDescent="0.3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 x14ac:dyDescent="0.3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 x14ac:dyDescent="0.3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 x14ac:dyDescent="0.3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 x14ac:dyDescent="0.3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 x14ac:dyDescent="0.3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 x14ac:dyDescent="0.3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 x14ac:dyDescent="0.3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 x14ac:dyDescent="0.3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 x14ac:dyDescent="0.3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 x14ac:dyDescent="0.3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 x14ac:dyDescent="0.3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 x14ac:dyDescent="0.3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3">
        <v>289.89999999999998</v>
      </c>
    </row>
    <row r="54" spans="2:7" x14ac:dyDescent="0.3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 x14ac:dyDescent="0.3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3">
        <v>32.9</v>
      </c>
    </row>
    <row r="56" spans="2:7" x14ac:dyDescent="0.3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 x14ac:dyDescent="0.3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 x14ac:dyDescent="0.3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 x14ac:dyDescent="0.3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 x14ac:dyDescent="0.3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 x14ac:dyDescent="0.3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 x14ac:dyDescent="0.3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 x14ac:dyDescent="0.3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 x14ac:dyDescent="0.3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 x14ac:dyDescent="0.3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 x14ac:dyDescent="0.3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A6" sqref="A6"/>
    </sheetView>
  </sheetViews>
  <sheetFormatPr defaultRowHeight="14.4" x14ac:dyDescent="0.3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40" customFormat="1" ht="40.200000000000003" customHeight="1" x14ac:dyDescent="0.85">
      <c r="A1" s="43"/>
      <c r="B1" s="86" t="s">
        <v>134</v>
      </c>
      <c r="C1" s="86"/>
      <c r="D1" s="45"/>
      <c r="E1" s="45"/>
    </row>
    <row r="2" spans="1:5" s="41" customFormat="1" ht="4.5" customHeight="1" x14ac:dyDescent="0.4">
      <c r="A2" s="44"/>
      <c r="B2" s="44"/>
    </row>
    <row r="3" spans="1:5" ht="4.5" customHeight="1" thickBot="1" x14ac:dyDescent="0.45">
      <c r="A3" s="42"/>
      <c r="B3" s="42"/>
    </row>
    <row r="4" spans="1:5" ht="21.6" x14ac:dyDescent="0.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 x14ac:dyDescent="0.4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 x14ac:dyDescent="0.4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 x14ac:dyDescent="0.4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 x14ac:dyDescent="0.4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 x14ac:dyDescent="0.45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86"/>
  <sheetViews>
    <sheetView tabSelected="1" topLeftCell="B1" zoomScale="140" zoomScaleNormal="140" workbookViewId="0">
      <selection activeCell="G6" sqref="G6"/>
    </sheetView>
  </sheetViews>
  <sheetFormatPr defaultRowHeight="14.4" x14ac:dyDescent="0.3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0.109375" bestFit="1" customWidth="1"/>
    <col min="6" max="6" width="22.88671875" bestFit="1" customWidth="1"/>
    <col min="7" max="7" width="17" bestFit="1" customWidth="1"/>
    <col min="8" max="8" width="20.33203125" customWidth="1"/>
    <col min="9" max="9" width="17" bestFit="1" customWidth="1"/>
  </cols>
  <sheetData>
    <row r="1" spans="1:9" s="40" customFormat="1" ht="40.200000000000003" customHeight="1" x14ac:dyDescent="0.85">
      <c r="A1" s="43"/>
      <c r="C1" s="47" t="s">
        <v>135</v>
      </c>
      <c r="D1" s="45"/>
      <c r="E1" s="45"/>
      <c r="F1" s="45"/>
      <c r="G1" s="45"/>
      <c r="H1" s="45"/>
      <c r="I1" s="45"/>
    </row>
    <row r="2" spans="1:9" s="41" customFormat="1" ht="4.5" customHeight="1" x14ac:dyDescent="0.4">
      <c r="A2" s="44"/>
      <c r="B2" s="44"/>
      <c r="C2" s="44"/>
      <c r="D2" s="44"/>
      <c r="E2" s="44"/>
    </row>
    <row r="3" spans="1:9" ht="4.5" customHeight="1" x14ac:dyDescent="0.4">
      <c r="A3" s="42"/>
      <c r="B3" s="42"/>
      <c r="C3" s="42"/>
      <c r="D3" s="42"/>
      <c r="E3" s="42"/>
    </row>
    <row r="4" spans="1:9" ht="18.600000000000001" x14ac:dyDescent="0.4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133</v>
      </c>
      <c r="H4" s="37" t="s">
        <v>16</v>
      </c>
      <c r="I4" s="36" t="s">
        <v>74</v>
      </c>
    </row>
    <row r="5" spans="1:9" x14ac:dyDescent="0.3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>
        <f>VLOOKUP(TB_Vendas[[#This Row],[Código]],Produtos!$B$6:$G$66,6,0)</f>
        <v>39.9</v>
      </c>
      <c r="G5" s="70" cm="1">
        <f t="array" ref="G5">INDEX(Desc_TabelaToda,MATCH(TB_Vendas[[#This Row],[Qtd]],Desc_Quantidades,1),MATCH(_xlfn.XLOOKUP(TB_Vendas[[#This Row],[Código]],TB_Produtos[[#All],[Código]],TB_Produtos[[#All],[Categoria]]),Desc_Categorias,0))</f>
        <v>0</v>
      </c>
      <c r="H5" s="8">
        <f>TB_Vendas[[#This Row],[Preço Unitário]]*TB_Vendas[[#This Row],[Qtd]]</f>
        <v>39.9</v>
      </c>
      <c r="I5" s="1" t="s">
        <v>127</v>
      </c>
    </row>
    <row r="6" spans="1:9" x14ac:dyDescent="0.3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>
        <f>VLOOKUP(TB_Vendas[[#This Row],[Código]],Produtos!$B$6:$G$66,6,0)</f>
        <v>259.89999999999998</v>
      </c>
      <c r="G6" s="70" cm="1">
        <f t="array" ref="G6">INDEX(Desc_TabelaToda,MATCH(TB_Vendas[[#This Row],[Qtd]],Desc_Quantidades,1),MATCH(_xlfn.XLOOKUP(TB_Vendas[[#This Row],[Código]],TB_Produtos[[#All],[Código]],TB_Produtos[[#All],[Categoria]]),Desc_Categorias,0))</f>
        <v>0</v>
      </c>
      <c r="H6" s="8">
        <f>TB_Vendas[[#This Row],[Preço Unitário]]*TB_Vendas[[#This Row],[Qtd]]</f>
        <v>259.89999999999998</v>
      </c>
      <c r="I6" s="1" t="s">
        <v>127</v>
      </c>
    </row>
    <row r="7" spans="1:9" x14ac:dyDescent="0.3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>
        <f>VLOOKUP(TB_Vendas[[#This Row],[Código]],Produtos!$B$6:$G$66,6,0)</f>
        <v>32.9</v>
      </c>
      <c r="G7" s="70" cm="1">
        <f t="array" ref="G7">INDEX(Desc_TabelaToda,MATCH(TB_Vendas[[#This Row],[Qtd]],Desc_Quantidades,1),MATCH(_xlfn.XLOOKUP(TB_Vendas[[#This Row],[Código]],TB_Produtos[[#All],[Código]],TB_Produtos[[#All],[Categoria]]),Desc_Categorias,0))</f>
        <v>0.15</v>
      </c>
      <c r="H7" s="8">
        <f>TB_Vendas[[#This Row],[Preço Unitário]]*TB_Vendas[[#This Row],[Qtd]]</f>
        <v>65.8</v>
      </c>
      <c r="I7" s="1" t="s">
        <v>126</v>
      </c>
    </row>
    <row r="8" spans="1:9" x14ac:dyDescent="0.3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>
        <f>VLOOKUP(TB_Vendas[[#This Row],[Código]],Produtos!$B$6:$G$66,6,0)</f>
        <v>46.9</v>
      </c>
      <c r="G8" s="70" cm="1">
        <f t="array" ref="G8">INDEX(Desc_TabelaToda,MATCH(TB_Vendas[[#This Row],[Qtd]],Desc_Quantidades,1),MATCH(_xlfn.XLOOKUP(TB_Vendas[[#This Row],[Código]],TB_Produtos[[#All],[Código]],TB_Produtos[[#All],[Categoria]]),Desc_Categorias,0))</f>
        <v>0.1</v>
      </c>
      <c r="H8" s="8">
        <f>TB_Vendas[[#This Row],[Preço Unitário]]*TB_Vendas[[#This Row],[Qtd]]</f>
        <v>46.9</v>
      </c>
      <c r="I8" s="1" t="s">
        <v>130</v>
      </c>
    </row>
    <row r="9" spans="1:9" x14ac:dyDescent="0.3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>
        <f>VLOOKUP(TB_Vendas[[#This Row],[Código]],Produtos!$B$6:$G$66,6,0)</f>
        <v>29.9</v>
      </c>
      <c r="G9" s="70" cm="1">
        <f t="array" ref="G9">INDEX(Desc_TabelaToda,MATCH(TB_Vendas[[#This Row],[Qtd]],Desc_Quantidades,1),MATCH(_xlfn.XLOOKUP(TB_Vendas[[#This Row],[Código]],TB_Produtos[[#All],[Código]],TB_Produtos[[#All],[Categoria]]),Desc_Categorias,0))</f>
        <v>0.1</v>
      </c>
      <c r="H9" s="8">
        <f>TB_Vendas[[#This Row],[Preço Unitário]]*TB_Vendas[[#This Row],[Qtd]]</f>
        <v>29.9</v>
      </c>
      <c r="I9" s="1" t="s">
        <v>127</v>
      </c>
    </row>
    <row r="10" spans="1:9" x14ac:dyDescent="0.3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>
        <f>VLOOKUP(TB_Vendas[[#This Row],[Código]],Produtos!$B$6:$G$66,6,0)</f>
        <v>299.89999999999998</v>
      </c>
      <c r="G10" s="70" cm="1">
        <f t="array" ref="G10">INDEX(Desc_TabelaToda,MATCH(TB_Vendas[[#This Row],[Qtd]],Desc_Quantidades,1),MATCH(_xlfn.XLOOKUP(TB_Vendas[[#This Row],[Código]],TB_Produtos[[#All],[Código]],TB_Produtos[[#All],[Categoria]]),Desc_Categorias,0))</f>
        <v>0.1</v>
      </c>
      <c r="H10" s="8">
        <f>TB_Vendas[[#This Row],[Preço Unitário]]*TB_Vendas[[#This Row],[Qtd]]</f>
        <v>299.89999999999998</v>
      </c>
      <c r="I10" s="1" t="s">
        <v>130</v>
      </c>
    </row>
    <row r="11" spans="1:9" x14ac:dyDescent="0.3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>
        <f>VLOOKUP(TB_Vendas[[#This Row],[Código]],Produtos!$B$6:$G$66,6,0)</f>
        <v>146</v>
      </c>
      <c r="G11" s="70" cm="1">
        <f t="array" ref="G11">INDEX(Desc_TabelaToda,MATCH(TB_Vendas[[#This Row],[Qtd]],Desc_Quantidades,1),MATCH(_xlfn.XLOOKUP(TB_Vendas[[#This Row],[Código]],TB_Produtos[[#All],[Código]],TB_Produtos[[#All],[Categoria]]),Desc_Categorias,0))</f>
        <v>0.1</v>
      </c>
      <c r="H11" s="8">
        <f>TB_Vendas[[#This Row],[Preço Unitário]]*TB_Vendas[[#This Row],[Qtd]]</f>
        <v>146</v>
      </c>
      <c r="I11" s="1" t="s">
        <v>128</v>
      </c>
    </row>
    <row r="12" spans="1:9" x14ac:dyDescent="0.3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>
        <f>VLOOKUP(TB_Vendas[[#This Row],[Código]],Produtos!$B$6:$G$66,6,0)</f>
        <v>89.9</v>
      </c>
      <c r="G12" s="70" cm="1">
        <f t="array" ref="G12">INDEX(Desc_TabelaToda,MATCH(TB_Vendas[[#This Row],[Qtd]],Desc_Quantidades,1),MATCH(_xlfn.XLOOKUP(TB_Vendas[[#This Row],[Código]],TB_Produtos[[#All],[Código]],TB_Produtos[[#All],[Categoria]]),Desc_Categorias,0))</f>
        <v>0.15</v>
      </c>
      <c r="H12" s="8">
        <f>TB_Vendas[[#This Row],[Preço Unitário]]*TB_Vendas[[#This Row],[Qtd]]</f>
        <v>179.8</v>
      </c>
      <c r="I12" s="1" t="s">
        <v>128</v>
      </c>
    </row>
    <row r="13" spans="1:9" x14ac:dyDescent="0.3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>
        <f>VLOOKUP(TB_Vendas[[#This Row],[Código]],Produtos!$B$6:$G$66,6,0)</f>
        <v>250</v>
      </c>
      <c r="G13" s="70" cm="1">
        <f t="array" ref="G13">INDEX(Desc_TabelaToda,MATCH(TB_Vendas[[#This Row],[Qtd]],Desc_Quantidades,1),MATCH(_xlfn.XLOOKUP(TB_Vendas[[#This Row],[Código]],TB_Produtos[[#All],[Código]],TB_Produtos[[#All],[Categoria]]),Desc_Categorias,0))</f>
        <v>0.1</v>
      </c>
      <c r="H13" s="8">
        <f>TB_Vendas[[#This Row],[Preço Unitário]]*TB_Vendas[[#This Row],[Qtd]]</f>
        <v>500</v>
      </c>
      <c r="I13" s="1" t="s">
        <v>127</v>
      </c>
    </row>
    <row r="14" spans="1:9" x14ac:dyDescent="0.3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>
        <f>VLOOKUP(TB_Vendas[[#This Row],[Código]],Produtos!$B$6:$G$66,6,0)</f>
        <v>39.9</v>
      </c>
      <c r="G14" s="70" cm="1">
        <f t="array" ref="G14">INDEX(Desc_TabelaToda,MATCH(TB_Vendas[[#This Row],[Qtd]],Desc_Quantidades,1),MATCH(_xlfn.XLOOKUP(TB_Vendas[[#This Row],[Código]],TB_Produtos[[#All],[Código]],TB_Produtos[[#All],[Categoria]]),Desc_Categorias,0))</f>
        <v>0.1</v>
      </c>
      <c r="H14" s="8">
        <f>TB_Vendas[[#This Row],[Preço Unitário]]*TB_Vendas[[#This Row],[Qtd]]</f>
        <v>39.9</v>
      </c>
      <c r="I14" s="1" t="s">
        <v>127</v>
      </c>
    </row>
    <row r="15" spans="1:9" x14ac:dyDescent="0.3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>
        <f>VLOOKUP(TB_Vendas[[#This Row],[Código]],Produtos!$B$6:$G$66,6,0)</f>
        <v>142.9</v>
      </c>
      <c r="G15" s="70" cm="1">
        <f t="array" ref="G15">INDEX(Desc_TabelaToda,MATCH(TB_Vendas[[#This Row],[Qtd]],Desc_Quantidades,1),MATCH(_xlfn.XLOOKUP(TB_Vendas[[#This Row],[Código]],TB_Produtos[[#All],[Código]],TB_Produtos[[#All],[Categoria]]),Desc_Categorias,0))</f>
        <v>0.1</v>
      </c>
      <c r="H15" s="8">
        <f>TB_Vendas[[#This Row],[Preço Unitário]]*TB_Vendas[[#This Row],[Qtd]]</f>
        <v>142.9</v>
      </c>
      <c r="I15" s="1" t="s">
        <v>129</v>
      </c>
    </row>
    <row r="16" spans="1:9" x14ac:dyDescent="0.3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>
        <f>VLOOKUP(TB_Vendas[[#This Row],[Código]],Produtos!$B$6:$G$66,6,0)</f>
        <v>300</v>
      </c>
      <c r="G16" s="70" cm="1">
        <f t="array" ref="G16">INDEX(Desc_TabelaToda,MATCH(TB_Vendas[[#This Row],[Qtd]],Desc_Quantidades,1),MATCH(_xlfn.XLOOKUP(TB_Vendas[[#This Row],[Código]],TB_Produtos[[#All],[Código]],TB_Produtos[[#All],[Categoria]]),Desc_Categorias,0))</f>
        <v>0.1</v>
      </c>
      <c r="H16" s="8">
        <f>TB_Vendas[[#This Row],[Preço Unitário]]*TB_Vendas[[#This Row],[Qtd]]</f>
        <v>300</v>
      </c>
      <c r="I16" s="1" t="s">
        <v>128</v>
      </c>
    </row>
    <row r="17" spans="1:9" x14ac:dyDescent="0.3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>
        <f>VLOOKUP(TB_Vendas[[#This Row],[Código]],Produtos!$B$6:$G$66,6,0)</f>
        <v>289.89999999999998</v>
      </c>
      <c r="G17" s="70" cm="1">
        <f t="array" ref="G17">INDEX(Desc_TabelaToda,MATCH(TB_Vendas[[#This Row],[Qtd]],Desc_Quantidades,1),MATCH(_xlfn.XLOOKUP(TB_Vendas[[#This Row],[Código]],TB_Produtos[[#All],[Código]],TB_Produtos[[#All],[Categoria]]),Desc_Categorias,0))</f>
        <v>0.15</v>
      </c>
      <c r="H17" s="8">
        <f>TB_Vendas[[#This Row],[Preço Unitário]]*TB_Vendas[[#This Row],[Qtd]]</f>
        <v>579.79999999999995</v>
      </c>
      <c r="I17" s="1" t="s">
        <v>129</v>
      </c>
    </row>
    <row r="18" spans="1:9" x14ac:dyDescent="0.3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>
        <f>VLOOKUP(TB_Vendas[[#This Row],[Código]],Produtos!$B$6:$G$66,6,0)</f>
        <v>249.9</v>
      </c>
      <c r="G18" s="70" cm="1">
        <f t="array" ref="G18">INDEX(Desc_TabelaToda,MATCH(TB_Vendas[[#This Row],[Qtd]],Desc_Quantidades,1),MATCH(_xlfn.XLOOKUP(TB_Vendas[[#This Row],[Código]],TB_Produtos[[#All],[Código]],TB_Produtos[[#All],[Categoria]]),Desc_Categorias,0))</f>
        <v>0</v>
      </c>
      <c r="H18" s="8">
        <f>TB_Vendas[[#This Row],[Preço Unitário]]*TB_Vendas[[#This Row],[Qtd]]</f>
        <v>249.9</v>
      </c>
      <c r="I18" s="1" t="s">
        <v>129</v>
      </c>
    </row>
    <row r="19" spans="1:9" x14ac:dyDescent="0.3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>
        <f>VLOOKUP(TB_Vendas[[#This Row],[Código]],Produtos!$B$6:$G$66,6,0)</f>
        <v>39.9</v>
      </c>
      <c r="G19" s="70" cm="1">
        <f t="array" ref="G19">INDEX(Desc_TabelaToda,MATCH(TB_Vendas[[#This Row],[Qtd]],Desc_Quantidades,1),MATCH(_xlfn.XLOOKUP(TB_Vendas[[#This Row],[Código]],TB_Produtos[[#All],[Código]],TB_Produtos[[#All],[Categoria]]),Desc_Categorias,0))</f>
        <v>0.15</v>
      </c>
      <c r="H19" s="8">
        <f>TB_Vendas[[#This Row],[Preço Unitário]]*TB_Vendas[[#This Row],[Qtd]]</f>
        <v>79.8</v>
      </c>
      <c r="I19" s="1" t="s">
        <v>129</v>
      </c>
    </row>
    <row r="20" spans="1:9" x14ac:dyDescent="0.3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>
        <f>VLOOKUP(TB_Vendas[[#This Row],[Código]],Produtos!$B$6:$G$66,6,0)</f>
        <v>289.89999999999998</v>
      </c>
      <c r="G20" s="70" cm="1">
        <f t="array" ref="G20">INDEX(Desc_TabelaToda,MATCH(TB_Vendas[[#This Row],[Qtd]],Desc_Quantidades,1),MATCH(_xlfn.XLOOKUP(TB_Vendas[[#This Row],[Código]],TB_Produtos[[#All],[Código]],TB_Produtos[[#All],[Categoria]]),Desc_Categorias,0))</f>
        <v>0.2</v>
      </c>
      <c r="H20" s="8">
        <f>TB_Vendas[[#This Row],[Preço Unitário]]*TB_Vendas[[#This Row],[Qtd]]</f>
        <v>1159.5999999999999</v>
      </c>
      <c r="I20" s="1" t="s">
        <v>129</v>
      </c>
    </row>
    <row r="21" spans="1:9" x14ac:dyDescent="0.3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>
        <f>VLOOKUP(TB_Vendas[[#This Row],[Código]],Produtos!$B$6:$G$66,6,0)</f>
        <v>180</v>
      </c>
      <c r="G21" s="70" cm="1">
        <f t="array" ref="G21">INDEX(Desc_TabelaToda,MATCH(TB_Vendas[[#This Row],[Qtd]],Desc_Quantidades,1),MATCH(_xlfn.XLOOKUP(TB_Vendas[[#This Row],[Código]],TB_Produtos[[#All],[Código]],TB_Produtos[[#All],[Categoria]]),Desc_Categorias,0))</f>
        <v>0.2</v>
      </c>
      <c r="H21" s="8">
        <f>TB_Vendas[[#This Row],[Preço Unitário]]*TB_Vendas[[#This Row],[Qtd]]</f>
        <v>540</v>
      </c>
      <c r="I21" s="1" t="s">
        <v>127</v>
      </c>
    </row>
    <row r="22" spans="1:9" x14ac:dyDescent="0.3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>
        <f>VLOOKUP(TB_Vendas[[#This Row],[Código]],Produtos!$B$6:$G$66,6,0)</f>
        <v>32.9</v>
      </c>
      <c r="G22" s="70" cm="1">
        <f t="array" ref="G22">INDEX(Desc_TabelaToda,MATCH(TB_Vendas[[#This Row],[Qtd]],Desc_Quantidades,1),MATCH(_xlfn.XLOOKUP(TB_Vendas[[#This Row],[Código]],TB_Produtos[[#All],[Código]],TB_Produtos[[#All],[Categoria]]),Desc_Categorias,0))</f>
        <v>0.15</v>
      </c>
      <c r="H22" s="8">
        <f>TB_Vendas[[#This Row],[Preço Unitário]]*TB_Vendas[[#This Row],[Qtd]]</f>
        <v>65.8</v>
      </c>
      <c r="I22" s="1" t="s">
        <v>126</v>
      </c>
    </row>
    <row r="23" spans="1:9" x14ac:dyDescent="0.3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>
        <f>VLOOKUP(TB_Vendas[[#This Row],[Código]],Produtos!$B$6:$G$66,6,0)</f>
        <v>255</v>
      </c>
      <c r="G23" s="70" cm="1">
        <f t="array" ref="G23">INDEX(Desc_TabelaToda,MATCH(TB_Vendas[[#This Row],[Qtd]],Desc_Quantidades,1),MATCH(_xlfn.XLOOKUP(TB_Vendas[[#This Row],[Código]],TB_Produtos[[#All],[Código]],TB_Produtos[[#All],[Categoria]]),Desc_Categorias,0))</f>
        <v>0.15</v>
      </c>
      <c r="H23" s="8">
        <f>TB_Vendas[[#This Row],[Preço Unitário]]*TB_Vendas[[#This Row],[Qtd]]</f>
        <v>765</v>
      </c>
      <c r="I23" s="1" t="s">
        <v>129</v>
      </c>
    </row>
    <row r="24" spans="1:9" x14ac:dyDescent="0.3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>
        <f>VLOOKUP(TB_Vendas[[#This Row],[Código]],Produtos!$B$6:$G$66,6,0)</f>
        <v>142.9</v>
      </c>
      <c r="G24" s="70" cm="1">
        <f t="array" ref="G24">INDEX(Desc_TabelaToda,MATCH(TB_Vendas[[#This Row],[Qtd]],Desc_Quantidades,1),MATCH(_xlfn.XLOOKUP(TB_Vendas[[#This Row],[Código]],TB_Produtos[[#All],[Código]],TB_Produtos[[#All],[Categoria]]),Desc_Categorias,0))</f>
        <v>0.1</v>
      </c>
      <c r="H24" s="8">
        <f>TB_Vendas[[#This Row],[Preço Unitário]]*TB_Vendas[[#This Row],[Qtd]]</f>
        <v>142.9</v>
      </c>
      <c r="I24" s="1" t="s">
        <v>126</v>
      </c>
    </row>
    <row r="25" spans="1:9" x14ac:dyDescent="0.3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>
        <f>VLOOKUP(TB_Vendas[[#This Row],[Código]],Produtos!$B$6:$G$66,6,0)</f>
        <v>92.9</v>
      </c>
      <c r="G25" s="70" cm="1">
        <f t="array" ref="G25">INDEX(Desc_TabelaToda,MATCH(TB_Vendas[[#This Row],[Qtd]],Desc_Quantidades,1),MATCH(_xlfn.XLOOKUP(TB_Vendas[[#This Row],[Código]],TB_Produtos[[#All],[Código]],TB_Produtos[[#All],[Categoria]]),Desc_Categorias,0))</f>
        <v>0.2</v>
      </c>
      <c r="H25" s="8">
        <f>TB_Vendas[[#This Row],[Preço Unitário]]*TB_Vendas[[#This Row],[Qtd]]</f>
        <v>371.6</v>
      </c>
      <c r="I25" s="1" t="s">
        <v>128</v>
      </c>
    </row>
    <row r="26" spans="1:9" x14ac:dyDescent="0.3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>
        <f>VLOOKUP(TB_Vendas[[#This Row],[Código]],Produtos!$B$6:$G$66,6,0)</f>
        <v>54.9</v>
      </c>
      <c r="G26" s="70" cm="1">
        <f t="array" ref="G26">INDEX(Desc_TabelaToda,MATCH(TB_Vendas[[#This Row],[Qtd]],Desc_Quantidades,1),MATCH(_xlfn.XLOOKUP(TB_Vendas[[#This Row],[Código]],TB_Produtos[[#All],[Código]],TB_Produtos[[#All],[Categoria]]),Desc_Categorias,0))</f>
        <v>0.15</v>
      </c>
      <c r="H26" s="8">
        <f>TB_Vendas[[#This Row],[Preço Unitário]]*TB_Vendas[[#This Row],[Qtd]]</f>
        <v>109.8</v>
      </c>
      <c r="I26" s="1" t="s">
        <v>126</v>
      </c>
    </row>
    <row r="27" spans="1:9" x14ac:dyDescent="0.3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>
        <f>VLOOKUP(TB_Vendas[[#This Row],[Código]],Produtos!$B$6:$G$66,6,0)</f>
        <v>142.9</v>
      </c>
      <c r="G27" s="70" cm="1">
        <f t="array" ref="G27">INDEX(Desc_TabelaToda,MATCH(TB_Vendas[[#This Row],[Qtd]],Desc_Quantidades,1),MATCH(_xlfn.XLOOKUP(TB_Vendas[[#This Row],[Código]],TB_Produtos[[#All],[Código]],TB_Produtos[[#All],[Categoria]]),Desc_Categorias,0))</f>
        <v>0.2</v>
      </c>
      <c r="H27" s="8">
        <f>TB_Vendas[[#This Row],[Preço Unitário]]*TB_Vendas[[#This Row],[Qtd]]</f>
        <v>428.70000000000005</v>
      </c>
      <c r="I27" s="1" t="s">
        <v>127</v>
      </c>
    </row>
    <row r="28" spans="1:9" x14ac:dyDescent="0.3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>
        <f>VLOOKUP(TB_Vendas[[#This Row],[Código]],Produtos!$B$6:$G$66,6,0)</f>
        <v>120</v>
      </c>
      <c r="G28" s="70" cm="1">
        <f t="array" ref="G28">INDEX(Desc_TabelaToda,MATCH(TB_Vendas[[#This Row],[Qtd]],Desc_Quantidades,1),MATCH(_xlfn.XLOOKUP(TB_Vendas[[#This Row],[Código]],TB_Produtos[[#All],[Código]],TB_Produtos[[#All],[Categoria]]),Desc_Categorias,0))</f>
        <v>0.05</v>
      </c>
      <c r="H28" s="8">
        <f>TB_Vendas[[#This Row],[Preço Unitário]]*TB_Vendas[[#This Row],[Qtd]]</f>
        <v>240</v>
      </c>
      <c r="I28" s="1" t="s">
        <v>127</v>
      </c>
    </row>
    <row r="29" spans="1:9" x14ac:dyDescent="0.3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>
        <f>VLOOKUP(TB_Vendas[[#This Row],[Código]],Produtos!$B$6:$G$66,6,0)</f>
        <v>65.900000000000006</v>
      </c>
      <c r="G29" s="70" cm="1">
        <f t="array" ref="G29">INDEX(Desc_TabelaToda,MATCH(TB_Vendas[[#This Row],[Qtd]],Desc_Quantidades,1),MATCH(_xlfn.XLOOKUP(TB_Vendas[[#This Row],[Código]],TB_Produtos[[#All],[Código]],TB_Produtos[[#All],[Categoria]]),Desc_Categorias,0))</f>
        <v>0.1</v>
      </c>
      <c r="H29" s="8">
        <f>TB_Vendas[[#This Row],[Preço Unitário]]*TB_Vendas[[#This Row],[Qtd]]</f>
        <v>65.900000000000006</v>
      </c>
      <c r="I29" s="1" t="s">
        <v>129</v>
      </c>
    </row>
    <row r="30" spans="1:9" x14ac:dyDescent="0.3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>
        <f>VLOOKUP(TB_Vendas[[#This Row],[Código]],Produtos!$B$6:$G$66,6,0)</f>
        <v>32.9</v>
      </c>
      <c r="G30" s="70" cm="1">
        <f t="array" ref="G30">INDEX(Desc_TabelaToda,MATCH(TB_Vendas[[#This Row],[Qtd]],Desc_Quantidades,1),MATCH(_xlfn.XLOOKUP(TB_Vendas[[#This Row],[Código]],TB_Produtos[[#All],[Código]],TB_Produtos[[#All],[Categoria]]),Desc_Categorias,0))</f>
        <v>0.25</v>
      </c>
      <c r="H30" s="8">
        <f>TB_Vendas[[#This Row],[Preço Unitário]]*TB_Vendas[[#This Row],[Qtd]]</f>
        <v>164.5</v>
      </c>
      <c r="I30" s="1" t="s">
        <v>130</v>
      </c>
    </row>
    <row r="31" spans="1:9" x14ac:dyDescent="0.3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>
        <f>VLOOKUP(TB_Vendas[[#This Row],[Código]],Produtos!$B$6:$G$66,6,0)</f>
        <v>180</v>
      </c>
      <c r="G31" s="70" cm="1">
        <f t="array" ref="G31">INDEX(Desc_TabelaToda,MATCH(TB_Vendas[[#This Row],[Qtd]],Desc_Quantidades,1),MATCH(_xlfn.XLOOKUP(TB_Vendas[[#This Row],[Código]],TB_Produtos[[#All],[Código]],TB_Produtos[[#All],[Categoria]]),Desc_Categorias,0))</f>
        <v>0.15</v>
      </c>
      <c r="H31" s="8">
        <f>TB_Vendas[[#This Row],[Preço Unitário]]*TB_Vendas[[#This Row],[Qtd]]</f>
        <v>360</v>
      </c>
      <c r="I31" s="1" t="s">
        <v>127</v>
      </c>
    </row>
    <row r="32" spans="1:9" x14ac:dyDescent="0.3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>
        <f>VLOOKUP(TB_Vendas[[#This Row],[Código]],Produtos!$B$6:$G$66,6,0)</f>
        <v>349.9</v>
      </c>
      <c r="G32" s="70" cm="1">
        <f t="array" ref="G32">INDEX(Desc_TabelaToda,MATCH(TB_Vendas[[#This Row],[Qtd]],Desc_Quantidades,1),MATCH(_xlfn.XLOOKUP(TB_Vendas[[#This Row],[Código]],TB_Produtos[[#All],[Código]],TB_Produtos[[#All],[Categoria]]),Desc_Categorias,0))</f>
        <v>0.15</v>
      </c>
      <c r="H32" s="8">
        <f>TB_Vendas[[#This Row],[Preço Unitário]]*TB_Vendas[[#This Row],[Qtd]]</f>
        <v>1049.6999999999998</v>
      </c>
      <c r="I32" s="1" t="s">
        <v>126</v>
      </c>
    </row>
    <row r="33" spans="1:9" x14ac:dyDescent="0.3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>
        <f>VLOOKUP(TB_Vendas[[#This Row],[Código]],Produtos!$B$6:$G$66,6,0)</f>
        <v>72.5</v>
      </c>
      <c r="G33" s="70" cm="1">
        <f t="array" ref="G33">INDEX(Desc_TabelaToda,MATCH(TB_Vendas[[#This Row],[Qtd]],Desc_Quantidades,1),MATCH(_xlfn.XLOOKUP(TB_Vendas[[#This Row],[Código]],TB_Produtos[[#All],[Código]],TB_Produtos[[#All],[Categoria]]),Desc_Categorias,0))</f>
        <v>0.1</v>
      </c>
      <c r="H33" s="8">
        <f>TB_Vendas[[#This Row],[Preço Unitário]]*TB_Vendas[[#This Row],[Qtd]]</f>
        <v>72.5</v>
      </c>
      <c r="I33" s="1" t="s">
        <v>128</v>
      </c>
    </row>
    <row r="34" spans="1:9" x14ac:dyDescent="0.3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>
        <f>VLOOKUP(TB_Vendas[[#This Row],[Código]],Produtos!$B$6:$G$66,6,0)</f>
        <v>259.89999999999998</v>
      </c>
      <c r="G34" s="70" cm="1">
        <f t="array" ref="G34">INDEX(Desc_TabelaToda,MATCH(TB_Vendas[[#This Row],[Qtd]],Desc_Quantidades,1),MATCH(_xlfn.XLOOKUP(TB_Vendas[[#This Row],[Código]],TB_Produtos[[#All],[Código]],TB_Produtos[[#All],[Categoria]]),Desc_Categorias,0))</f>
        <v>0.2</v>
      </c>
      <c r="H34" s="8">
        <f>TB_Vendas[[#This Row],[Preço Unitário]]*TB_Vendas[[#This Row],[Qtd]]</f>
        <v>1039.5999999999999</v>
      </c>
      <c r="I34" s="1" t="s">
        <v>126</v>
      </c>
    </row>
    <row r="35" spans="1:9" x14ac:dyDescent="0.3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>
        <f>VLOOKUP(TB_Vendas[[#This Row],[Código]],Produtos!$B$6:$G$66,6,0)</f>
        <v>25.9</v>
      </c>
      <c r="G35" s="70" cm="1">
        <f t="array" ref="G35">INDEX(Desc_TabelaToda,MATCH(TB_Vendas[[#This Row],[Qtd]],Desc_Quantidades,1),MATCH(_xlfn.XLOOKUP(TB_Vendas[[#This Row],[Código]],TB_Produtos[[#All],[Código]],TB_Produtos[[#All],[Categoria]]),Desc_Categorias,0))</f>
        <v>0.2</v>
      </c>
      <c r="H35" s="8">
        <f>TB_Vendas[[#This Row],[Preço Unitário]]*TB_Vendas[[#This Row],[Qtd]]</f>
        <v>77.699999999999989</v>
      </c>
      <c r="I35" s="1" t="s">
        <v>127</v>
      </c>
    </row>
    <row r="36" spans="1:9" x14ac:dyDescent="0.3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>
        <f>VLOOKUP(TB_Vendas[[#This Row],[Código]],Produtos!$B$6:$G$66,6,0)</f>
        <v>145</v>
      </c>
      <c r="G36" s="70" cm="1">
        <f t="array" ref="G36">INDEX(Desc_TabelaToda,MATCH(TB_Vendas[[#This Row],[Qtd]],Desc_Quantidades,1),MATCH(_xlfn.XLOOKUP(TB_Vendas[[#This Row],[Código]],TB_Produtos[[#All],[Código]],TB_Produtos[[#All],[Categoria]]),Desc_Categorias,0))</f>
        <v>0.05</v>
      </c>
      <c r="H36" s="8">
        <f>TB_Vendas[[#This Row],[Preço Unitário]]*TB_Vendas[[#This Row],[Qtd]]</f>
        <v>290</v>
      </c>
      <c r="I36" s="1" t="s">
        <v>126</v>
      </c>
    </row>
    <row r="37" spans="1:9" x14ac:dyDescent="0.3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>
        <f>VLOOKUP(TB_Vendas[[#This Row],[Código]],Produtos!$B$6:$G$66,6,0)</f>
        <v>39.9</v>
      </c>
      <c r="G37" s="70" cm="1">
        <f t="array" ref="G37">INDEX(Desc_TabelaToda,MATCH(TB_Vendas[[#This Row],[Qtd]],Desc_Quantidades,1),MATCH(_xlfn.XLOOKUP(TB_Vendas[[#This Row],[Código]],TB_Produtos[[#All],[Código]],TB_Produtos[[#All],[Categoria]]),Desc_Categorias,0))</f>
        <v>0</v>
      </c>
      <c r="H37" s="8">
        <f>TB_Vendas[[#This Row],[Preço Unitário]]*TB_Vendas[[#This Row],[Qtd]]</f>
        <v>39.9</v>
      </c>
      <c r="I37" s="1" t="s">
        <v>127</v>
      </c>
    </row>
    <row r="38" spans="1:9" x14ac:dyDescent="0.3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>
        <f>VLOOKUP(TB_Vendas[[#This Row],[Código]],Produtos!$B$6:$G$66,6,0)</f>
        <v>349.9</v>
      </c>
      <c r="G38" s="70" cm="1">
        <f t="array" ref="G38">INDEX(Desc_TabelaToda,MATCH(TB_Vendas[[#This Row],[Qtd]],Desc_Quantidades,1),MATCH(_xlfn.XLOOKUP(TB_Vendas[[#This Row],[Código]],TB_Produtos[[#All],[Código]],TB_Produtos[[#All],[Categoria]]),Desc_Categorias,0))</f>
        <v>0.15</v>
      </c>
      <c r="H38" s="8">
        <f>TB_Vendas[[#This Row],[Preço Unitário]]*TB_Vendas[[#This Row],[Qtd]]</f>
        <v>1049.6999999999998</v>
      </c>
      <c r="I38" s="1" t="s">
        <v>129</v>
      </c>
    </row>
    <row r="39" spans="1:9" x14ac:dyDescent="0.3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>
        <f>VLOOKUP(TB_Vendas[[#This Row],[Código]],Produtos!$B$6:$G$66,6,0)</f>
        <v>89.9</v>
      </c>
      <c r="G39" s="70" cm="1">
        <f t="array" ref="G39">INDEX(Desc_TabelaToda,MATCH(TB_Vendas[[#This Row],[Qtd]],Desc_Quantidades,1),MATCH(_xlfn.XLOOKUP(TB_Vendas[[#This Row],[Código]],TB_Produtos[[#All],[Código]],TB_Produtos[[#All],[Categoria]]),Desc_Categorias,0))</f>
        <v>0.15</v>
      </c>
      <c r="H39" s="8">
        <f>TB_Vendas[[#This Row],[Preço Unitário]]*TB_Vendas[[#This Row],[Qtd]]</f>
        <v>359.6</v>
      </c>
      <c r="I39" s="1" t="s">
        <v>126</v>
      </c>
    </row>
    <row r="40" spans="1:9" x14ac:dyDescent="0.3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>
        <f>VLOOKUP(TB_Vendas[[#This Row],[Código]],Produtos!$B$6:$G$66,6,0)</f>
        <v>89.9</v>
      </c>
      <c r="G40" s="70" cm="1">
        <f t="array" ref="G40">INDEX(Desc_TabelaToda,MATCH(TB_Vendas[[#This Row],[Qtd]],Desc_Quantidades,1),MATCH(_xlfn.XLOOKUP(TB_Vendas[[#This Row],[Código]],TB_Produtos[[#All],[Código]],TB_Produtos[[#All],[Categoria]]),Desc_Categorias,0))</f>
        <v>0.1</v>
      </c>
      <c r="H40" s="8">
        <f>TB_Vendas[[#This Row],[Preço Unitário]]*TB_Vendas[[#This Row],[Qtd]]</f>
        <v>179.8</v>
      </c>
      <c r="I40" s="1" t="s">
        <v>129</v>
      </c>
    </row>
    <row r="41" spans="1:9" x14ac:dyDescent="0.3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>
        <f>VLOOKUP(TB_Vendas[[#This Row],[Código]],Produtos!$B$6:$G$66,6,0)</f>
        <v>69.900000000000006</v>
      </c>
      <c r="G41" s="70" cm="1">
        <f t="array" ref="G41">INDEX(Desc_TabelaToda,MATCH(TB_Vendas[[#This Row],[Qtd]],Desc_Quantidades,1),MATCH(_xlfn.XLOOKUP(TB_Vendas[[#This Row],[Código]],TB_Produtos[[#All],[Código]],TB_Produtos[[#All],[Categoria]]),Desc_Categorias,0))</f>
        <v>0.2</v>
      </c>
      <c r="H41" s="8">
        <f>TB_Vendas[[#This Row],[Preço Unitário]]*TB_Vendas[[#This Row],[Qtd]]</f>
        <v>209.70000000000002</v>
      </c>
      <c r="I41" s="1" t="s">
        <v>126</v>
      </c>
    </row>
    <row r="42" spans="1:9" x14ac:dyDescent="0.3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>
        <f>VLOOKUP(TB_Vendas[[#This Row],[Código]],Produtos!$B$6:$G$66,6,0)</f>
        <v>145</v>
      </c>
      <c r="G42" s="70" cm="1">
        <f t="array" ref="G42">INDEX(Desc_TabelaToda,MATCH(TB_Vendas[[#This Row],[Qtd]],Desc_Quantidades,1),MATCH(_xlfn.XLOOKUP(TB_Vendas[[#This Row],[Código]],TB_Produtos[[#All],[Código]],TB_Produtos[[#All],[Categoria]]),Desc_Categorias,0))</f>
        <v>0</v>
      </c>
      <c r="H42" s="8">
        <f>TB_Vendas[[#This Row],[Preço Unitário]]*TB_Vendas[[#This Row],[Qtd]]</f>
        <v>145</v>
      </c>
      <c r="I42" s="1" t="s">
        <v>130</v>
      </c>
    </row>
    <row r="43" spans="1:9" x14ac:dyDescent="0.3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>
        <f>VLOOKUP(TB_Vendas[[#This Row],[Código]],Produtos!$B$6:$G$66,6,0)</f>
        <v>46.9</v>
      </c>
      <c r="G43" s="70" cm="1">
        <f t="array" ref="G43">INDEX(Desc_TabelaToda,MATCH(TB_Vendas[[#This Row],[Qtd]],Desc_Quantidades,1),MATCH(_xlfn.XLOOKUP(TB_Vendas[[#This Row],[Código]],TB_Produtos[[#All],[Código]],TB_Produtos[[#All],[Categoria]]),Desc_Categorias,0))</f>
        <v>0.2</v>
      </c>
      <c r="H43" s="8">
        <f>TB_Vendas[[#This Row],[Preço Unitário]]*TB_Vendas[[#This Row],[Qtd]]</f>
        <v>187.6</v>
      </c>
      <c r="I43" s="1" t="s">
        <v>126</v>
      </c>
    </row>
    <row r="44" spans="1:9" x14ac:dyDescent="0.3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>
        <f>VLOOKUP(TB_Vendas[[#This Row],[Código]],Produtos!$B$6:$G$66,6,0)</f>
        <v>72.5</v>
      </c>
      <c r="G44" s="70" cm="1">
        <f t="array" ref="G44">INDEX(Desc_TabelaToda,MATCH(TB_Vendas[[#This Row],[Qtd]],Desc_Quantidades,1),MATCH(_xlfn.XLOOKUP(TB_Vendas[[#This Row],[Código]],TB_Produtos[[#All],[Código]],TB_Produtos[[#All],[Categoria]]),Desc_Categorias,0))</f>
        <v>0.15</v>
      </c>
      <c r="H44" s="8">
        <f>TB_Vendas[[#This Row],[Preço Unitário]]*TB_Vendas[[#This Row],[Qtd]]</f>
        <v>145</v>
      </c>
      <c r="I44" s="1" t="s">
        <v>130</v>
      </c>
    </row>
    <row r="45" spans="1:9" x14ac:dyDescent="0.3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>
        <f>VLOOKUP(TB_Vendas[[#This Row],[Código]],Produtos!$B$6:$G$66,6,0)</f>
        <v>140</v>
      </c>
      <c r="G45" s="70" cm="1">
        <f t="array" ref="G45">INDEX(Desc_TabelaToda,MATCH(TB_Vendas[[#This Row],[Qtd]],Desc_Quantidades,1),MATCH(_xlfn.XLOOKUP(TB_Vendas[[#This Row],[Código]],TB_Produtos[[#All],[Código]],TB_Produtos[[#All],[Categoria]]),Desc_Categorias,0))</f>
        <v>0.2</v>
      </c>
      <c r="H45" s="8">
        <f>TB_Vendas[[#This Row],[Preço Unitário]]*TB_Vendas[[#This Row],[Qtd]]</f>
        <v>420</v>
      </c>
      <c r="I45" s="1" t="s">
        <v>129</v>
      </c>
    </row>
    <row r="46" spans="1:9" x14ac:dyDescent="0.3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>
        <f>VLOOKUP(TB_Vendas[[#This Row],[Código]],Produtos!$B$6:$G$66,6,0)</f>
        <v>91.4</v>
      </c>
      <c r="G46" s="70" cm="1">
        <f t="array" ref="G46">INDEX(Desc_TabelaToda,MATCH(TB_Vendas[[#This Row],[Qtd]],Desc_Quantidades,1),MATCH(_xlfn.XLOOKUP(TB_Vendas[[#This Row],[Código]],TB_Produtos[[#All],[Código]],TB_Produtos[[#All],[Categoria]]),Desc_Categorias,0))</f>
        <v>0.1</v>
      </c>
      <c r="H46" s="8">
        <f>TB_Vendas[[#This Row],[Preço Unitário]]*TB_Vendas[[#This Row],[Qtd]]</f>
        <v>91.4</v>
      </c>
      <c r="I46" s="1" t="s">
        <v>127</v>
      </c>
    </row>
    <row r="47" spans="1:9" x14ac:dyDescent="0.3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>
        <f>VLOOKUP(TB_Vendas[[#This Row],[Código]],Produtos!$B$6:$G$66,6,0)</f>
        <v>349.9</v>
      </c>
      <c r="G47" s="70" cm="1">
        <f t="array" ref="G47">INDEX(Desc_TabelaToda,MATCH(TB_Vendas[[#This Row],[Qtd]],Desc_Quantidades,1),MATCH(_xlfn.XLOOKUP(TB_Vendas[[#This Row],[Código]],TB_Produtos[[#All],[Código]],TB_Produtos[[#All],[Categoria]]),Desc_Categorias,0))</f>
        <v>0.05</v>
      </c>
      <c r="H47" s="8">
        <f>TB_Vendas[[#This Row],[Preço Unitário]]*TB_Vendas[[#This Row],[Qtd]]</f>
        <v>699.8</v>
      </c>
      <c r="I47" s="1" t="s">
        <v>129</v>
      </c>
    </row>
    <row r="48" spans="1:9" x14ac:dyDescent="0.3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>
        <f>VLOOKUP(TB_Vendas[[#This Row],[Código]],Produtos!$B$6:$G$66,6,0)</f>
        <v>65.900000000000006</v>
      </c>
      <c r="G48" s="70" cm="1">
        <f t="array" ref="G48">INDEX(Desc_TabelaToda,MATCH(TB_Vendas[[#This Row],[Qtd]],Desc_Quantidades,1),MATCH(_xlfn.XLOOKUP(TB_Vendas[[#This Row],[Código]],TB_Produtos[[#All],[Código]],TB_Produtos[[#All],[Categoria]]),Desc_Categorias,0))</f>
        <v>0.2</v>
      </c>
      <c r="H48" s="8">
        <f>TB_Vendas[[#This Row],[Preço Unitário]]*TB_Vendas[[#This Row],[Qtd]]</f>
        <v>197.70000000000002</v>
      </c>
      <c r="I48" s="1" t="s">
        <v>127</v>
      </c>
    </row>
    <row r="49" spans="1:9" x14ac:dyDescent="0.3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>
        <f>VLOOKUP(TB_Vendas[[#This Row],[Código]],Produtos!$B$6:$G$66,6,0)</f>
        <v>91.4</v>
      </c>
      <c r="G49" s="70" cm="1">
        <f t="array" ref="G49">INDEX(Desc_TabelaToda,MATCH(TB_Vendas[[#This Row],[Qtd]],Desc_Quantidades,1),MATCH(_xlfn.XLOOKUP(TB_Vendas[[#This Row],[Código]],TB_Produtos[[#All],[Código]],TB_Produtos[[#All],[Categoria]]),Desc_Categorias,0))</f>
        <v>0.15</v>
      </c>
      <c r="H49" s="8">
        <f>TB_Vendas[[#This Row],[Preço Unitário]]*TB_Vendas[[#This Row],[Qtd]]</f>
        <v>182.8</v>
      </c>
      <c r="I49" s="1" t="s">
        <v>126</v>
      </c>
    </row>
    <row r="50" spans="1:9" x14ac:dyDescent="0.3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>
        <f>VLOOKUP(TB_Vendas[[#This Row],[Código]],Produtos!$B$6:$G$66,6,0)</f>
        <v>259.89999999999998</v>
      </c>
      <c r="G50" s="70" cm="1">
        <f t="array" ref="G50">INDEX(Desc_TabelaToda,MATCH(TB_Vendas[[#This Row],[Qtd]],Desc_Quantidades,1),MATCH(_xlfn.XLOOKUP(TB_Vendas[[#This Row],[Código]],TB_Produtos[[#All],[Código]],TB_Produtos[[#All],[Categoria]]),Desc_Categorias,0))</f>
        <v>0.15</v>
      </c>
      <c r="H50" s="8">
        <f>TB_Vendas[[#This Row],[Preço Unitário]]*TB_Vendas[[#This Row],[Qtd]]</f>
        <v>1039.5999999999999</v>
      </c>
      <c r="I50" s="1" t="s">
        <v>127</v>
      </c>
    </row>
    <row r="51" spans="1:9" x14ac:dyDescent="0.3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>
        <f>VLOOKUP(TB_Vendas[[#This Row],[Código]],Produtos!$B$6:$G$66,6,0)</f>
        <v>145</v>
      </c>
      <c r="G51" s="70" cm="1">
        <f t="array" ref="G51">INDEX(Desc_TabelaToda,MATCH(TB_Vendas[[#This Row],[Qtd]],Desc_Quantidades,1),MATCH(_xlfn.XLOOKUP(TB_Vendas[[#This Row],[Código]],TB_Produtos[[#All],[Código]],TB_Produtos[[#All],[Categoria]]),Desc_Categorias,0))</f>
        <v>0.15</v>
      </c>
      <c r="H51" s="8">
        <f>TB_Vendas[[#This Row],[Preço Unitário]]*TB_Vendas[[#This Row],[Qtd]]</f>
        <v>435</v>
      </c>
      <c r="I51" s="1" t="s">
        <v>126</v>
      </c>
    </row>
    <row r="52" spans="1:9" x14ac:dyDescent="0.3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>
        <f>VLOOKUP(TB_Vendas[[#This Row],[Código]],Produtos!$B$6:$G$66,6,0)</f>
        <v>142.9</v>
      </c>
      <c r="G52" s="70" cm="1">
        <f t="array" ref="G52">INDEX(Desc_TabelaToda,MATCH(TB_Vendas[[#This Row],[Qtd]],Desc_Quantidades,1),MATCH(_xlfn.XLOOKUP(TB_Vendas[[#This Row],[Código]],TB_Produtos[[#All],[Código]],TB_Produtos[[#All],[Categoria]]),Desc_Categorias,0))</f>
        <v>0.15</v>
      </c>
      <c r="H52" s="8">
        <f>TB_Vendas[[#This Row],[Preço Unitário]]*TB_Vendas[[#This Row],[Qtd]]</f>
        <v>285.8</v>
      </c>
      <c r="I52" s="1" t="s">
        <v>128</v>
      </c>
    </row>
    <row r="53" spans="1:9" x14ac:dyDescent="0.3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>
        <f>VLOOKUP(TB_Vendas[[#This Row],[Código]],Produtos!$B$6:$G$66,6,0)</f>
        <v>180</v>
      </c>
      <c r="G53" s="70" cm="1">
        <f t="array" ref="G53">INDEX(Desc_TabelaToda,MATCH(TB_Vendas[[#This Row],[Qtd]],Desc_Quantidades,1),MATCH(_xlfn.XLOOKUP(TB_Vendas[[#This Row],[Código]],TB_Produtos[[#All],[Código]],TB_Produtos[[#All],[Categoria]]),Desc_Categorias,0))</f>
        <v>0.15</v>
      </c>
      <c r="H53" s="8">
        <f>TB_Vendas[[#This Row],[Preço Unitário]]*TB_Vendas[[#This Row],[Qtd]]</f>
        <v>360</v>
      </c>
      <c r="I53" s="1" t="s">
        <v>126</v>
      </c>
    </row>
    <row r="54" spans="1:9" x14ac:dyDescent="0.3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>
        <f>VLOOKUP(TB_Vendas[[#This Row],[Código]],Produtos!$B$6:$G$66,6,0)</f>
        <v>42.5</v>
      </c>
      <c r="G54" s="70" cm="1">
        <f t="array" ref="G54">INDEX(Desc_TabelaToda,MATCH(TB_Vendas[[#This Row],[Qtd]],Desc_Quantidades,1),MATCH(_xlfn.XLOOKUP(TB_Vendas[[#This Row],[Código]],TB_Produtos[[#All],[Código]],TB_Produtos[[#All],[Categoria]]),Desc_Categorias,0))</f>
        <v>0.15</v>
      </c>
      <c r="H54" s="8">
        <f>TB_Vendas[[#This Row],[Preço Unitário]]*TB_Vendas[[#This Row],[Qtd]]</f>
        <v>85</v>
      </c>
      <c r="I54" s="1" t="s">
        <v>128</v>
      </c>
    </row>
    <row r="55" spans="1:9" x14ac:dyDescent="0.3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>
        <f>VLOOKUP(TB_Vendas[[#This Row],[Código]],Produtos!$B$6:$G$66,6,0)</f>
        <v>65.900000000000006</v>
      </c>
      <c r="G55" s="70" cm="1">
        <f t="array" ref="G55">INDEX(Desc_TabelaToda,MATCH(TB_Vendas[[#This Row],[Qtd]],Desc_Quantidades,1),MATCH(_xlfn.XLOOKUP(TB_Vendas[[#This Row],[Código]],TB_Produtos[[#All],[Código]],TB_Produtos[[#All],[Categoria]]),Desc_Categorias,0))</f>
        <v>0.1</v>
      </c>
      <c r="H55" s="8">
        <f>TB_Vendas[[#This Row],[Preço Unitário]]*TB_Vendas[[#This Row],[Qtd]]</f>
        <v>65.900000000000006</v>
      </c>
      <c r="I55" s="1" t="s">
        <v>127</v>
      </c>
    </row>
    <row r="56" spans="1:9" x14ac:dyDescent="0.3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>
        <f>VLOOKUP(TB_Vendas[[#This Row],[Código]],Produtos!$B$6:$G$66,6,0)</f>
        <v>180</v>
      </c>
      <c r="G56" s="70" cm="1">
        <f t="array" ref="G56">INDEX(Desc_TabelaToda,MATCH(TB_Vendas[[#This Row],[Qtd]],Desc_Quantidades,1),MATCH(_xlfn.XLOOKUP(TB_Vendas[[#This Row],[Código]],TB_Produtos[[#All],[Código]],TB_Produtos[[#All],[Categoria]]),Desc_Categorias,0))</f>
        <v>0.1</v>
      </c>
      <c r="H56" s="8">
        <f>TB_Vendas[[#This Row],[Preço Unitário]]*TB_Vendas[[#This Row],[Qtd]]</f>
        <v>180</v>
      </c>
      <c r="I56" s="1" t="s">
        <v>128</v>
      </c>
    </row>
    <row r="57" spans="1:9" x14ac:dyDescent="0.3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>
        <f>VLOOKUP(TB_Vendas[[#This Row],[Código]],Produtos!$B$6:$G$66,6,0)</f>
        <v>32.9</v>
      </c>
      <c r="G57" s="70" cm="1">
        <f t="array" ref="G57">INDEX(Desc_TabelaToda,MATCH(TB_Vendas[[#This Row],[Qtd]],Desc_Quantidades,1),MATCH(_xlfn.XLOOKUP(TB_Vendas[[#This Row],[Código]],TB_Produtos[[#All],[Código]],TB_Produtos[[#All],[Categoria]]),Desc_Categorias,0))</f>
        <v>0.2</v>
      </c>
      <c r="H57" s="8">
        <f>TB_Vendas[[#This Row],[Preço Unitário]]*TB_Vendas[[#This Row],[Qtd]]</f>
        <v>98.699999999999989</v>
      </c>
      <c r="I57" s="1" t="s">
        <v>127</v>
      </c>
    </row>
    <row r="58" spans="1:9" x14ac:dyDescent="0.3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>
        <f>VLOOKUP(TB_Vendas[[#This Row],[Código]],Produtos!$B$6:$G$66,6,0)</f>
        <v>92.9</v>
      </c>
      <c r="G58" s="70" cm="1">
        <f t="array" ref="G58">INDEX(Desc_TabelaToda,MATCH(TB_Vendas[[#This Row],[Qtd]],Desc_Quantidades,1),MATCH(_xlfn.XLOOKUP(TB_Vendas[[#This Row],[Código]],TB_Produtos[[#All],[Código]],TB_Produtos[[#All],[Categoria]]),Desc_Categorias,0))</f>
        <v>0.2</v>
      </c>
      <c r="H58" s="8">
        <f>TB_Vendas[[#This Row],[Preço Unitário]]*TB_Vendas[[#This Row],[Qtd]]</f>
        <v>371.6</v>
      </c>
      <c r="I58" s="1" t="s">
        <v>126</v>
      </c>
    </row>
    <row r="59" spans="1:9" x14ac:dyDescent="0.3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>
        <f>VLOOKUP(TB_Vendas[[#This Row],[Código]],Produtos!$B$6:$G$66,6,0)</f>
        <v>259.89999999999998</v>
      </c>
      <c r="G59" s="70" cm="1">
        <f t="array" ref="G59">INDEX(Desc_TabelaToda,MATCH(TB_Vendas[[#This Row],[Qtd]],Desc_Quantidades,1),MATCH(_xlfn.XLOOKUP(TB_Vendas[[#This Row],[Código]],TB_Produtos[[#All],[Código]],TB_Produtos[[#All],[Categoria]]),Desc_Categorias,0))</f>
        <v>0.1</v>
      </c>
      <c r="H59" s="8">
        <f>TB_Vendas[[#This Row],[Preço Unitário]]*TB_Vendas[[#This Row],[Qtd]]</f>
        <v>519.79999999999995</v>
      </c>
      <c r="I59" s="1" t="s">
        <v>128</v>
      </c>
    </row>
    <row r="60" spans="1:9" x14ac:dyDescent="0.3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>
        <f>VLOOKUP(TB_Vendas[[#This Row],[Código]],Produtos!$B$6:$G$66,6,0)</f>
        <v>259.89999999999998</v>
      </c>
      <c r="G60" s="70" cm="1">
        <f t="array" ref="G60">INDEX(Desc_TabelaToda,MATCH(TB_Vendas[[#This Row],[Qtd]],Desc_Quantidades,1),MATCH(_xlfn.XLOOKUP(TB_Vendas[[#This Row],[Código]],TB_Produtos[[#All],[Código]],TB_Produtos[[#All],[Categoria]]),Desc_Categorias,0))</f>
        <v>0.1</v>
      </c>
      <c r="H60" s="8">
        <f>TB_Vendas[[#This Row],[Preço Unitário]]*TB_Vendas[[#This Row],[Qtd]]</f>
        <v>259.89999999999998</v>
      </c>
      <c r="I60" s="1" t="s">
        <v>130</v>
      </c>
    </row>
    <row r="61" spans="1:9" x14ac:dyDescent="0.3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>
        <f>VLOOKUP(TB_Vendas[[#This Row],[Código]],Produtos!$B$6:$G$66,6,0)</f>
        <v>42.5</v>
      </c>
      <c r="G61" s="70" cm="1">
        <f t="array" ref="G61">INDEX(Desc_TabelaToda,MATCH(TB_Vendas[[#This Row],[Qtd]],Desc_Quantidades,1),MATCH(_xlfn.XLOOKUP(TB_Vendas[[#This Row],[Código]],TB_Produtos[[#All],[Código]],TB_Produtos[[#All],[Categoria]]),Desc_Categorias,0))</f>
        <v>0.25</v>
      </c>
      <c r="H61" s="8">
        <f>TB_Vendas[[#This Row],[Preço Unitário]]*TB_Vendas[[#This Row],[Qtd]]</f>
        <v>212.5</v>
      </c>
      <c r="I61" s="1" t="s">
        <v>130</v>
      </c>
    </row>
    <row r="62" spans="1:9" x14ac:dyDescent="0.3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>
        <f>VLOOKUP(TB_Vendas[[#This Row],[Código]],Produtos!$B$6:$G$66,6,0)</f>
        <v>32.9</v>
      </c>
      <c r="G62" s="70" cm="1">
        <f t="array" ref="G62">INDEX(Desc_TabelaToda,MATCH(TB_Vendas[[#This Row],[Qtd]],Desc_Quantidades,1),MATCH(_xlfn.XLOOKUP(TB_Vendas[[#This Row],[Código]],TB_Produtos[[#All],[Código]],TB_Produtos[[#All],[Categoria]]),Desc_Categorias,0))</f>
        <v>0.15</v>
      </c>
      <c r="H62" s="8">
        <f>TB_Vendas[[#This Row],[Preço Unitário]]*TB_Vendas[[#This Row],[Qtd]]</f>
        <v>65.8</v>
      </c>
      <c r="I62" s="1" t="s">
        <v>130</v>
      </c>
    </row>
    <row r="63" spans="1:9" x14ac:dyDescent="0.3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>
        <f>VLOOKUP(TB_Vendas[[#This Row],[Código]],Produtos!$B$6:$G$66,6,0)</f>
        <v>92.9</v>
      </c>
      <c r="G63" s="70" cm="1">
        <f t="array" ref="G63">INDEX(Desc_TabelaToda,MATCH(TB_Vendas[[#This Row],[Qtd]],Desc_Quantidades,1),MATCH(_xlfn.XLOOKUP(TB_Vendas[[#This Row],[Código]],TB_Produtos[[#All],[Código]],TB_Produtos[[#All],[Categoria]]),Desc_Categorias,0))</f>
        <v>0.2</v>
      </c>
      <c r="H63" s="8">
        <f>TB_Vendas[[#This Row],[Preço Unitário]]*TB_Vendas[[#This Row],[Qtd]]</f>
        <v>278.70000000000005</v>
      </c>
      <c r="I63" s="1" t="s">
        <v>126</v>
      </c>
    </row>
    <row r="64" spans="1:9" x14ac:dyDescent="0.3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>
        <f>VLOOKUP(TB_Vendas[[#This Row],[Código]],Produtos!$B$6:$G$66,6,0)</f>
        <v>25.9</v>
      </c>
      <c r="G64" s="70" cm="1">
        <f t="array" ref="G64">INDEX(Desc_TabelaToda,MATCH(TB_Vendas[[#This Row],[Qtd]],Desc_Quantidades,1),MATCH(_xlfn.XLOOKUP(TB_Vendas[[#This Row],[Código]],TB_Produtos[[#All],[Código]],TB_Produtos[[#All],[Categoria]]),Desc_Categorias,0))</f>
        <v>0.3</v>
      </c>
      <c r="H64" s="8">
        <f>TB_Vendas[[#This Row],[Preço Unitário]]*TB_Vendas[[#This Row],[Qtd]]</f>
        <v>259</v>
      </c>
      <c r="I64" s="1" t="s">
        <v>126</v>
      </c>
    </row>
    <row r="65" spans="1:9" x14ac:dyDescent="0.3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>
        <f>VLOOKUP(TB_Vendas[[#This Row],[Código]],Produtos!$B$6:$G$66,6,0)</f>
        <v>72.5</v>
      </c>
      <c r="G65" s="70" cm="1">
        <f t="array" ref="G65">INDEX(Desc_TabelaToda,MATCH(TB_Vendas[[#This Row],[Qtd]],Desc_Quantidades,1),MATCH(_xlfn.XLOOKUP(TB_Vendas[[#This Row],[Código]],TB_Produtos[[#All],[Código]],TB_Produtos[[#All],[Categoria]]),Desc_Categorias,0))</f>
        <v>0.1</v>
      </c>
      <c r="H65" s="8">
        <f>TB_Vendas[[#This Row],[Preço Unitário]]*TB_Vendas[[#This Row],[Qtd]]</f>
        <v>72.5</v>
      </c>
      <c r="I65" s="1" t="s">
        <v>127</v>
      </c>
    </row>
    <row r="66" spans="1:9" x14ac:dyDescent="0.3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>
        <f>VLOOKUP(TB_Vendas[[#This Row],[Código]],Produtos!$B$6:$G$66,6,0)</f>
        <v>302.89999999999998</v>
      </c>
      <c r="G66" s="70" cm="1">
        <f t="array" ref="G66">INDEX(Desc_TabelaToda,MATCH(TB_Vendas[[#This Row],[Qtd]],Desc_Quantidades,1),MATCH(_xlfn.XLOOKUP(TB_Vendas[[#This Row],[Código]],TB_Produtos[[#All],[Código]],TB_Produtos[[#All],[Categoria]]),Desc_Categorias,0))</f>
        <v>0.2</v>
      </c>
      <c r="H66" s="8">
        <f>TB_Vendas[[#This Row],[Preço Unitário]]*TB_Vendas[[#This Row],[Qtd]]</f>
        <v>1211.5999999999999</v>
      </c>
      <c r="I66" s="1" t="s">
        <v>130</v>
      </c>
    </row>
    <row r="67" spans="1:9" x14ac:dyDescent="0.3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>
        <f>VLOOKUP(TB_Vendas[[#This Row],[Código]],Produtos!$B$6:$G$66,6,0)</f>
        <v>289.89999999999998</v>
      </c>
      <c r="G67" s="70" cm="1">
        <f t="array" ref="G67">INDEX(Desc_TabelaToda,MATCH(TB_Vendas[[#This Row],[Qtd]],Desc_Quantidades,1),MATCH(_xlfn.XLOOKUP(TB_Vendas[[#This Row],[Código]],TB_Produtos[[#All],[Código]],TB_Produtos[[#All],[Categoria]]),Desc_Categorias,0))</f>
        <v>0.25</v>
      </c>
      <c r="H67" s="8">
        <f>TB_Vendas[[#This Row],[Preço Unitário]]*TB_Vendas[[#This Row],[Qtd]]</f>
        <v>2319.1999999999998</v>
      </c>
      <c r="I67" s="1" t="s">
        <v>126</v>
      </c>
    </row>
    <row r="68" spans="1:9" x14ac:dyDescent="0.3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>
        <f>VLOOKUP(TB_Vendas[[#This Row],[Código]],Produtos!$B$6:$G$66,6,0)</f>
        <v>54.9</v>
      </c>
      <c r="G68" s="70" cm="1">
        <f t="array" ref="G68">INDEX(Desc_TabelaToda,MATCH(TB_Vendas[[#This Row],[Qtd]],Desc_Quantidades,1),MATCH(_xlfn.XLOOKUP(TB_Vendas[[#This Row],[Código]],TB_Produtos[[#All],[Código]],TB_Produtos[[#All],[Categoria]]),Desc_Categorias,0))</f>
        <v>0.15</v>
      </c>
      <c r="H68" s="8">
        <f>TB_Vendas[[#This Row],[Preço Unitário]]*TB_Vendas[[#This Row],[Qtd]]</f>
        <v>109.8</v>
      </c>
      <c r="I68" s="1" t="s">
        <v>126</v>
      </c>
    </row>
    <row r="69" spans="1:9" x14ac:dyDescent="0.3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>
        <f>VLOOKUP(TB_Vendas[[#This Row],[Código]],Produtos!$B$6:$G$66,6,0)</f>
        <v>39.9</v>
      </c>
      <c r="G69" s="70" cm="1">
        <f t="array" ref="G69">INDEX(Desc_TabelaToda,MATCH(TB_Vendas[[#This Row],[Qtd]],Desc_Quantidades,1),MATCH(_xlfn.XLOOKUP(TB_Vendas[[#This Row],[Código]],TB_Produtos[[#All],[Código]],TB_Produtos[[#All],[Categoria]]),Desc_Categorias,0))</f>
        <v>0.15</v>
      </c>
      <c r="H69" s="8">
        <f>TB_Vendas[[#This Row],[Preço Unitário]]*TB_Vendas[[#This Row],[Qtd]]</f>
        <v>79.8</v>
      </c>
      <c r="I69" s="1" t="s">
        <v>130</v>
      </c>
    </row>
    <row r="70" spans="1:9" x14ac:dyDescent="0.3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>
        <f>VLOOKUP(TB_Vendas[[#This Row],[Código]],Produtos!$B$6:$G$66,6,0)</f>
        <v>54.9</v>
      </c>
      <c r="G70" s="70" cm="1">
        <f t="array" ref="G70">INDEX(Desc_TabelaToda,MATCH(TB_Vendas[[#This Row],[Qtd]],Desc_Quantidades,1),MATCH(_xlfn.XLOOKUP(TB_Vendas[[#This Row],[Código]],TB_Produtos[[#All],[Código]],TB_Produtos[[#All],[Categoria]]),Desc_Categorias,0))</f>
        <v>0.25</v>
      </c>
      <c r="H70" s="8">
        <f>TB_Vendas[[#This Row],[Preço Unitário]]*TB_Vendas[[#This Row],[Qtd]]</f>
        <v>384.3</v>
      </c>
      <c r="I70" s="1" t="s">
        <v>129</v>
      </c>
    </row>
    <row r="71" spans="1:9" x14ac:dyDescent="0.3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>
        <f>VLOOKUP(TB_Vendas[[#This Row],[Código]],Produtos!$B$6:$G$66,6,0)</f>
        <v>299.89999999999998</v>
      </c>
      <c r="G71" s="70" cm="1">
        <f t="array" ref="G71">INDEX(Desc_TabelaToda,MATCH(TB_Vendas[[#This Row],[Qtd]],Desc_Quantidades,1),MATCH(_xlfn.XLOOKUP(TB_Vendas[[#This Row],[Código]],TB_Produtos[[#All],[Código]],TB_Produtos[[#All],[Categoria]]),Desc_Categorias,0))</f>
        <v>0.2</v>
      </c>
      <c r="H71" s="8">
        <f>TB_Vendas[[#This Row],[Preço Unitário]]*TB_Vendas[[#This Row],[Qtd]]</f>
        <v>1199.5999999999999</v>
      </c>
      <c r="I71" s="1" t="s">
        <v>130</v>
      </c>
    </row>
    <row r="72" spans="1:9" x14ac:dyDescent="0.3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>
        <f>VLOOKUP(TB_Vendas[[#This Row],[Código]],Produtos!$B$6:$G$66,6,0)</f>
        <v>259.89999999999998</v>
      </c>
      <c r="G72" s="70" cm="1">
        <f t="array" ref="G72">INDEX(Desc_TabelaToda,MATCH(TB_Vendas[[#This Row],[Qtd]],Desc_Quantidades,1),MATCH(_xlfn.XLOOKUP(TB_Vendas[[#This Row],[Código]],TB_Produtos[[#All],[Código]],TB_Produtos[[#All],[Categoria]]),Desc_Categorias,0))</f>
        <v>0.2</v>
      </c>
      <c r="H72" s="8">
        <f>TB_Vendas[[#This Row],[Preço Unitário]]*TB_Vendas[[#This Row],[Qtd]]</f>
        <v>779.69999999999993</v>
      </c>
      <c r="I72" s="1" t="s">
        <v>129</v>
      </c>
    </row>
    <row r="73" spans="1:9" x14ac:dyDescent="0.3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>
        <f>VLOOKUP(TB_Vendas[[#This Row],[Código]],Produtos!$B$6:$G$66,6,0)</f>
        <v>72.5</v>
      </c>
      <c r="G73" s="70" cm="1">
        <f t="array" ref="G73">INDEX(Desc_TabelaToda,MATCH(TB_Vendas[[#This Row],[Qtd]],Desc_Quantidades,1),MATCH(_xlfn.XLOOKUP(TB_Vendas[[#This Row],[Código]],TB_Produtos[[#All],[Código]],TB_Produtos[[#All],[Categoria]]),Desc_Categorias,0))</f>
        <v>0.25</v>
      </c>
      <c r="H73" s="8">
        <f>TB_Vendas[[#This Row],[Preço Unitário]]*TB_Vendas[[#This Row],[Qtd]]</f>
        <v>652.5</v>
      </c>
      <c r="I73" s="1" t="s">
        <v>128</v>
      </c>
    </row>
    <row r="74" spans="1:9" x14ac:dyDescent="0.3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>
        <f>VLOOKUP(TB_Vendas[[#This Row],[Código]],Produtos!$B$6:$G$66,6,0)</f>
        <v>300</v>
      </c>
      <c r="G74" s="70" cm="1">
        <f t="array" ref="G74">INDEX(Desc_TabelaToda,MATCH(TB_Vendas[[#This Row],[Qtd]],Desc_Quantidades,1),MATCH(_xlfn.XLOOKUP(TB_Vendas[[#This Row],[Código]],TB_Produtos[[#All],[Código]],TB_Produtos[[#All],[Categoria]]),Desc_Categorias,0))</f>
        <v>0.2</v>
      </c>
      <c r="H74" s="8">
        <f>TB_Vendas[[#This Row],[Preço Unitário]]*TB_Vendas[[#This Row],[Qtd]]</f>
        <v>1200</v>
      </c>
      <c r="I74" s="1" t="s">
        <v>130</v>
      </c>
    </row>
    <row r="75" spans="1:9" x14ac:dyDescent="0.3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>
        <f>VLOOKUP(TB_Vendas[[#This Row],[Código]],Produtos!$B$6:$G$66,6,0)</f>
        <v>65.900000000000006</v>
      </c>
      <c r="G75" s="70" cm="1">
        <f t="array" ref="G75">INDEX(Desc_TabelaToda,MATCH(TB_Vendas[[#This Row],[Qtd]],Desc_Quantidades,1),MATCH(_xlfn.XLOOKUP(TB_Vendas[[#This Row],[Código]],TB_Produtos[[#All],[Código]],TB_Produtos[[#All],[Categoria]]),Desc_Categorias,0))</f>
        <v>0.25</v>
      </c>
      <c r="H75" s="8">
        <f>TB_Vendas[[#This Row],[Preço Unitário]]*TB_Vendas[[#This Row],[Qtd]]</f>
        <v>593.1</v>
      </c>
      <c r="I75" s="1" t="s">
        <v>130</v>
      </c>
    </row>
    <row r="76" spans="1:9" x14ac:dyDescent="0.3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>
        <f>VLOOKUP(TB_Vendas[[#This Row],[Código]],Produtos!$B$6:$G$66,6,0)</f>
        <v>92.9</v>
      </c>
      <c r="G76" s="70" cm="1">
        <f t="array" ref="G76">INDEX(Desc_TabelaToda,MATCH(TB_Vendas[[#This Row],[Qtd]],Desc_Quantidades,1),MATCH(_xlfn.XLOOKUP(TB_Vendas[[#This Row],[Código]],TB_Produtos[[#All],[Código]],TB_Produtos[[#All],[Categoria]]),Desc_Categorias,0))</f>
        <v>0.3</v>
      </c>
      <c r="H76" s="8">
        <f>TB_Vendas[[#This Row],[Preço Unitário]]*TB_Vendas[[#This Row],[Qtd]]</f>
        <v>929</v>
      </c>
      <c r="I76" s="1" t="s">
        <v>130</v>
      </c>
    </row>
    <row r="77" spans="1:9" x14ac:dyDescent="0.3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>
        <f>VLOOKUP(TB_Vendas[[#This Row],[Código]],Produtos!$B$6:$G$66,6,0)</f>
        <v>89.9</v>
      </c>
      <c r="G77" s="70" cm="1">
        <f t="array" ref="G77">INDEX(Desc_TabelaToda,MATCH(TB_Vendas[[#This Row],[Qtd]],Desc_Quantidades,1),MATCH(_xlfn.XLOOKUP(TB_Vendas[[#This Row],[Código]],TB_Produtos[[#All],[Código]],TB_Produtos[[#All],[Categoria]]),Desc_Categorias,0))</f>
        <v>0</v>
      </c>
      <c r="H77" s="8">
        <f>TB_Vendas[[#This Row],[Preço Unitário]]*TB_Vendas[[#This Row],[Qtd]]</f>
        <v>89.9</v>
      </c>
      <c r="I77" s="1" t="s">
        <v>128</v>
      </c>
    </row>
    <row r="78" spans="1:9" x14ac:dyDescent="0.3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>
        <f>VLOOKUP(TB_Vendas[[#This Row],[Código]],Produtos!$B$6:$G$66,6,0)</f>
        <v>49.9</v>
      </c>
      <c r="G78" s="70" cm="1">
        <f t="array" ref="G78">INDEX(Desc_TabelaToda,MATCH(TB_Vendas[[#This Row],[Qtd]],Desc_Quantidades,1),MATCH(_xlfn.XLOOKUP(TB_Vendas[[#This Row],[Código]],TB_Produtos[[#All],[Código]],TB_Produtos[[#All],[Categoria]]),Desc_Categorias,0))</f>
        <v>0.15</v>
      </c>
      <c r="H78" s="8">
        <f>TB_Vendas[[#This Row],[Preço Unitário]]*TB_Vendas[[#This Row],[Qtd]]</f>
        <v>99.8</v>
      </c>
      <c r="I78" s="1" t="s">
        <v>128</v>
      </c>
    </row>
    <row r="79" spans="1:9" x14ac:dyDescent="0.3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>
        <f>VLOOKUP(TB_Vendas[[#This Row],[Código]],Produtos!$B$6:$G$66,6,0)</f>
        <v>70</v>
      </c>
      <c r="G79" s="70" cm="1">
        <f t="array" ref="G79">INDEX(Desc_TabelaToda,MATCH(TB_Vendas[[#This Row],[Qtd]],Desc_Quantidades,1),MATCH(_xlfn.XLOOKUP(TB_Vendas[[#This Row],[Código]],TB_Produtos[[#All],[Código]],TB_Produtos[[#All],[Categoria]]),Desc_Categorias,0))</f>
        <v>0.25</v>
      </c>
      <c r="H79" s="8">
        <f>TB_Vendas[[#This Row],[Preço Unitário]]*TB_Vendas[[#This Row],[Qtd]]</f>
        <v>560</v>
      </c>
      <c r="I79" s="1" t="s">
        <v>127</v>
      </c>
    </row>
    <row r="80" spans="1:9" x14ac:dyDescent="0.3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>
        <f>VLOOKUP(TB_Vendas[[#This Row],[Código]],Produtos!$B$6:$G$66,6,0)</f>
        <v>46.9</v>
      </c>
      <c r="G80" s="70" cm="1">
        <f t="array" ref="G80">INDEX(Desc_TabelaToda,MATCH(TB_Vendas[[#This Row],[Qtd]],Desc_Quantidades,1),MATCH(_xlfn.XLOOKUP(TB_Vendas[[#This Row],[Código]],TB_Produtos[[#All],[Código]],TB_Produtos[[#All],[Categoria]]),Desc_Categorias,0))</f>
        <v>0.25</v>
      </c>
      <c r="H80" s="8">
        <f>TB_Vendas[[#This Row],[Preço Unitário]]*TB_Vendas[[#This Row],[Qtd]]</f>
        <v>234.5</v>
      </c>
      <c r="I80" s="1" t="s">
        <v>128</v>
      </c>
    </row>
    <row r="81" spans="1:9" x14ac:dyDescent="0.3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>
        <f>VLOOKUP(TB_Vendas[[#This Row],[Código]],Produtos!$B$6:$G$66,6,0)</f>
        <v>289.89999999999998</v>
      </c>
      <c r="G81" s="70" cm="1">
        <f t="array" ref="G81">INDEX(Desc_TabelaToda,MATCH(TB_Vendas[[#This Row],[Qtd]],Desc_Quantidades,1),MATCH(_xlfn.XLOOKUP(TB_Vendas[[#This Row],[Código]],TB_Produtos[[#All],[Código]],TB_Produtos[[#All],[Categoria]]),Desc_Categorias,0))</f>
        <v>0.3</v>
      </c>
      <c r="H81" s="8">
        <f>TB_Vendas[[#This Row],[Preço Unitário]]*TB_Vendas[[#This Row],[Qtd]]</f>
        <v>2899</v>
      </c>
      <c r="I81" s="1" t="s">
        <v>127</v>
      </c>
    </row>
    <row r="82" spans="1:9" x14ac:dyDescent="0.3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>
        <f>VLOOKUP(TB_Vendas[[#This Row],[Código]],Produtos!$B$6:$G$66,6,0)</f>
        <v>42.5</v>
      </c>
      <c r="G82" s="70" cm="1">
        <f t="array" ref="G82">INDEX(Desc_TabelaToda,MATCH(TB_Vendas[[#This Row],[Qtd]],Desc_Quantidades,1),MATCH(_xlfn.XLOOKUP(TB_Vendas[[#This Row],[Código]],TB_Produtos[[#All],[Código]],TB_Produtos[[#All],[Categoria]]),Desc_Categorias,0))</f>
        <v>0.1</v>
      </c>
      <c r="H82" s="8">
        <f>TB_Vendas[[#This Row],[Preço Unitário]]*TB_Vendas[[#This Row],[Qtd]]</f>
        <v>42.5</v>
      </c>
      <c r="I82" s="1" t="s">
        <v>128</v>
      </c>
    </row>
    <row r="83" spans="1:9" x14ac:dyDescent="0.3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>
        <f>VLOOKUP(TB_Vendas[[#This Row],[Código]],Produtos!$B$6:$G$66,6,0)</f>
        <v>89.9</v>
      </c>
      <c r="G83" s="70" cm="1">
        <f t="array" ref="G83">INDEX(Desc_TabelaToda,MATCH(TB_Vendas[[#This Row],[Qtd]],Desc_Quantidades,1),MATCH(_xlfn.XLOOKUP(TB_Vendas[[#This Row],[Código]],TB_Produtos[[#All],[Código]],TB_Produtos[[#All],[Categoria]]),Desc_Categorias,0))</f>
        <v>0.1</v>
      </c>
      <c r="H83" s="8">
        <f>TB_Vendas[[#This Row],[Preço Unitário]]*TB_Vendas[[#This Row],[Qtd]]</f>
        <v>179.8</v>
      </c>
      <c r="I83" s="1" t="s">
        <v>127</v>
      </c>
    </row>
    <row r="84" spans="1:9" x14ac:dyDescent="0.3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>
        <f>VLOOKUP(TB_Vendas[[#This Row],[Código]],Produtos!$B$6:$G$66,6,0)</f>
        <v>255</v>
      </c>
      <c r="G84" s="70" cm="1">
        <f t="array" ref="G84">INDEX(Desc_TabelaToda,MATCH(TB_Vendas[[#This Row],[Qtd]],Desc_Quantidades,1),MATCH(_xlfn.XLOOKUP(TB_Vendas[[#This Row],[Código]],TB_Produtos[[#All],[Código]],TB_Produtos[[#All],[Categoria]]),Desc_Categorias,0))</f>
        <v>0.15</v>
      </c>
      <c r="H84" s="8">
        <f>TB_Vendas[[#This Row],[Preço Unitário]]*TB_Vendas[[#This Row],[Qtd]]</f>
        <v>765</v>
      </c>
      <c r="I84" s="1" t="s">
        <v>126</v>
      </c>
    </row>
    <row r="85" spans="1:9" x14ac:dyDescent="0.3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>
        <f>VLOOKUP(TB_Vendas[[#This Row],[Código]],Produtos!$B$6:$G$66,6,0)</f>
        <v>42.5</v>
      </c>
      <c r="G85" s="70" cm="1">
        <f t="array" ref="G85">INDEX(Desc_TabelaToda,MATCH(TB_Vendas[[#This Row],[Qtd]],Desc_Quantidades,1),MATCH(_xlfn.XLOOKUP(TB_Vendas[[#This Row],[Código]],TB_Produtos[[#All],[Código]],TB_Produtos[[#All],[Categoria]]),Desc_Categorias,0))</f>
        <v>0.25</v>
      </c>
      <c r="H85" s="8">
        <f>TB_Vendas[[#This Row],[Preço Unitário]]*TB_Vendas[[#This Row],[Qtd]]</f>
        <v>255</v>
      </c>
      <c r="I85" s="1" t="s">
        <v>129</v>
      </c>
    </row>
    <row r="86" spans="1:9" x14ac:dyDescent="0.3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>
        <f>VLOOKUP(TB_Vendas[[#This Row],[Código]],Produtos!$B$6:$G$66,6,0)</f>
        <v>39.9</v>
      </c>
      <c r="G86" s="70" cm="1">
        <f t="array" ref="G86">INDEX(Desc_TabelaToda,MATCH(TB_Vendas[[#This Row],[Qtd]],Desc_Quantidades,1),MATCH(_xlfn.XLOOKUP(TB_Vendas[[#This Row],[Código]],TB_Produtos[[#All],[Código]],TB_Produtos[[#All],[Categoria]]),Desc_Categorias,0))</f>
        <v>0.25</v>
      </c>
      <c r="H86" s="8">
        <f>TB_Vendas[[#This Row],[Preço Unitário]]*TB_Vendas[[#This Row],[Qtd]]</f>
        <v>319.2</v>
      </c>
      <c r="I86" s="1" t="s">
        <v>127</v>
      </c>
    </row>
  </sheetData>
  <phoneticPr fontId="12" type="noConversion"/>
  <conditionalFormatting sqref="E4:G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30" zoomScaleNormal="130" workbookViewId="0">
      <selection activeCell="D13" sqref="D13"/>
    </sheetView>
  </sheetViews>
  <sheetFormatPr defaultColWidth="8.88671875" defaultRowHeight="14.4" zeroHeight="1" x14ac:dyDescent="0.3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40" customFormat="1" ht="40.200000000000003" customHeight="1" x14ac:dyDescent="0.85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 x14ac:dyDescent="0.4">
      <c r="A2" s="44"/>
      <c r="B2" s="44"/>
      <c r="C2" s="44"/>
      <c r="D2" s="44"/>
      <c r="E2" s="44"/>
      <c r="F2" s="44"/>
    </row>
    <row r="3" spans="1:9" ht="4.5" customHeight="1" x14ac:dyDescent="0.4">
      <c r="A3" s="42"/>
      <c r="B3" s="42"/>
      <c r="C3" s="42"/>
      <c r="D3" s="42"/>
      <c r="E3" s="42"/>
      <c r="F3" s="42"/>
    </row>
    <row r="4" spans="1:9" ht="23.25" customHeight="1" x14ac:dyDescent="0.4">
      <c r="A4" s="42"/>
      <c r="B4" s="87" t="s">
        <v>154</v>
      </c>
      <c r="C4" s="87"/>
      <c r="D4" s="42"/>
      <c r="E4" s="87" t="s">
        <v>161</v>
      </c>
      <c r="F4" s="87"/>
    </row>
    <row r="5" spans="1:9" ht="5.25" customHeight="1" thickBot="1" x14ac:dyDescent="0.35"/>
    <row r="6" spans="1:9" ht="24.6" customHeight="1" thickBot="1" x14ac:dyDescent="0.55000000000000004">
      <c r="B6" s="72" t="s">
        <v>155</v>
      </c>
      <c r="C6" s="71" t="s">
        <v>115</v>
      </c>
      <c r="E6" s="72" t="s">
        <v>160</v>
      </c>
      <c r="F6" s="76">
        <v>44949</v>
      </c>
    </row>
    <row r="7" spans="1:9" ht="24.6" customHeight="1" thickTop="1" thickBot="1" x14ac:dyDescent="0.55000000000000004">
      <c r="B7" s="72" t="s">
        <v>156</v>
      </c>
      <c r="C7" s="50" t="str">
        <f>IFERROR(VLOOKUP(C6,TB_Produtos[#All],2,FALSE),"")</f>
        <v>Sandália Rasteira</v>
      </c>
      <c r="E7" s="72" t="s">
        <v>163</v>
      </c>
      <c r="F7" s="50" t="str">
        <f>_xlfn.XLOOKUP(WEEKDAY(F6),'Cadastros Auxiliares'!$B$4:$I$4,'Cadastros Auxiliares'!$B$5:$I$5,"")</f>
        <v>Segunda-feira</v>
      </c>
      <c r="G7" s="49"/>
    </row>
    <row r="8" spans="1:9" ht="24.6" customHeight="1" thickTop="1" thickBot="1" x14ac:dyDescent="0.45">
      <c r="B8" s="73" t="s">
        <v>157</v>
      </c>
      <c r="C8" s="48" cm="1">
        <f t="array" ref="C8">_xlfn.XLOOKUP(C6,TB_Produtos[[#All],[Código]],TB_Produtos[[#All],[Tamanho]],"")</f>
        <v>35</v>
      </c>
      <c r="E8" s="73" t="s">
        <v>164</v>
      </c>
      <c r="F8" s="77">
        <f>SUMIF(TB_Vendas[[#All],[Data]],Consultas!$F$6,TB_Vendas[[#All],[Total]])</f>
        <v>146</v>
      </c>
      <c r="G8" s="49"/>
    </row>
    <row r="9" spans="1:9" ht="24.6" customHeight="1" thickTop="1" thickBot="1" x14ac:dyDescent="0.45">
      <c r="B9" s="74" t="s">
        <v>158</v>
      </c>
      <c r="C9" s="48" t="str">
        <f>IFERROR(VLOOKUP($C$6,Produtos!$B$6:$G$66,4,0),"")</f>
        <v>Calçado</v>
      </c>
      <c r="E9" s="75" t="s">
        <v>162</v>
      </c>
      <c r="F9" s="51">
        <f>SUMIF(TB_Vendas[[#All],[Data]],Consultas!$F$6,TB_Vendas[[#All],[Qtd]])</f>
        <v>1</v>
      </c>
      <c r="G9" s="49"/>
    </row>
    <row r="10" spans="1:9" ht="24.6" customHeight="1" thickTop="1" thickBot="1" x14ac:dyDescent="0.45">
      <c r="B10" s="74" t="s">
        <v>165</v>
      </c>
      <c r="C10" s="77">
        <f>_xlfn.XLOOKUP($C$6,Produtos!$B$6:$B$66,Produtos!$G$6:$G$66,"")</f>
        <v>89.9</v>
      </c>
      <c r="G10" s="49"/>
    </row>
    <row r="11" spans="1:9" ht="24.6" customHeight="1" thickTop="1" thickBot="1" x14ac:dyDescent="0.45">
      <c r="B11" s="73" t="s">
        <v>159</v>
      </c>
      <c r="C11" s="48" cm="1">
        <f t="array" ref="C11">_xlfn.XLOOKUP($C$6,TB_Produtos[[#All],[Código]],TB_Produtos[[#All],[Estoque]],"")</f>
        <v>48</v>
      </c>
      <c r="G11" s="49"/>
    </row>
    <row r="12" spans="1:9" ht="22.8" thickTop="1" thickBot="1" x14ac:dyDescent="0.45">
      <c r="B12" s="74" t="s">
        <v>166</v>
      </c>
      <c r="C12" s="48" t="str" cm="1">
        <f t="array" ref="C12">_xlfn.IFS(C11=0,"Estoque Zerado",C11&gt;=C13,"Estoque OK",1,"Rever Estoque")</f>
        <v>Estoque OK</v>
      </c>
      <c r="E12" s="78"/>
    </row>
    <row r="13" spans="1:9" ht="24.6" thickTop="1" thickBot="1" x14ac:dyDescent="0.5">
      <c r="B13" s="75" t="s">
        <v>168</v>
      </c>
      <c r="C13" s="83">
        <f>_xlfn.XLOOKUP(C9,'Cadastros Auxiliares'!G9:G11,'Cadastros Auxiliares'!H9:H11)</f>
        <v>15</v>
      </c>
      <c r="E13" s="79"/>
    </row>
    <row r="14" spans="1:9" x14ac:dyDescent="0.3"/>
    <row r="15" spans="1:9" x14ac:dyDescent="0.3"/>
    <row r="16" spans="1:9" x14ac:dyDescent="0.3"/>
    <row r="17" x14ac:dyDescent="0.3"/>
    <row r="18" x14ac:dyDescent="0.3"/>
    <row r="19" x14ac:dyDescent="0.3"/>
    <row r="20" x14ac:dyDescent="0.3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topLeftCell="A2" workbookViewId="0">
      <selection activeCell="F17" sqref="F17"/>
    </sheetView>
  </sheetViews>
  <sheetFormatPr defaultRowHeight="14.4" x14ac:dyDescent="0.3"/>
  <cols>
    <col min="1" max="1" width="8" customWidth="1"/>
    <col min="2" max="2" width="30.88671875" customWidth="1"/>
    <col min="3" max="9" width="17.44140625" customWidth="1"/>
  </cols>
  <sheetData>
    <row r="1" spans="2:10" s="40" customFormat="1" ht="40.200000000000003" customHeight="1" x14ac:dyDescent="0.3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 x14ac:dyDescent="0.4">
      <c r="B2" s="44"/>
      <c r="C2" s="44"/>
      <c r="D2" s="44"/>
      <c r="E2" s="44"/>
      <c r="F2" s="44"/>
      <c r="G2" s="44"/>
    </row>
    <row r="3" spans="2:10" ht="4.5" customHeight="1" thickBot="1" x14ac:dyDescent="0.45">
      <c r="B3" s="42"/>
      <c r="C3" s="42"/>
      <c r="D3" s="42"/>
      <c r="E3" s="42"/>
      <c r="F3" s="42"/>
      <c r="G3" s="42"/>
    </row>
    <row r="4" spans="2:10" ht="22.2" thickBot="1" x14ac:dyDescent="0.55000000000000004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2" thickBot="1" x14ac:dyDescent="0.35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" thickBot="1" x14ac:dyDescent="0.35"/>
    <row r="8" spans="2:10" ht="43.8" thickBot="1" x14ac:dyDescent="0.35">
      <c r="B8" s="60" t="s">
        <v>153</v>
      </c>
      <c r="C8" s="61" t="s">
        <v>13</v>
      </c>
      <c r="D8" s="61" t="s">
        <v>12</v>
      </c>
      <c r="E8" s="61" t="s">
        <v>14</v>
      </c>
      <c r="G8" s="80" t="s">
        <v>10</v>
      </c>
      <c r="H8" s="81" t="s">
        <v>167</v>
      </c>
    </row>
    <row r="9" spans="2:10" ht="17.399999999999999" thickBot="1" x14ac:dyDescent="0.35">
      <c r="B9" s="55">
        <v>1</v>
      </c>
      <c r="C9" s="59">
        <v>0</v>
      </c>
      <c r="D9" s="59">
        <v>0.1</v>
      </c>
      <c r="E9" s="62">
        <v>0</v>
      </c>
      <c r="G9" s="55" t="s">
        <v>13</v>
      </c>
      <c r="H9" s="82">
        <v>5</v>
      </c>
    </row>
    <row r="10" spans="2:10" ht="17.399999999999999" thickBot="1" x14ac:dyDescent="0.35">
      <c r="B10" s="55">
        <v>2</v>
      </c>
      <c r="C10" s="59">
        <v>0.05</v>
      </c>
      <c r="D10" s="59">
        <v>0.15</v>
      </c>
      <c r="E10" s="62">
        <v>0.1</v>
      </c>
      <c r="G10" s="55" t="s">
        <v>12</v>
      </c>
      <c r="H10" s="82">
        <v>10</v>
      </c>
    </row>
    <row r="11" spans="2:10" ht="17.399999999999999" thickBot="1" x14ac:dyDescent="0.35">
      <c r="B11" s="55">
        <v>3</v>
      </c>
      <c r="C11" s="59">
        <v>0.15</v>
      </c>
      <c r="D11" s="59">
        <v>0.2</v>
      </c>
      <c r="E11" s="62">
        <v>0.15</v>
      </c>
      <c r="G11" s="55" t="s">
        <v>14</v>
      </c>
      <c r="H11" s="82">
        <v>15</v>
      </c>
    </row>
    <row r="12" spans="2:10" ht="17.399999999999999" thickBot="1" x14ac:dyDescent="0.35">
      <c r="B12" s="55">
        <v>5</v>
      </c>
      <c r="C12" s="59">
        <v>0.25</v>
      </c>
      <c r="D12" s="59">
        <v>0.25</v>
      </c>
      <c r="E12" s="62">
        <v>0.25</v>
      </c>
    </row>
    <row r="13" spans="2:10" ht="17.399999999999999" thickBot="1" x14ac:dyDescent="0.35">
      <c r="B13" s="55">
        <v>10</v>
      </c>
      <c r="C13" s="59">
        <v>0.3</v>
      </c>
      <c r="D13" s="59">
        <v>0.3</v>
      </c>
      <c r="E13" s="62">
        <v>0.3</v>
      </c>
      <c r="G13" s="69"/>
    </row>
    <row r="15" spans="2:10" ht="23.4" x14ac:dyDescent="0.45">
      <c r="B15" s="79"/>
      <c r="C15" s="79"/>
      <c r="D15" s="79"/>
      <c r="E15" s="79"/>
      <c r="F15" s="79"/>
    </row>
    <row r="16" spans="2:10" ht="23.4" x14ac:dyDescent="0.45">
      <c r="B16" s="79"/>
      <c r="C16" s="79" t="s">
        <v>60</v>
      </c>
      <c r="D16" s="79"/>
      <c r="E16" s="79"/>
      <c r="F16" s="79" cm="1">
        <f t="array" ref="F16">MATCH(_xlfn.XLOOKUP(C16,TB_Produtos[[#All],[Código]],TB_Produtos[[#All],[Categoria]]),Desc_Categorias,0)</f>
        <v>4</v>
      </c>
      <c r="G16" t="s">
        <v>170</v>
      </c>
    </row>
    <row r="17" spans="2:7" ht="23.4" x14ac:dyDescent="0.45">
      <c r="B17" s="79"/>
      <c r="C17" s="79">
        <v>4</v>
      </c>
      <c r="D17" s="84">
        <f>VLOOKUP(C17,B9:E13,MATCH(C18,B8:E8,0),TRUE)</f>
        <v>0.15</v>
      </c>
      <c r="E17" s="79"/>
      <c r="F17" s="79">
        <f>MATCH(C17,B8:B13,1)</f>
        <v>4</v>
      </c>
      <c r="G17" t="s">
        <v>169</v>
      </c>
    </row>
    <row r="18" spans="2:7" ht="23.4" x14ac:dyDescent="0.45">
      <c r="B18" s="79"/>
      <c r="C18" s="79" t="str" cm="1">
        <f t="array" ref="C18">_xlfn.XLOOKUP(C16,TB_Produtos[[#All],[Código]],TB_Produtos[[#All],[Categoria]])</f>
        <v>Calçado</v>
      </c>
      <c r="D18" s="79"/>
      <c r="E18" s="79"/>
      <c r="F18" s="84">
        <f>INDEX(B8:E13,MATCH(C17,B8:B13,1),MATCH(C18,B8:E8,0))</f>
        <v>0.15</v>
      </c>
    </row>
    <row r="19" spans="2:7" ht="23.4" x14ac:dyDescent="0.45">
      <c r="B19" s="79"/>
      <c r="C19" s="79"/>
      <c r="D19" s="79"/>
      <c r="E19" s="79"/>
      <c r="F19" s="79"/>
    </row>
    <row r="20" spans="2:7" ht="23.4" x14ac:dyDescent="0.45">
      <c r="B20" s="79"/>
      <c r="C20" s="79"/>
      <c r="D20" s="79"/>
      <c r="E20" s="79"/>
      <c r="F20" s="79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 x14ac:dyDescent="0.3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4" customFormat="1" x14ac:dyDescent="0.3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 x14ac:dyDescent="0.3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 x14ac:dyDescent="0.3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" thickBot="1" x14ac:dyDescent="0.35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 x14ac:dyDescent="0.3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 x14ac:dyDescent="0.3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" thickBot="1" x14ac:dyDescent="0.35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 x14ac:dyDescent="0.3">
      <c r="I11" s="30"/>
      <c r="J11" s="30"/>
      <c r="K11" s="30"/>
      <c r="L11" s="30"/>
    </row>
    <row r="12" spans="1:12" x14ac:dyDescent="0.3">
      <c r="J12" s="31"/>
      <c r="K12" s="32"/>
      <c r="L12" s="8"/>
    </row>
    <row r="13" spans="1:12" x14ac:dyDescent="0.3">
      <c r="J13" s="31"/>
      <c r="K13" s="32"/>
      <c r="L13" s="8"/>
    </row>
    <row r="14" spans="1:12" x14ac:dyDescent="0.3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 x14ac:dyDescent="0.4"/>
  <cols>
    <col min="1" max="16384" width="2" style="12"/>
  </cols>
  <sheetData>
    <row r="1" spans="3:80" ht="9.75" customHeight="1" thickBot="1" x14ac:dyDescent="0.45"/>
    <row r="2" spans="3:80" ht="9.75" customHeight="1" x14ac:dyDescent="0.4">
      <c r="W2" s="88" t="s">
        <v>78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90"/>
      <c r="AQ2" s="88" t="s">
        <v>79</v>
      </c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90"/>
      <c r="BK2" s="88" t="s">
        <v>80</v>
      </c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90"/>
    </row>
    <row r="3" spans="3:80" ht="9.75" customHeight="1" thickBot="1" x14ac:dyDescent="0.45">
      <c r="W3" s="91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3"/>
      <c r="AQ3" s="91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K3" s="91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3"/>
    </row>
    <row r="4" spans="3:80" ht="9.75" customHeight="1" x14ac:dyDescent="0.4">
      <c r="W4" s="94">
        <f>COUNTA(TB_Produtos[Código])</f>
        <v>60</v>
      </c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6"/>
      <c r="AQ4" s="94">
        <f>SUM(TB_Vendas[Qtd])</f>
        <v>250</v>
      </c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6"/>
      <c r="BK4" s="103">
        <f>SUM(TB_Vendas[Total])</f>
        <v>33304.799999999988</v>
      </c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5"/>
    </row>
    <row r="5" spans="3:80" ht="9.75" customHeight="1" x14ac:dyDescent="0.4">
      <c r="W5" s="97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Q5" s="97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9"/>
      <c r="BK5" s="106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8"/>
    </row>
    <row r="6" spans="3:80" ht="9.75" customHeight="1" x14ac:dyDescent="0.4">
      <c r="W6" s="97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Q6" s="97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9"/>
      <c r="BK6" s="106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8"/>
    </row>
    <row r="7" spans="3:80" ht="9.75" customHeight="1" thickBot="1" x14ac:dyDescent="0.45">
      <c r="W7" s="100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Q7" s="100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2"/>
      <c r="BK7" s="109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1"/>
    </row>
    <row r="8" spans="3:80" ht="9.75" customHeight="1" thickBot="1" x14ac:dyDescent="0.45"/>
    <row r="9" spans="3:80" ht="9.75" customHeight="1" x14ac:dyDescent="0.4">
      <c r="C9" s="88" t="s">
        <v>81</v>
      </c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90"/>
    </row>
    <row r="10" spans="3:80" ht="9.75" customHeight="1" thickBot="1" x14ac:dyDescent="0.45">
      <c r="C10" s="91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3"/>
    </row>
    <row r="11" spans="3:80" ht="9.75" customHeight="1" x14ac:dyDescent="0.4">
      <c r="C11" s="112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4"/>
    </row>
    <row r="12" spans="3:80" ht="9.75" customHeight="1" x14ac:dyDescent="0.4">
      <c r="C12" s="115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7"/>
    </row>
    <row r="13" spans="3:80" ht="9.75" customHeight="1" x14ac:dyDescent="0.4"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7"/>
    </row>
    <row r="14" spans="3:80" ht="9.75" customHeight="1" x14ac:dyDescent="0.4">
      <c r="C14" s="115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7"/>
    </row>
    <row r="15" spans="3:80" ht="9.75" customHeight="1" x14ac:dyDescent="0.4">
      <c r="C15" s="115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7"/>
    </row>
    <row r="16" spans="3:80" ht="9.75" customHeight="1" x14ac:dyDescent="0.4">
      <c r="C16" s="115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7"/>
    </row>
    <row r="17" spans="3:80" ht="9.75" customHeight="1" x14ac:dyDescent="0.4">
      <c r="C17" s="115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7"/>
    </row>
    <row r="18" spans="3:80" ht="9.75" customHeight="1" x14ac:dyDescent="0.4">
      <c r="C18" s="115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7"/>
    </row>
    <row r="19" spans="3:80" ht="9.75" customHeight="1" x14ac:dyDescent="0.4">
      <c r="C19" s="115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7"/>
    </row>
    <row r="20" spans="3:80" ht="9.75" customHeight="1" x14ac:dyDescent="0.4">
      <c r="C20" s="115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7"/>
    </row>
    <row r="21" spans="3:80" ht="9.75" customHeight="1" x14ac:dyDescent="0.4">
      <c r="C21" s="115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7"/>
    </row>
    <row r="22" spans="3:80" ht="9.75" customHeight="1" x14ac:dyDescent="0.4">
      <c r="C22" s="115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7"/>
    </row>
    <row r="23" spans="3:80" ht="9.75" customHeight="1" x14ac:dyDescent="0.4">
      <c r="C23" s="115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7"/>
    </row>
    <row r="24" spans="3:80" ht="9.75" customHeight="1" thickBot="1" x14ac:dyDescent="0.45"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20"/>
    </row>
    <row r="25" spans="3:80" ht="9.75" customHeight="1" thickBot="1" x14ac:dyDescent="0.45"/>
    <row r="26" spans="3:80" ht="9.75" customHeight="1" x14ac:dyDescent="0.55000000000000004">
      <c r="C26" s="88" t="s">
        <v>82</v>
      </c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90"/>
      <c r="AO26" s="13"/>
      <c r="AP26" s="13"/>
      <c r="AQ26" s="88" t="s">
        <v>83</v>
      </c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90"/>
    </row>
    <row r="27" spans="3:80" ht="9.75" customHeight="1" thickBot="1" x14ac:dyDescent="0.6"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3"/>
      <c r="AO27" s="13"/>
      <c r="AP27" s="13"/>
      <c r="AQ27" s="91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3"/>
    </row>
    <row r="28" spans="3:80" ht="9.75" customHeight="1" x14ac:dyDescent="0.4">
      <c r="C28" s="112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4"/>
      <c r="AQ28" s="112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4"/>
    </row>
    <row r="29" spans="3:80" ht="9.75" customHeight="1" x14ac:dyDescent="0.4"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7"/>
      <c r="AQ29" s="115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7"/>
    </row>
    <row r="30" spans="3:80" ht="9.75" customHeight="1" x14ac:dyDescent="0.4"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7"/>
      <c r="AQ30" s="115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7"/>
    </row>
    <row r="31" spans="3:80" ht="9.75" customHeight="1" x14ac:dyDescent="0.4"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7"/>
      <c r="AQ31" s="115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7"/>
    </row>
    <row r="32" spans="3:80" ht="9.75" customHeight="1" x14ac:dyDescent="0.4"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7"/>
      <c r="AQ32" s="115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7"/>
    </row>
    <row r="33" spans="3:80" ht="9.75" customHeight="1" x14ac:dyDescent="0.4"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7"/>
      <c r="AQ33" s="115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7"/>
    </row>
    <row r="34" spans="3:80" ht="9.75" customHeight="1" x14ac:dyDescent="0.4"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7"/>
      <c r="AQ34" s="115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7"/>
    </row>
    <row r="35" spans="3:80" ht="9.75" customHeight="1" x14ac:dyDescent="0.4"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7"/>
      <c r="AQ35" s="115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7"/>
    </row>
    <row r="36" spans="3:80" ht="9.75" customHeight="1" x14ac:dyDescent="0.4"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7"/>
      <c r="AQ36" s="115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7"/>
    </row>
    <row r="37" spans="3:80" ht="9.75" customHeight="1" x14ac:dyDescent="0.4"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7"/>
      <c r="AQ37" s="115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6"/>
      <c r="BZ37" s="116"/>
      <c r="CA37" s="116"/>
      <c r="CB37" s="117"/>
    </row>
    <row r="38" spans="3:80" ht="9.75" customHeight="1" x14ac:dyDescent="0.4"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7"/>
      <c r="AQ38" s="115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116"/>
      <c r="BX38" s="116"/>
      <c r="BY38" s="116"/>
      <c r="BZ38" s="116"/>
      <c r="CA38" s="116"/>
      <c r="CB38" s="117"/>
    </row>
    <row r="39" spans="3:80" ht="9.75" customHeight="1" x14ac:dyDescent="0.4"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7"/>
      <c r="AQ39" s="115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U39" s="116"/>
      <c r="BV39" s="116"/>
      <c r="BW39" s="116"/>
      <c r="BX39" s="116"/>
      <c r="BY39" s="116"/>
      <c r="BZ39" s="116"/>
      <c r="CA39" s="116"/>
      <c r="CB39" s="117"/>
    </row>
    <row r="40" spans="3:80" ht="9.75" customHeight="1" x14ac:dyDescent="0.4">
      <c r="C40" s="115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7"/>
      <c r="AQ40" s="115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7"/>
    </row>
    <row r="41" spans="3:80" ht="9.75" customHeight="1" x14ac:dyDescent="0.4">
      <c r="C41" s="115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7"/>
      <c r="AQ41" s="115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116"/>
      <c r="BX41" s="116"/>
      <c r="BY41" s="116"/>
      <c r="BZ41" s="116"/>
      <c r="CA41" s="116"/>
      <c r="CB41" s="117"/>
    </row>
    <row r="42" spans="3:80" ht="9.75" customHeight="1" x14ac:dyDescent="0.4">
      <c r="C42" s="115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7"/>
      <c r="AQ42" s="115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6"/>
      <c r="BX42" s="116"/>
      <c r="BY42" s="116"/>
      <c r="BZ42" s="116"/>
      <c r="CA42" s="116"/>
      <c r="CB42" s="117"/>
    </row>
    <row r="43" spans="3:80" ht="9.75" customHeight="1" x14ac:dyDescent="0.4">
      <c r="C43" s="115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7"/>
      <c r="AQ43" s="115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116"/>
      <c r="BX43" s="116"/>
      <c r="BY43" s="116"/>
      <c r="BZ43" s="116"/>
      <c r="CA43" s="116"/>
      <c r="CB43" s="117"/>
    </row>
    <row r="44" spans="3:80" ht="9.75" customHeight="1" x14ac:dyDescent="0.4">
      <c r="C44" s="115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7"/>
      <c r="AQ44" s="115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6"/>
      <c r="BV44" s="116"/>
      <c r="BW44" s="116"/>
      <c r="BX44" s="116"/>
      <c r="BY44" s="116"/>
      <c r="BZ44" s="116"/>
      <c r="CA44" s="116"/>
      <c r="CB44" s="117"/>
    </row>
    <row r="45" spans="3:80" ht="9.75" customHeight="1" x14ac:dyDescent="0.4">
      <c r="C45" s="115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7"/>
      <c r="AQ45" s="115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  <c r="CB45" s="117"/>
    </row>
    <row r="46" spans="3:80" ht="9.75" customHeight="1" thickBot="1" x14ac:dyDescent="0.45">
      <c r="C46" s="118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20"/>
      <c r="AQ46" s="118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20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Distrito do Café</cp:lastModifiedBy>
  <cp:lastPrinted>2023-06-07T14:57:58Z</cp:lastPrinted>
  <dcterms:created xsi:type="dcterms:W3CDTF">2023-06-02T17:54:12Z</dcterms:created>
  <dcterms:modified xsi:type="dcterms:W3CDTF">2023-08-23T18:39:25Z</dcterms:modified>
</cp:coreProperties>
</file>