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ções" sheetId="1" r:id="rId3"/>
    <sheet state="visible" name="Identificação" sheetId="2" r:id="rId4"/>
    <sheet state="visible" name="Notas_Frequência" sheetId="3" r:id="rId5"/>
    <sheet state="visible" name="Parâmetros" sheetId="4" r:id="rId6"/>
    <sheet state="visible" name="BacklogPlanejado" sheetId="5" r:id="rId7"/>
    <sheet state="visible" name="BacklogRealizado" sheetId="6" r:id="rId8"/>
    <sheet state="visible" name="SprintPlanning" sheetId="7" r:id="rId9"/>
  </sheets>
  <definedNames>
    <definedName name="ano">'Identificação'!$B$4</definedName>
    <definedName name="formando">'Identificação'!$B$24</definedName>
    <definedName name="Orientador">'Identificação'!$B$25</definedName>
    <definedName name="Critério">'Parâmetros'!$D$3:$E$8</definedName>
    <definedName localSheetId="6" name="PBLStatus">SprintPlanning!$G$3:$G$31</definedName>
    <definedName localSheetId="6" name="PBLAssignedNames">SprintPlanning!$F$3:$F$31</definedName>
    <definedName name="Nota_Exec">'Parâmetros'!$D$3:$D$8</definedName>
    <definedName name="Agrupamento">'Identificação'!$B$11</definedName>
    <definedName name="hoje">'Identificação'!$B$2</definedName>
    <definedName name="disciplina">'Identificação'!$B$7</definedName>
    <definedName localSheetId="6" name="PBLExpectedHours">SprintPlanning!$E$3:$E$31</definedName>
    <definedName name="DiaSemana">'Identificação'!$B$26</definedName>
    <definedName localSheetId="4" name="PBLExpectedHours">BacklogPlanejado!$E$3:$E$28</definedName>
    <definedName name="alunos">'Notas_Frequência'!$A$17:$A$26</definedName>
    <definedName name="turno">'Identificação'!$B$10</definedName>
    <definedName name="curso">'Identificação'!$B$6</definedName>
    <definedName name="sprint">'Identificação'!$B$3</definedName>
    <definedName localSheetId="5" name="PBLAssignedNames">BacklogRealizado!$F$3:$F$20</definedName>
    <definedName name="Grupo">'Identificação'!$B$12</definedName>
    <definedName name="turma">'Identificação'!$B$9</definedName>
    <definedName localSheetId="5" name="PBLExpectedHours">BacklogRealizado!$E$3:$E$20</definedName>
    <definedName localSheetId="5" name="PBLStatus">BacklogRealizado!$G$3:$G$20</definedName>
    <definedName name="id_parametros">'Identificação'!$B$31</definedName>
    <definedName name="semestre_ano">'Identificação'!$B$5</definedName>
    <definedName localSheetId="4" name="PBLAssignedNames">BacklogPlanejado!$F$3:$F$28</definedName>
    <definedName name="Orientadores">'Parâmetros'!$G$3:$G$16</definedName>
    <definedName name="Semestre">'Identificação'!$B$8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4">
      <text>
        <t xml:space="preserve">Número de alunos atual</t>
      </text>
    </comment>
  </commentList>
</comments>
</file>

<file path=xl/sharedStrings.xml><?xml version="1.0" encoding="utf-8"?>
<sst xmlns="http://schemas.openxmlformats.org/spreadsheetml/2006/main" count="355" uniqueCount="237">
  <si>
    <t>Informação</t>
  </si>
  <si>
    <t>Valor</t>
  </si>
  <si>
    <t>Observações</t>
  </si>
  <si>
    <t>Data Avaliação:</t>
  </si>
  <si>
    <t>Data atual</t>
  </si>
  <si>
    <t>Sprint Atual:</t>
  </si>
  <si>
    <t>Número da Sprint atual</t>
  </si>
  <si>
    <t>Ano letivo:</t>
  </si>
  <si>
    <t>Ano letivo corrente</t>
  </si>
  <si>
    <t>Semestre letivo:</t>
  </si>
  <si>
    <t>Semestre letivo corrente</t>
  </si>
  <si>
    <t>Curso:</t>
  </si>
  <si>
    <t>ADS</t>
  </si>
  <si>
    <t>Código do Curso Principal</t>
  </si>
  <si>
    <t>Disciplina:</t>
  </si>
  <si>
    <t>Código da Disciplina</t>
  </si>
  <si>
    <t>Semestre Turma:</t>
  </si>
  <si>
    <t>Semestre da turma</t>
  </si>
  <si>
    <t>Turma:</t>
  </si>
  <si>
    <t>A</t>
  </si>
  <si>
    <t>Turma principal do grupo</t>
  </si>
  <si>
    <t>Turno:</t>
  </si>
  <si>
    <t>M</t>
  </si>
  <si>
    <r>
      <rPr>
        <rFont val="Calibri"/>
        <color rgb="FF000000"/>
        <sz val="10.0"/>
      </rPr>
      <t>Turno do curso (</t>
    </r>
    <r>
      <rPr>
        <rFont val="Calibri"/>
        <b/>
        <color rgb="FF000000"/>
        <sz val="10.0"/>
        <u/>
      </rPr>
      <t>N</t>
    </r>
    <r>
      <rPr>
        <rFont val="Calibri"/>
        <color rgb="FF000000"/>
        <sz val="10.0"/>
      </rPr>
      <t xml:space="preserve">oturno, </t>
    </r>
    <r>
      <rPr>
        <rFont val="Calibri"/>
        <b/>
        <color rgb="FF000000"/>
        <sz val="10.0"/>
        <u/>
      </rPr>
      <t>V</t>
    </r>
    <r>
      <rPr>
        <rFont val="Calibri"/>
        <color rgb="FF000000"/>
        <sz val="10.0"/>
      </rPr>
      <t xml:space="preserve">espertino, </t>
    </r>
    <r>
      <rPr>
        <rFont val="Calibri"/>
        <b/>
        <color rgb="FF000000"/>
        <sz val="10.0"/>
        <u/>
      </rPr>
      <t>M</t>
    </r>
    <r>
      <rPr>
        <rFont val="Calibri"/>
        <color rgb="FF000000"/>
        <sz val="10.0"/>
      </rPr>
      <t xml:space="preserve">atutino, </t>
    </r>
    <r>
      <rPr>
        <rFont val="Calibri"/>
        <b/>
        <color rgb="FF000000"/>
        <sz val="10.0"/>
        <u/>
      </rPr>
      <t>E</t>
    </r>
    <r>
      <rPr>
        <rFont val="Calibri"/>
        <color rgb="FF000000"/>
        <sz val="10.0"/>
      </rPr>
      <t>AD)</t>
    </r>
  </si>
  <si>
    <t>Semana de encontro:</t>
  </si>
  <si>
    <t>Semana que o grupo deve vir ao encontro (Agrupamento)</t>
  </si>
  <si>
    <t>Grupo:</t>
  </si>
  <si>
    <t>Devlicious</t>
  </si>
  <si>
    <t>Nome único identificador do grupo</t>
  </si>
  <si>
    <t>Grupo Antigo:</t>
  </si>
  <si>
    <t>D-DENS</t>
  </si>
  <si>
    <t>Nome antigo (com link para a planilha de gestão de projeto antiga)</t>
  </si>
  <si>
    <t>Link para Planilha de Gestão Antiga:</t>
  </si>
  <si>
    <t>link para a pasta onde ficava a planilha antiga (semestre anterior) de gestão do projeto (gerado pelo script)</t>
  </si>
  <si>
    <t>Cliente:</t>
  </si>
  <si>
    <t>Usuários de classe A-B, moradores da cidade de SP</t>
  </si>
  <si>
    <t>(*)</t>
  </si>
  <si>
    <t>Título:</t>
  </si>
  <si>
    <t>Presente! - Desenvolvimento de Marketplace web e mobile para delivery de presentes</t>
  </si>
  <si>
    <t>(*) Título que deve sumarizar o trabalho, e será utilizado no documento ou artigo</t>
  </si>
  <si>
    <t>Descrição do projeto:</t>
  </si>
  <si>
    <t>(*) Explicação resumida sobre o Trabalho ou projeto</t>
  </si>
  <si>
    <t>Observações:</t>
  </si>
  <si>
    <t>(*) Quaisquer observações ou sugestões</t>
  </si>
  <si>
    <t>Hyperlink do site:</t>
  </si>
  <si>
    <t>URL para o site do sistema em desenvolvimento do projeto, caso haja, de preferência no GitHub</t>
  </si>
  <si>
    <t>Nome deste arquivo:</t>
  </si>
  <si>
    <t>No google drive</t>
  </si>
  <si>
    <t>Link para Pasta de Projeto:</t>
  </si>
  <si>
    <t>(link para a pasta onde grupo pode gravar arquivos e artefatos de projetos, tais como requisitos e bases; gerado pelo script)</t>
  </si>
  <si>
    <t>Link para o Documento:</t>
  </si>
  <si>
    <t>(link para o artigo, para grupo gerar as versões; gerado pelo script)</t>
  </si>
  <si>
    <t>ID:</t>
  </si>
  <si>
    <t>Número único identificador do grupo</t>
  </si>
  <si>
    <t>Formando:</t>
  </si>
  <si>
    <t>Indica de é grupo de alunos formandos (OPE2 ou TCC2)</t>
  </si>
  <si>
    <t>Orientador:</t>
  </si>
  <si>
    <t>Nome do orientador do grupo</t>
  </si>
  <si>
    <t>Dia Semana:</t>
  </si>
  <si>
    <t>Dia da semana dos encontros</t>
  </si>
  <si>
    <t>Curs_Sem_Turn_Turm</t>
  </si>
  <si>
    <t>Curso Semetre Turma e Turno</t>
  </si>
  <si>
    <t>Data Criação:</t>
  </si>
  <si>
    <t>Data de criação desta planilha</t>
  </si>
  <si>
    <t>Informações que vieram pelo formulário de cadastro mas que poderão ser alteradas a cada sprint</t>
  </si>
  <si>
    <t>Parâmetros (ID)</t>
  </si>
  <si>
    <t>1ZMOWpI8xJMqgVipgzxIWx25OXyMc5YNV5Mq3LkixiDs</t>
  </si>
  <si>
    <t>(Google Sheets com padrões para este semestre - não alterar)</t>
  </si>
  <si>
    <t>AC</t>
  </si>
  <si>
    <t>Explicações sobre cada linha</t>
  </si>
  <si>
    <t>Peso</t>
  </si>
  <si>
    <t>AC1</t>
  </si>
  <si>
    <t>AC2</t>
  </si>
  <si>
    <t>AC3</t>
  </si>
  <si>
    <t>AC4</t>
  </si>
  <si>
    <t>AC5</t>
  </si>
  <si>
    <t>MAC</t>
  </si>
  <si>
    <t>PROVA</t>
  </si>
  <si>
    <t>Média Final</t>
  </si>
  <si>
    <t>Encontro</t>
  </si>
  <si>
    <t>Encontro com o grupo</t>
  </si>
  <si>
    <t>1º</t>
  </si>
  <si>
    <t>2º</t>
  </si>
  <si>
    <t>3º</t>
  </si>
  <si>
    <t>4º</t>
  </si>
  <si>
    <t>Plantão</t>
  </si>
  <si>
    <t>Sprint Avaliada</t>
  </si>
  <si>
    <t>Sprint a ser avaliada no encontro</t>
  </si>
  <si>
    <t>-</t>
  </si>
  <si>
    <t>Data Prevista</t>
  </si>
  <si>
    <t>Data planejada do encontro: pode ser alterada pelo orientador</t>
  </si>
  <si>
    <t>Prof. Orientador</t>
  </si>
  <si>
    <t>Professor que fez a avaliação</t>
  </si>
  <si>
    <t>NOTAS</t>
  </si>
  <si>
    <t>Notas das ACs (caluladas automaticamente) e da Prova (caso de vídeo apenas)</t>
  </si>
  <si>
    <t>RANK</t>
  </si>
  <si>
    <t>Sprint Review</t>
  </si>
  <si>
    <t>Sprint Review deve ocorrer a cada encontro</t>
  </si>
  <si>
    <t>Avaliação do Documento</t>
  </si>
  <si>
    <t>Confirmar em quais ACs o documento será avaliado</t>
  </si>
  <si>
    <t>Artefatos de Software</t>
  </si>
  <si>
    <t>Confirmar em quais ACs os artefatos de engenharia de sofware serão avaliados</t>
  </si>
  <si>
    <t>Avaliação de Pôster</t>
  </si>
  <si>
    <t>A criação do Pôster (Banner) do Simpacta só poderá ser avaliada na última AC, dos alunos formandos</t>
  </si>
  <si>
    <t>Vídeo</t>
  </si>
  <si>
    <t>O vídeo somente será avaliado para os alunos não formandos, e somente na prova</t>
  </si>
  <si>
    <t>AC Disciplina Paralela</t>
  </si>
  <si>
    <t>notas das ACs das disciplinas paralelas (OPE1 de ADS e SI)</t>
  </si>
  <si>
    <t>Observações Gerais</t>
  </si>
  <si>
    <t>Pontos relevantes e outras observações gerais do encontro</t>
  </si>
  <si>
    <t>Frequência</t>
  </si>
  <si>
    <t>usuario</t>
  </si>
  <si>
    <t>Nome</t>
  </si>
  <si>
    <t>RA</t>
  </si>
  <si>
    <t>Observações sobre aluno</t>
  </si>
  <si>
    <t>email</t>
  </si>
  <si>
    <t>daniella.barros</t>
  </si>
  <si>
    <t>bruno.matsunaga</t>
  </si>
  <si>
    <t>Bruno Kouki Matsunaga</t>
  </si>
  <si>
    <t>diego.bezerra</t>
  </si>
  <si>
    <t>elison.trindade</t>
  </si>
  <si>
    <t>Elison Rodrigo Maciel Trindade</t>
  </si>
  <si>
    <t>sushila.claro</t>
  </si>
  <si>
    <t>Sushila Vieira Claro</t>
  </si>
  <si>
    <t>NOTA da PRESENÇA</t>
  </si>
  <si>
    <t>*</t>
  </si>
  <si>
    <t>Lançamentos</t>
  </si>
  <si>
    <t>.</t>
  </si>
  <si>
    <t>Presença</t>
  </si>
  <si>
    <t>Abono</t>
  </si>
  <si>
    <t>Faltas</t>
  </si>
  <si>
    <t>?</t>
  </si>
  <si>
    <t>Fora da equipe</t>
  </si>
  <si>
    <t>Capacidade da equipe</t>
  </si>
  <si>
    <t>Tamanho atual da equipe</t>
  </si>
  <si>
    <t>Legenda:</t>
  </si>
  <si>
    <t>nome_grupo</t>
  </si>
  <si>
    <t>Escrever o nome do grupo antigo (caso aluno não fazia ainda parte do grupo atual) ou futuro (caso deixou de fazer parte deste grupo). Pode ser grupo de outro turno</t>
  </si>
  <si>
    <t>Abono ou Ausência Justificada (médica, religiosa, jurídica, militar)</t>
  </si>
  <si>
    <t>F</t>
  </si>
  <si>
    <t>Falta (ausência não justificada do aluno)</t>
  </si>
  <si>
    <t>N</t>
  </si>
  <si>
    <t>Aluno NÃO tinha grupo, NÃO era matriculado ou NÃO está mais na faculdade (trancou, desistiu, saiu, transferiu para outra faculdade)</t>
  </si>
  <si>
    <t>DOCX</t>
  </si>
  <si>
    <t>PDF</t>
  </si>
  <si>
    <t>Critérios</t>
  </si>
  <si>
    <t>Explicação</t>
  </si>
  <si>
    <t>DOC</t>
  </si>
  <si>
    <t>Entrega do artigo</t>
  </si>
  <si>
    <t>1ª</t>
  </si>
  <si>
    <t>2ª</t>
  </si>
  <si>
    <t>3ª</t>
  </si>
  <si>
    <t>4ª</t>
  </si>
  <si>
    <t>5ª</t>
  </si>
  <si>
    <t>Data Avaliação</t>
  </si>
  <si>
    <t>Data da avaliação pelo prof. Orientador</t>
  </si>
  <si>
    <t>Pontos negativos</t>
  </si>
  <si>
    <t>Observações negativas</t>
  </si>
  <si>
    <t>Pontos positivos</t>
  </si>
  <si>
    <t>Observações positivas</t>
  </si>
  <si>
    <t>Completude</t>
  </si>
  <si>
    <t>Conteúdo esperado (Referências bibliográficas &amp; de acordo com cronograma)</t>
  </si>
  <si>
    <t>Qualidade</t>
  </si>
  <si>
    <t>Conteúdo adequado, Argumentação teórica e técnica; Escrita correta e adequada (sem erros gramaticais ou de ortografia)</t>
  </si>
  <si>
    <t>Forma</t>
  </si>
  <si>
    <t>Formatação adequada (modelo do artigo, tabelas e figuras possuem legenda e são referênciadas; espaço entre linhas, distribuição dos parágrafos, formato das referências)</t>
  </si>
  <si>
    <t>Complexidade</t>
  </si>
  <si>
    <t>Escopo (Amplitude e Complexidade); Grupo (Tamanho e Diversidade Skills); Inovação (Relevância, Sociedade e Unicidade)</t>
  </si>
  <si>
    <t>Nota Completude</t>
  </si>
  <si>
    <t>Nota Qualidade</t>
  </si>
  <si>
    <t>Nota Forma</t>
  </si>
  <si>
    <t>Nota Complexidade</t>
  </si>
  <si>
    <t>NOTA</t>
  </si>
  <si>
    <t>Data de início da sprint</t>
  </si>
  <si>
    <t>Nº Sprint</t>
  </si>
  <si>
    <t>Número da sprint concluída</t>
  </si>
  <si>
    <t>Professor que fez o sprint review</t>
  </si>
  <si>
    <t>Planejamento</t>
  </si>
  <si>
    <t>Tarefas bem distribuídas em todos alunos; específicas; relevantes; priorizadas; pontução perante capacidade.
Para a última Sprint do último semestre (7), considerar planejamento para conclusão da disciplina</t>
  </si>
  <si>
    <t>Qualidade técnica</t>
  </si>
  <si>
    <t>Qualidade dos artefatos de projeto desenvolvidos e entregues</t>
  </si>
  <si>
    <t>Realização das estórias</t>
  </si>
  <si>
    <t>[calculado automaticamente com base nas estórias planejadas e seus pontos completados]
Não considerada na Sprint 0 (Back Log)</t>
  </si>
  <si>
    <t>Nota Planejamento</t>
  </si>
  <si>
    <t>Nota Qualidade técnica</t>
  </si>
  <si>
    <t># Alunos</t>
  </si>
  <si>
    <t>Alunos Grupo</t>
  </si>
  <si>
    <t>Tamanho Sprint (d)</t>
  </si>
  <si>
    <t>Tamanho Sprint (dias)</t>
  </si>
  <si>
    <t>Tamanho Sprint (s)</t>
  </si>
  <si>
    <t>Tamanho Sprint (semanas)</t>
  </si>
  <si>
    <t>Capacidade mín</t>
  </si>
  <si>
    <t>Capacidade mínima da equipe (pontos)</t>
  </si>
  <si>
    <t>Capacidade máx</t>
  </si>
  <si>
    <t>Capacidade máxima da equipe (pontos)</t>
  </si>
  <si>
    <t>Planejado (ptos)</t>
  </si>
  <si>
    <t>Pontos planejados</t>
  </si>
  <si>
    <t>Realizado (ptos)</t>
  </si>
  <si>
    <t>Pontos realizados</t>
  </si>
  <si>
    <t>Alterações</t>
  </si>
  <si>
    <t>Alterações de escopo</t>
  </si>
  <si>
    <t>Histórias sem pontos</t>
  </si>
  <si>
    <t>Histórias planejadas sem pontos</t>
  </si>
  <si>
    <t>Pontos com alunos</t>
  </si>
  <si>
    <t>Pontos associados</t>
  </si>
  <si>
    <t>Data da avaliação dos artefatos</t>
  </si>
  <si>
    <t>Artefatos esperados</t>
  </si>
  <si>
    <t>Coerência</t>
  </si>
  <si>
    <t>Coerência com Projeto</t>
  </si>
  <si>
    <t>Nota Coerência</t>
  </si>
  <si>
    <t>Entrega</t>
  </si>
  <si>
    <t>Entrega do PPT com o conteúdo do Pôster para o Simpacta</t>
  </si>
  <si>
    <t>Conteúdo esperado (tópicos definidos no pôster)</t>
  </si>
  <si>
    <t>Conteúdo adequado, Projeto Entregue com qualidade, Escrita correta (sem erros gramaticais ou de ortografia)</t>
  </si>
  <si>
    <t>Formatação adequada (modelo do pôster, tabelas e figuras com legenda formatação; espaçamento; user experience; formato das referências)</t>
  </si>
  <si>
    <t>Data da avaliação do vídeo</t>
  </si>
  <si>
    <t>Qualidade da produção do vídeo</t>
  </si>
  <si>
    <t>Objetividade e assertividade</t>
  </si>
  <si>
    <t>Inovação e relevância</t>
  </si>
  <si>
    <t>Viabilidade da solução</t>
  </si>
  <si>
    <t>Nota Objetividade e assertividade</t>
  </si>
  <si>
    <t>Nota Inovação e relevância</t>
  </si>
  <si>
    <t>Nota Viabilidade da solução</t>
  </si>
  <si>
    <t>(copiar estórias realizadas da aba SprintPlanning, colunas A a F)</t>
  </si>
  <si>
    <t>Sprint</t>
  </si>
  <si>
    <t>ID</t>
  </si>
  <si>
    <t>Estória</t>
  </si>
  <si>
    <t>Prioridade</t>
  </si>
  <si>
    <t>Pontos</t>
  </si>
  <si>
    <t>Responsável</t>
  </si>
  <si>
    <t>TOTAL</t>
  </si>
  <si>
    <t>(copiar estórias realizadas da aba SprintPlanning, colunas A a I)</t>
  </si>
  <si>
    <t>Status</t>
  </si>
  <si>
    <t>Encerramento</t>
  </si>
  <si>
    <t>Escopo Mantido</t>
  </si>
  <si>
    <t>Pontos finalizados</t>
  </si>
  <si>
    <t>Pontos finalizados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</si>
</sst>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d\ dd/mm/yyyy"/>
    <numFmt numFmtId="165" formatCode="General&quot;º&quot;"/>
    <numFmt numFmtId="166" formatCode="dd/MM/yyyy HH:mm:ss"/>
    <numFmt numFmtId="167" formatCode="dd/mmm"/>
    <numFmt numFmtId="168" formatCode="d/mmm"/>
    <numFmt numFmtId="169" formatCode="000"/>
  </numFmts>
  <fonts count="24">
    <font>
      <sz val="11.0"/>
      <color rgb="FF000000"/>
      <name val="Calibri"/>
    </font>
    <font>
      <b/>
      <sz val="10.0"/>
      <color rgb="FF000000"/>
      <name val="Calibri"/>
    </font>
    <font>
      <sz val="10.0"/>
      <name val="Calibri"/>
    </font>
    <font>
      <sz val="10.0"/>
      <color rgb="FF000000"/>
      <name val="Calibri"/>
    </font>
    <font>
      <b/>
      <sz val="10.0"/>
      <name val="Calibri"/>
    </font>
    <font>
      <b/>
      <sz val="11.0"/>
      <color rgb="FF3F3F3F"/>
      <name val="Calibri"/>
    </font>
    <font>
      <u/>
      <sz val="10.0"/>
      <color rgb="FF000000"/>
      <name val="Calibri"/>
    </font>
    <font>
      <sz val="8.0"/>
      <color rgb="FF000000"/>
      <name val="Calibri"/>
    </font>
    <font>
      <u/>
      <sz val="8.0"/>
      <color rgb="FF000000"/>
      <name val="Calibri"/>
    </font>
    <font>
      <u/>
      <sz val="8.0"/>
      <color rgb="FF000000"/>
      <name val="Calibri"/>
    </font>
    <font/>
    <font>
      <sz val="10.0"/>
      <color rgb="FF000000"/>
      <name val="Arial"/>
    </font>
    <font>
      <sz val="6.0"/>
      <color rgb="FF000000"/>
      <name val="Calibri"/>
    </font>
    <font>
      <b/>
      <sz val="11.0"/>
      <name val="Calibri"/>
    </font>
    <font>
      <b/>
      <sz val="10.0"/>
      <color rgb="FF757070"/>
      <name val="Calibri"/>
    </font>
    <font>
      <sz val="10.0"/>
      <color rgb="FF757070"/>
      <name val="Calibri"/>
    </font>
    <font>
      <b/>
      <u/>
      <sz val="10.0"/>
      <color rgb="FF0000FF"/>
      <name val="Calibri"/>
    </font>
    <font>
      <b/>
      <sz val="10.0"/>
      <color rgb="FF0000FF"/>
      <name val="Calibri"/>
    </font>
    <font>
      <u/>
      <sz val="10.0"/>
      <color rgb="FF0563C1"/>
      <name val="Calibri"/>
    </font>
    <font>
      <name val="Calibri"/>
    </font>
    <font>
      <b/>
      <i/>
      <sz val="10.0"/>
      <color rgb="FF000000"/>
      <name val="Calibri"/>
    </font>
    <font>
      <b/>
      <sz val="10.0"/>
      <color rgb="FF3F3F3F"/>
      <name val="Calibri"/>
    </font>
    <font>
      <b/>
      <sz val="10.0"/>
      <name val="Arial"/>
    </font>
    <font>
      <sz val="10.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A5A5A5"/>
        <bgColor rgb="FFA5A5A5"/>
      </patternFill>
    </fill>
    <fill>
      <patternFill patternType="solid">
        <fgColor rgb="FFCFE2F3"/>
        <bgColor rgb="FFCFE2F3"/>
      </patternFill>
    </fill>
    <fill>
      <patternFill patternType="solid">
        <fgColor rgb="FFC5E0B3"/>
        <bgColor rgb="FFC5E0B3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</fills>
  <borders count="50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/>
      <bottom style="thin">
        <color rgb="FF000000"/>
      </bottom>
    </border>
    <border>
      <right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/>
    </border>
    <border>
      <left/>
      <right/>
      <top/>
      <bottom/>
    </border>
    <border>
      <left style="double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3F3F3F"/>
      </left>
      <right style="thin">
        <color rgb="FF3F3F3F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A5A5A5"/>
      </left>
      <top style="thin">
        <color rgb="FFA5A5A5"/>
      </top>
    </border>
  </borders>
  <cellStyleXfs count="1">
    <xf borderId="0" fillId="0" fontId="0" numFmtId="0" applyAlignment="1" applyFont="1"/>
  </cellStyleXfs>
  <cellXfs count="2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2" fontId="3" numFmtId="0" xfId="0" applyAlignment="1" applyBorder="1" applyFill="1" applyFont="1">
      <alignment vertical="bottom"/>
    </xf>
    <xf borderId="4" fillId="3" fontId="3" numFmtId="0" xfId="0" applyAlignment="1" applyBorder="1" applyFill="1" applyFont="1">
      <alignment shrinkToFit="0" vertical="bottom" wrapText="0"/>
    </xf>
    <xf borderId="4" fillId="4" fontId="3" numFmtId="0" xfId="0" applyAlignment="1" applyBorder="1" applyFill="1" applyFont="1">
      <alignment shrinkToFit="0" vertical="bottom" wrapText="0"/>
    </xf>
    <xf borderId="3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vertical="bottom"/>
    </xf>
    <xf borderId="5" fillId="0" fontId="1" numFmtId="0" xfId="0" applyAlignment="1" applyBorder="1" applyFont="1">
      <alignment shrinkToFit="0" vertical="bottom" wrapText="0"/>
    </xf>
    <xf borderId="0" fillId="0" fontId="2" numFmtId="0" xfId="0" applyFont="1"/>
    <xf borderId="5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6" fillId="3" fontId="5" numFmtId="0" xfId="0" applyAlignment="1" applyBorder="1" applyFont="1">
      <alignment horizontal="center"/>
    </xf>
    <xf borderId="7" fillId="0" fontId="1" numFmtId="0" xfId="0" applyAlignment="1" applyBorder="1" applyFont="1">
      <alignment vertical="center"/>
    </xf>
    <xf borderId="7" fillId="2" fontId="3" numFmtId="164" xfId="0" applyAlignment="1" applyBorder="1" applyFont="1" applyNumberFormat="1">
      <alignment horizontal="center" vertical="center"/>
    </xf>
    <xf borderId="7" fillId="0" fontId="3" numFmtId="0" xfId="0" applyAlignment="1" applyBorder="1" applyFont="1">
      <alignment vertical="center"/>
    </xf>
    <xf borderId="7" fillId="2" fontId="3" numFmtId="0" xfId="0" applyAlignment="1" applyBorder="1" applyFont="1">
      <alignment horizontal="center" vertical="center"/>
    </xf>
    <xf borderId="7" fillId="0" fontId="1" numFmtId="0" xfId="0" applyAlignment="1" applyBorder="1" applyFont="1">
      <alignment readingOrder="0" vertical="center"/>
    </xf>
    <xf borderId="7" fillId="2" fontId="3" numFmtId="0" xfId="0" applyAlignment="1" applyBorder="1" applyFont="1">
      <alignment horizontal="center" readingOrder="0" vertical="center"/>
    </xf>
    <xf borderId="7" fillId="4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readingOrder="0" vertical="center"/>
    </xf>
    <xf borderId="7" fillId="2" fontId="3" numFmtId="165" xfId="0" applyAlignment="1" applyBorder="1" applyFont="1" applyNumberFormat="1">
      <alignment horizontal="center" vertical="center"/>
    </xf>
    <xf borderId="7" fillId="4" fontId="3" numFmtId="0" xfId="0" applyAlignment="1" applyBorder="1" applyFont="1">
      <alignment readingOrder="0" vertical="center"/>
    </xf>
    <xf borderId="7" fillId="0" fontId="1" numFmtId="0" xfId="0" applyAlignment="1" applyBorder="1" applyFont="1">
      <alignment readingOrder="0" shrinkToFit="0" vertical="center" wrapText="1"/>
    </xf>
    <xf borderId="7" fillId="4" fontId="6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7" fillId="4" fontId="7" numFmtId="0" xfId="0" applyAlignment="1" applyBorder="1" applyFont="1">
      <alignment readingOrder="0" shrinkToFit="0" vertical="center" wrapText="1"/>
    </xf>
    <xf borderId="7" fillId="4" fontId="7" numFmtId="0" xfId="0" applyAlignment="1" applyBorder="1" applyFont="1">
      <alignment shrinkToFit="0" vertical="center" wrapText="1"/>
    </xf>
    <xf borderId="7" fillId="2" fontId="3" numFmtId="0" xfId="0" applyAlignment="1" applyBorder="1" applyFont="1">
      <alignment vertical="center"/>
    </xf>
    <xf borderId="7" fillId="4" fontId="8" numFmtId="0" xfId="0" applyAlignment="1" applyBorder="1" applyFont="1">
      <alignment horizontal="left" shrinkToFit="0" vertical="center" wrapText="1"/>
    </xf>
    <xf borderId="7" fillId="4" fontId="9" numFmtId="0" xfId="0" applyAlignment="1" applyBorder="1" applyFont="1">
      <alignment horizontal="left" vertical="center"/>
    </xf>
    <xf borderId="7" fillId="0" fontId="3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readingOrder="0" vertical="center"/>
    </xf>
    <xf borderId="8" fillId="4" fontId="3" numFmtId="0" xfId="0" applyAlignment="1" applyBorder="1" applyFont="1">
      <alignment readingOrder="0" vertical="center"/>
    </xf>
    <xf borderId="8" fillId="0" fontId="3" numFmtId="0" xfId="0" applyAlignment="1" applyBorder="1" applyFont="1">
      <alignment readingOrder="0" vertical="center"/>
    </xf>
    <xf borderId="9" fillId="0" fontId="1" numFmtId="0" xfId="0" applyAlignment="1" applyBorder="1" applyFont="1">
      <alignment readingOrder="0" vertical="center"/>
    </xf>
    <xf borderId="9" fillId="2" fontId="3" numFmtId="0" xfId="0" applyAlignment="1" applyBorder="1" applyFont="1">
      <alignment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9" fillId="2" fontId="3" numFmtId="166" xfId="0" applyAlignment="1" applyBorder="1" applyFont="1" applyNumberFormat="1">
      <alignment readingOrder="0" shrinkToFit="0" vertical="center" wrapText="1"/>
    </xf>
    <xf borderId="10" fillId="0" fontId="1" numFmtId="0" xfId="0" applyAlignment="1" applyBorder="1" applyFont="1">
      <alignment vertical="center"/>
    </xf>
    <xf borderId="11" fillId="0" fontId="3" numFmtId="0" xfId="0" applyAlignment="1" applyBorder="1" applyFont="1">
      <alignment shrinkToFit="0" vertical="center" wrapText="1"/>
    </xf>
    <xf borderId="3" fillId="0" fontId="10" numFmtId="0" xfId="0" applyBorder="1" applyFont="1"/>
    <xf borderId="0" fillId="0" fontId="11" numFmtId="0" xfId="0" applyFont="1"/>
    <xf borderId="9" fillId="2" fontId="12" numFmtId="166" xfId="0" applyAlignment="1" applyBorder="1" applyFont="1" applyNumberFormat="1">
      <alignment readingOrder="0" shrinkToFit="0" vertical="center" wrapText="0"/>
    </xf>
    <xf borderId="7" fillId="2" fontId="1" numFmtId="0" xfId="0" applyAlignment="1" applyBorder="1" applyFont="1">
      <alignment vertical="center"/>
    </xf>
    <xf borderId="7" fillId="5" fontId="1" numFmtId="0" xfId="0" applyAlignment="1" applyBorder="1" applyFill="1" applyFont="1">
      <alignment readingOrder="0" vertical="center"/>
    </xf>
    <xf borderId="7" fillId="2" fontId="1" numFmtId="0" xfId="0" applyAlignment="1" applyBorder="1" applyFont="1">
      <alignment horizontal="center" vertical="center"/>
    </xf>
    <xf borderId="12" fillId="2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vertical="center"/>
    </xf>
    <xf borderId="7" fillId="0" fontId="7" numFmtId="0" xfId="0" applyAlignment="1" applyBorder="1" applyFont="1">
      <alignment readingOrder="0" vertical="center"/>
    </xf>
    <xf borderId="12" fillId="2" fontId="1" numFmtId="0" xfId="0" applyAlignment="1" applyBorder="1" applyFont="1">
      <alignment horizontal="center" vertical="center"/>
    </xf>
    <xf borderId="13" fillId="2" fontId="1" numFmtId="16" xfId="0" applyAlignment="1" applyBorder="1" applyFont="1" applyNumberFormat="1">
      <alignment horizontal="center" vertical="center"/>
    </xf>
    <xf borderId="14" fillId="2" fontId="1" numFmtId="16" xfId="0" applyAlignment="1" applyBorder="1" applyFont="1" applyNumberFormat="1">
      <alignment horizontal="center" vertical="center"/>
    </xf>
    <xf borderId="7" fillId="0" fontId="7" numFmtId="0" xfId="0" applyAlignment="1" applyBorder="1" applyFont="1">
      <alignment vertical="center"/>
    </xf>
    <xf borderId="7" fillId="0" fontId="3" numFmtId="0" xfId="0" applyAlignment="1" applyBorder="1" applyFont="1">
      <alignment horizontal="left" readingOrder="0" vertical="center"/>
    </xf>
    <xf borderId="15" fillId="2" fontId="1" numFmtId="16" xfId="0" applyAlignment="1" applyBorder="1" applyFont="1" applyNumberFormat="1">
      <alignment horizontal="left" vertical="center"/>
    </xf>
    <xf borderId="7" fillId="2" fontId="1" numFmtId="0" xfId="0" applyAlignment="1" applyBorder="1" applyFont="1">
      <alignment readingOrder="0" vertical="center"/>
    </xf>
    <xf borderId="0" fillId="0" fontId="7" numFmtId="0" xfId="0" applyAlignment="1" applyFont="1">
      <alignment readingOrder="0" vertical="center"/>
    </xf>
    <xf borderId="16" fillId="2" fontId="13" numFmtId="4" xfId="0" applyAlignment="1" applyBorder="1" applyFont="1" applyNumberFormat="1">
      <alignment horizontal="center" vertical="center"/>
    </xf>
    <xf borderId="17" fillId="2" fontId="1" numFmtId="0" xfId="0" applyAlignment="1" applyBorder="1" applyFont="1">
      <alignment horizontal="center" vertical="center"/>
    </xf>
    <xf borderId="0" fillId="2" fontId="14" numFmtId="0" xfId="0" applyAlignment="1" applyFont="1">
      <alignment horizontal="left" vertical="center"/>
    </xf>
    <xf borderId="18" fillId="2" fontId="14" numFmtId="0" xfId="0" applyAlignment="1" applyBorder="1" applyFont="1">
      <alignment horizontal="left" vertical="center"/>
    </xf>
    <xf borderId="19" fillId="2" fontId="15" numFmtId="0" xfId="0" applyAlignment="1" applyBorder="1" applyFont="1">
      <alignment horizontal="center" vertical="center"/>
    </xf>
    <xf borderId="20" fillId="2" fontId="14" numFmtId="9" xfId="0" applyAlignment="1" applyBorder="1" applyFont="1" applyNumberFormat="1">
      <alignment horizontal="center" readingOrder="0" vertical="center"/>
    </xf>
    <xf borderId="21" fillId="0" fontId="16" numFmtId="0" xfId="0" applyAlignment="1" applyBorder="1" applyFont="1">
      <alignment readingOrder="0" vertical="center"/>
    </xf>
    <xf borderId="22" fillId="0" fontId="3" numFmtId="0" xfId="0" applyAlignment="1" applyBorder="1" applyFont="1">
      <alignment vertical="center"/>
    </xf>
    <xf borderId="23" fillId="6" fontId="3" numFmtId="0" xfId="0" applyAlignment="1" applyBorder="1" applyFill="1" applyFont="1">
      <alignment readingOrder="0" vertical="center"/>
    </xf>
    <xf borderId="24" fillId="6" fontId="3" numFmtId="0" xfId="0" applyAlignment="1" applyBorder="1" applyFont="1">
      <alignment readingOrder="0" vertical="center"/>
    </xf>
    <xf borderId="24" fillId="6" fontId="3" numFmtId="0" xfId="0" applyAlignment="1" applyBorder="1" applyFont="1">
      <alignment vertical="center"/>
    </xf>
    <xf borderId="7" fillId="0" fontId="3" numFmtId="0" xfId="0" applyAlignment="1" applyBorder="1" applyFont="1">
      <alignment horizontal="center" vertical="center"/>
    </xf>
    <xf borderId="23" fillId="5" fontId="3" numFmtId="0" xfId="0" applyAlignment="1" applyBorder="1" applyFont="1">
      <alignment readingOrder="0" vertical="center"/>
    </xf>
    <xf borderId="24" fillId="5" fontId="3" numFmtId="0" xfId="0" applyAlignment="1" applyBorder="1" applyFont="1">
      <alignment readingOrder="0" vertical="center"/>
    </xf>
    <xf borderId="7" fillId="5" fontId="3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7" fillId="0" fontId="7" numFmtId="0" xfId="0" applyAlignment="1" applyBorder="1" applyFont="1">
      <alignment readingOrder="0" shrinkToFit="0" vertical="center" wrapText="0"/>
    </xf>
    <xf borderId="2" fillId="5" fontId="7" numFmtId="0" xfId="0" applyAlignment="1" applyBorder="1" applyFont="1">
      <alignment horizontal="center" shrinkToFit="0" vertical="center" wrapText="1"/>
    </xf>
    <xf borderId="25" fillId="5" fontId="7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readingOrder="0" shrinkToFit="0" vertical="center" wrapText="1"/>
    </xf>
    <xf borderId="7" fillId="0" fontId="7" numFmtId="0" xfId="0" applyAlignment="1" applyBorder="1" applyFont="1">
      <alignment readingOrder="0" shrinkToFit="0" vertical="center" wrapText="1"/>
    </xf>
    <xf borderId="21" fillId="0" fontId="1" numFmtId="0" xfId="0" applyAlignment="1" applyBorder="1" applyFont="1">
      <alignment horizontal="center" readingOrder="0" vertical="center"/>
    </xf>
    <xf borderId="26" fillId="0" fontId="1" numFmtId="0" xfId="0" applyAlignment="1" applyBorder="1" applyFont="1">
      <alignment horizontal="center" readingOrder="0" shrinkToFit="0" vertical="center" wrapText="1"/>
    </xf>
    <xf borderId="10" fillId="0" fontId="7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readingOrder="0" vertical="center"/>
    </xf>
    <xf borderId="1" fillId="0" fontId="3" numFmtId="0" xfId="0" applyAlignment="1" applyBorder="1" applyFont="1">
      <alignment vertical="center"/>
    </xf>
    <xf borderId="27" fillId="4" fontId="1" numFmtId="0" xfId="0" applyAlignment="1" applyBorder="1" applyFont="1">
      <alignment vertical="center"/>
    </xf>
    <xf borderId="27" fillId="4" fontId="1" numFmtId="0" xfId="0" applyAlignment="1" applyBorder="1" applyFont="1">
      <alignment readingOrder="0" vertical="center"/>
    </xf>
    <xf borderId="27" fillId="2" fontId="1" numFmtId="16" xfId="0" applyAlignment="1" applyBorder="1" applyFont="1" applyNumberFormat="1">
      <alignment horizontal="center" vertical="center"/>
    </xf>
    <xf borderId="28" fillId="0" fontId="1" numFmtId="0" xfId="0" applyAlignment="1" applyBorder="1" applyFont="1">
      <alignment readingOrder="0" vertical="center"/>
    </xf>
    <xf borderId="29" fillId="0" fontId="10" numFmtId="0" xfId="0" applyBorder="1" applyFont="1"/>
    <xf borderId="30" fillId="0" fontId="10" numFmtId="0" xfId="0" applyBorder="1" applyFont="1"/>
    <xf borderId="13" fillId="2" fontId="1" numFmtId="0" xfId="0" applyAlignment="1" applyBorder="1" applyFont="1">
      <alignment vertical="center"/>
    </xf>
    <xf borderId="10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horizontal="center" readingOrder="0" vertical="center"/>
    </xf>
    <xf borderId="11" fillId="6" fontId="3" numFmtId="0" xfId="0" applyAlignment="1" applyBorder="1" applyFont="1">
      <alignment vertical="center"/>
    </xf>
    <xf borderId="1" fillId="0" fontId="10" numFmtId="0" xfId="0" applyBorder="1" applyFont="1"/>
    <xf borderId="24" fillId="6" fontId="18" numFmtId="0" xfId="0" applyAlignment="1" applyBorder="1" applyFont="1">
      <alignment vertical="center"/>
    </xf>
    <xf borderId="7" fillId="0" fontId="3" numFmtId="0" xfId="0" applyAlignment="1" applyBorder="1" applyFont="1">
      <alignment readingOrder="0" shrinkToFit="0" vertical="center" wrapText="0"/>
    </xf>
    <xf borderId="24" fillId="6" fontId="3" numFmtId="0" xfId="0" applyAlignment="1" applyBorder="1" applyFont="1">
      <alignment readingOrder="0" vertical="center"/>
    </xf>
    <xf borderId="7" fillId="0" fontId="3" numFmtId="0" xfId="0" applyAlignment="1" applyBorder="1" applyFont="1">
      <alignment horizontal="center" readingOrder="0" vertical="center"/>
    </xf>
    <xf borderId="31" fillId="6" fontId="3" numFmtId="0" xfId="0" applyAlignment="1" applyBorder="1" applyFont="1">
      <alignment vertical="center"/>
    </xf>
    <xf borderId="32" fillId="0" fontId="10" numFmtId="0" xfId="0" applyBorder="1" applyFont="1"/>
    <xf borderId="23" fillId="0" fontId="10" numFmtId="0" xfId="0" applyBorder="1" applyFont="1"/>
    <xf borderId="7" fillId="6" fontId="3" numFmtId="0" xfId="0" applyAlignment="1" applyBorder="1" applyFont="1">
      <alignment readingOrder="0" vertical="center"/>
    </xf>
    <xf borderId="7" fillId="0" fontId="3" numFmtId="0" xfId="0" applyAlignment="1" applyBorder="1" applyFont="1">
      <alignment shrinkToFit="0" vertical="center" wrapText="0"/>
    </xf>
    <xf borderId="10" fillId="6" fontId="3" numFmtId="0" xfId="0" applyAlignment="1" applyBorder="1" applyFont="1">
      <alignment vertical="center"/>
    </xf>
    <xf borderId="33" fillId="6" fontId="3" numFmtId="0" xfId="0" applyAlignment="1" applyBorder="1" applyFont="1">
      <alignment vertical="center"/>
    </xf>
    <xf borderId="10" fillId="5" fontId="1" numFmtId="0" xfId="0" applyAlignment="1" applyBorder="1" applyFont="1">
      <alignment horizontal="center" vertical="center"/>
    </xf>
    <xf borderId="34" fillId="6" fontId="1" numFmtId="0" xfId="0" applyAlignment="1" applyBorder="1" applyFont="1">
      <alignment vertical="center"/>
    </xf>
    <xf borderId="34" fillId="6" fontId="1" numFmtId="0" xfId="0" applyAlignment="1" applyBorder="1" applyFont="1">
      <alignment horizontal="center" readingOrder="0" vertical="center"/>
    </xf>
    <xf borderId="35" fillId="0" fontId="1" numFmtId="0" xfId="0" applyAlignment="1" applyBorder="1" applyFont="1">
      <alignment horizontal="center" vertical="center"/>
    </xf>
    <xf borderId="35" fillId="6" fontId="3" numFmtId="0" xfId="0" applyAlignment="1" applyBorder="1" applyFont="1">
      <alignment readingOrder="0" vertical="center"/>
    </xf>
    <xf borderId="35" fillId="6" fontId="1" numFmtId="0" xfId="0" applyAlignment="1" applyBorder="1" applyFont="1">
      <alignment vertical="center"/>
    </xf>
    <xf borderId="35" fillId="2" fontId="3" numFmtId="0" xfId="0" applyAlignment="1" applyBorder="1" applyFont="1">
      <alignment horizontal="center" vertical="center"/>
    </xf>
    <xf borderId="36" fillId="2" fontId="3" numFmtId="0" xfId="0" applyAlignment="1" applyBorder="1" applyFont="1">
      <alignment horizontal="center" vertical="center"/>
    </xf>
    <xf borderId="37" fillId="0" fontId="1" numFmtId="0" xfId="0" applyAlignment="1" applyBorder="1" applyFont="1">
      <alignment horizontal="center" readingOrder="0" vertical="center"/>
    </xf>
    <xf borderId="37" fillId="6" fontId="3" numFmtId="0" xfId="0" applyAlignment="1" applyBorder="1" applyFont="1">
      <alignment vertical="center"/>
    </xf>
    <xf borderId="37" fillId="6" fontId="1" numFmtId="0" xfId="0" applyAlignment="1" applyBorder="1" applyFont="1">
      <alignment vertical="center"/>
    </xf>
    <xf borderId="37" fillId="2" fontId="3" numFmtId="0" xfId="0" applyAlignment="1" applyBorder="1" applyFont="1">
      <alignment horizontal="center" vertical="center"/>
    </xf>
    <xf borderId="38" fillId="2" fontId="3" numFmtId="0" xfId="0" applyAlignment="1" applyBorder="1" applyFont="1">
      <alignment horizontal="center" vertical="center"/>
    </xf>
    <xf borderId="37" fillId="6" fontId="3" numFmtId="0" xfId="0" applyAlignment="1" applyBorder="1" applyFont="1">
      <alignment readingOrder="0" vertical="center"/>
    </xf>
    <xf borderId="37" fillId="0" fontId="1" numFmtId="0" xfId="0" applyAlignment="1" applyBorder="1" applyFont="1">
      <alignment horizontal="center" vertical="center"/>
    </xf>
    <xf borderId="39" fillId="0" fontId="1" numFmtId="0" xfId="0" applyAlignment="1" applyBorder="1" applyFont="1">
      <alignment horizontal="center" readingOrder="0" vertical="center"/>
    </xf>
    <xf borderId="39" fillId="6" fontId="3" numFmtId="0" xfId="0" applyAlignment="1" applyBorder="1" applyFont="1">
      <alignment readingOrder="0" vertical="center"/>
    </xf>
    <xf borderId="39" fillId="0" fontId="3" numFmtId="0" xfId="0" applyAlignment="1" applyBorder="1" applyFont="1">
      <alignment horizontal="center" vertical="center"/>
    </xf>
    <xf borderId="39" fillId="2" fontId="3" numFmtId="0" xfId="0" applyAlignment="1" applyBorder="1" applyFont="1">
      <alignment horizontal="center" vertical="center"/>
    </xf>
    <xf borderId="40" fillId="0" fontId="1" numFmtId="0" xfId="0" applyAlignment="1" applyBorder="1" applyFont="1">
      <alignment horizontal="center" vertical="center"/>
    </xf>
    <xf borderId="40" fillId="6" fontId="3" numFmtId="0" xfId="0" applyAlignment="1" applyBorder="1" applyFont="1">
      <alignment vertical="center"/>
    </xf>
    <xf borderId="40" fillId="0" fontId="3" numFmtId="0" xfId="0" applyAlignment="1" applyBorder="1" applyFont="1">
      <alignment horizontal="center" vertical="center"/>
    </xf>
    <xf borderId="40" fillId="2" fontId="3" numFmtId="0" xfId="0" applyAlignment="1" applyBorder="1" applyFont="1">
      <alignment horizontal="center" vertical="center"/>
    </xf>
    <xf borderId="41" fillId="2" fontId="3" numFmtId="0" xfId="0" applyAlignment="1" applyBorder="1" applyFont="1">
      <alignment horizontal="center" vertical="center"/>
    </xf>
    <xf borderId="38" fillId="2" fontId="1" numFmtId="0" xfId="0" applyAlignment="1" applyBorder="1" applyFont="1">
      <alignment horizontal="center" vertical="center"/>
    </xf>
    <xf borderId="37" fillId="6" fontId="1" numFmtId="0" xfId="0" applyAlignment="1" applyBorder="1" applyFont="1">
      <alignment horizontal="center" vertical="center"/>
    </xf>
    <xf borderId="0" fillId="0" fontId="19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3" numFmtId="4" xfId="0" applyAlignment="1" applyFont="1" applyNumberFormat="1">
      <alignment vertical="center"/>
    </xf>
    <xf borderId="7" fillId="0" fontId="20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readingOrder="0" vertical="center"/>
    </xf>
    <xf borderId="0" fillId="0" fontId="17" numFmtId="0" xfId="0" applyAlignment="1" applyFont="1">
      <alignment readingOrder="0" vertical="center"/>
    </xf>
    <xf borderId="42" fillId="2" fontId="2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readingOrder="0" vertical="center"/>
    </xf>
    <xf borderId="7" fillId="3" fontId="1" numFmtId="16" xfId="0" applyAlignment="1" applyBorder="1" applyFont="1" applyNumberFormat="1">
      <alignment horizontal="center" vertical="center"/>
    </xf>
    <xf borderId="7" fillId="0" fontId="7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vertical="center"/>
    </xf>
    <xf borderId="27" fillId="0" fontId="3" numFmtId="0" xfId="0" applyAlignment="1" applyBorder="1" applyFont="1">
      <alignment vertical="center"/>
    </xf>
    <xf borderId="27" fillId="0" fontId="3" numFmtId="0" xfId="0" applyAlignment="1" applyBorder="1" applyFont="1">
      <alignment horizontal="center" vertical="center"/>
    </xf>
    <xf borderId="27" fillId="0" fontId="7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vertical="center"/>
    </xf>
    <xf borderId="10" fillId="0" fontId="3" numFmtId="0" xfId="0" applyAlignment="1" applyBorder="1" applyFont="1">
      <alignment horizontal="center" vertical="center"/>
    </xf>
    <xf borderId="7" fillId="7" fontId="3" numFmtId="0" xfId="0" applyAlignment="1" applyBorder="1" applyFill="1" applyFont="1">
      <alignment vertical="center"/>
    </xf>
    <xf borderId="7" fillId="7" fontId="3" numFmtId="0" xfId="0" applyAlignment="1" applyBorder="1" applyFont="1">
      <alignment horizontal="center" vertical="center"/>
    </xf>
    <xf borderId="8" fillId="7" fontId="3" numFmtId="0" xfId="0" applyAlignment="1" applyBorder="1" applyFont="1">
      <alignment vertical="center"/>
    </xf>
    <xf borderId="8" fillId="7" fontId="3" numFmtId="0" xfId="0" applyAlignment="1" applyBorder="1" applyFont="1">
      <alignment horizontal="center" vertical="center"/>
    </xf>
    <xf borderId="16" fillId="0" fontId="1" numFmtId="0" xfId="0" applyAlignment="1" applyBorder="1" applyFont="1">
      <alignment vertical="center"/>
    </xf>
    <xf borderId="16" fillId="0" fontId="3" numFmtId="0" xfId="0" applyAlignment="1" applyBorder="1" applyFont="1">
      <alignment vertical="center"/>
    </xf>
    <xf borderId="16" fillId="0" fontId="1" numFmtId="0" xfId="0" applyAlignment="1" applyBorder="1" applyFont="1">
      <alignment horizontal="center" vertical="center"/>
    </xf>
    <xf borderId="16" fillId="2" fontId="1" numFmtId="0" xfId="0" applyAlignment="1" applyBorder="1" applyFont="1">
      <alignment horizontal="center" vertical="center"/>
    </xf>
    <xf borderId="6" fillId="2" fontId="21" numFmtId="0" xfId="0" applyAlignment="1" applyBorder="1" applyFont="1">
      <alignment horizontal="center" vertical="center"/>
    </xf>
    <xf borderId="0" fillId="0" fontId="2" numFmtId="16" xfId="0" applyAlignment="1" applyFont="1" applyNumberFormat="1">
      <alignment horizontal="center" vertical="center"/>
    </xf>
    <xf borderId="7" fillId="3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readingOrder="0" vertical="center"/>
    </xf>
    <xf borderId="7" fillId="5" fontId="3" numFmtId="0" xfId="0" applyAlignment="1" applyBorder="1" applyFont="1">
      <alignment vertical="center"/>
    </xf>
    <xf borderId="7" fillId="5" fontId="3" numFmtId="0" xfId="0" applyAlignment="1" applyBorder="1" applyFont="1">
      <alignment horizontal="center" vertical="center"/>
    </xf>
    <xf borderId="7" fillId="8" fontId="3" numFmtId="0" xfId="0" applyAlignment="1" applyBorder="1" applyFill="1" applyFont="1">
      <alignment vertical="center"/>
    </xf>
    <xf borderId="0" fillId="0" fontId="3" numFmtId="0" xfId="0" applyAlignment="1" applyFont="1">
      <alignment horizontal="center" vertical="center"/>
    </xf>
    <xf borderId="7" fillId="2" fontId="3" numFmtId="0" xfId="0" applyAlignment="1" applyBorder="1" applyFont="1">
      <alignment readingOrder="0" vertical="center"/>
    </xf>
    <xf borderId="10" fillId="2" fontId="1" numFmtId="0" xfId="0" applyAlignment="1" applyBorder="1" applyFont="1">
      <alignment horizontal="center" vertical="center"/>
    </xf>
    <xf borderId="43" fillId="2" fontId="21" numFmtId="0" xfId="0" applyAlignment="1" applyBorder="1" applyFont="1">
      <alignment horizontal="center" vertical="center"/>
    </xf>
    <xf borderId="10" fillId="0" fontId="1" numFmtId="0" xfId="0" applyAlignment="1" applyBorder="1" applyFont="1">
      <alignment readingOrder="0" vertical="center"/>
    </xf>
    <xf borderId="10" fillId="0" fontId="1" numFmtId="0" xfId="0" applyAlignment="1" applyBorder="1" applyFont="1">
      <alignment readingOrder="0" vertical="center"/>
    </xf>
    <xf borderId="44" fillId="0" fontId="1" numFmtId="0" xfId="0" applyAlignment="1" applyBorder="1" applyFont="1">
      <alignment vertical="center"/>
    </xf>
    <xf borderId="44" fillId="0" fontId="3" numFmtId="0" xfId="0" applyAlignment="1" applyBorder="1" applyFont="1">
      <alignment vertical="center"/>
    </xf>
    <xf borderId="44" fillId="0" fontId="1" numFmtId="0" xfId="0" applyAlignment="1" applyBorder="1" applyFont="1">
      <alignment horizontal="center" vertical="center"/>
    </xf>
    <xf borderId="44" fillId="2" fontId="1" numFmtId="0" xfId="0" applyAlignment="1" applyBorder="1" applyFont="1">
      <alignment horizontal="center" vertical="center"/>
    </xf>
    <xf borderId="45" fillId="0" fontId="3" numFmtId="0" xfId="0" applyAlignment="1" applyBorder="1" applyFont="1">
      <alignment vertical="center"/>
    </xf>
    <xf borderId="0" fillId="9" fontId="21" numFmtId="0" xfId="0" applyAlignment="1" applyFill="1" applyFont="1">
      <alignment vertical="center"/>
    </xf>
    <xf borderId="0" fillId="0" fontId="21" numFmtId="0" xfId="0" applyAlignment="1" applyFont="1">
      <alignment readingOrder="0" vertical="center"/>
    </xf>
    <xf borderId="0" fillId="0" fontId="21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1"/>
    </xf>
    <xf borderId="46" fillId="0" fontId="4" numFmtId="0" xfId="0" applyAlignment="1" applyBorder="1" applyFont="1">
      <alignment horizontal="center" readingOrder="0" vertical="center"/>
    </xf>
    <xf borderId="45" fillId="0" fontId="10" numFmtId="0" xfId="0" applyBorder="1" applyFont="1"/>
    <xf borderId="47" fillId="0" fontId="10" numFmtId="0" xfId="0" applyBorder="1" applyFont="1"/>
    <xf borderId="6" fillId="3" fontId="21" numFmtId="0" xfId="0" applyAlignment="1" applyBorder="1" applyFont="1">
      <alignment vertical="center"/>
    </xf>
    <xf borderId="42" fillId="3" fontId="21" numFmtId="0" xfId="0" applyAlignment="1" applyBorder="1" applyFont="1">
      <alignment readingOrder="0" vertical="center"/>
    </xf>
    <xf borderId="7" fillId="7" fontId="4" numFmtId="0" xfId="0" applyAlignment="1" applyBorder="1" applyFont="1">
      <alignment readingOrder="0" vertical="center"/>
    </xf>
    <xf borderId="7" fillId="7" fontId="1" numFmtId="0" xfId="0" applyAlignment="1" applyBorder="1" applyFont="1">
      <alignment horizontal="center" readingOrder="0" shrinkToFit="0" vertical="center" wrapText="0"/>
    </xf>
    <xf borderId="7" fillId="7" fontId="1" numFmtId="0" xfId="0" applyAlignment="1" applyBorder="1" applyFont="1">
      <alignment horizontal="center" readingOrder="0" shrinkToFit="0" vertical="center" wrapText="1"/>
    </xf>
    <xf borderId="7" fillId="5" fontId="1" numFmtId="0" xfId="0" applyAlignment="1" applyBorder="1" applyFont="1">
      <alignment horizontal="center" readingOrder="0" shrinkToFit="0" vertical="center" wrapText="0"/>
    </xf>
    <xf borderId="21" fillId="5" fontId="1" numFmtId="0" xfId="0" applyAlignment="1" applyBorder="1" applyFont="1">
      <alignment horizontal="center" readingOrder="0" shrinkToFit="0" vertical="center" wrapText="0"/>
    </xf>
    <xf borderId="48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readingOrder="0" vertical="center"/>
    </xf>
    <xf borderId="7" fillId="0" fontId="3" numFmtId="0" xfId="0" applyAlignment="1" applyBorder="1" applyFont="1">
      <alignment readingOrder="0" vertical="center"/>
    </xf>
    <xf borderId="7" fillId="0" fontId="3" numFmtId="165" xfId="0" applyAlignment="1" applyBorder="1" applyFont="1" applyNumberFormat="1">
      <alignment vertical="center"/>
    </xf>
    <xf borderId="0" fillId="7" fontId="3" numFmtId="0" xfId="0" applyAlignment="1" applyFont="1">
      <alignment horizontal="center" readingOrder="0" shrinkToFit="0" vertical="center" wrapText="1"/>
    </xf>
    <xf borderId="7" fillId="0" fontId="3" numFmtId="0" xfId="0" applyAlignment="1" applyBorder="1" applyFont="1">
      <alignment horizontal="right" readingOrder="0" shrinkToFit="0" vertical="center" wrapText="0"/>
    </xf>
    <xf borderId="7" fillId="0" fontId="3" numFmtId="0" xfId="0" applyAlignment="1" applyBorder="1" applyFont="1">
      <alignment horizontal="center" readingOrder="0" shrinkToFit="0" vertical="center" wrapText="0"/>
    </xf>
    <xf borderId="21" fillId="0" fontId="3" numFmtId="0" xfId="0" applyAlignment="1" applyBorder="1" applyFont="1">
      <alignment horizontal="center" readingOrder="0" shrinkToFit="0" vertical="center" wrapText="0"/>
    </xf>
    <xf borderId="22" fillId="0" fontId="10" numFmtId="0" xfId="0" applyBorder="1" applyFont="1"/>
    <xf borderId="7" fillId="0" fontId="3" numFmtId="167" xfId="0" applyAlignment="1" applyBorder="1" applyFont="1" applyNumberFormat="1">
      <alignment horizontal="right" readingOrder="0" shrinkToFit="0" vertical="center" wrapText="0"/>
    </xf>
    <xf borderId="7" fillId="10" fontId="3" numFmtId="167" xfId="0" applyAlignment="1" applyBorder="1" applyFill="1" applyFont="1" applyNumberFormat="1">
      <alignment horizontal="right"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7" fillId="7" fontId="3" numFmtId="0" xfId="0" applyAlignment="1" applyBorder="1" applyFont="1">
      <alignment horizontal="center" readingOrder="0" shrinkToFit="0" vertical="center" wrapText="0"/>
    </xf>
    <xf borderId="46" fillId="0" fontId="3" numFmtId="0" xfId="0" applyAlignment="1" applyBorder="1" applyFont="1">
      <alignment readingOrder="0" shrinkToFit="0" vertical="center" wrapText="1"/>
    </xf>
    <xf borderId="48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48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7" fillId="7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left"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7" fillId="0" fontId="3" numFmtId="168" xfId="0" applyAlignment="1" applyBorder="1" applyFont="1" applyNumberFormat="1">
      <alignment horizontal="right" readingOrder="0" shrinkToFit="0" vertical="center" wrapText="0"/>
    </xf>
    <xf borderId="11" fillId="0" fontId="10" numFmtId="0" xfId="0" applyBorder="1" applyFont="1"/>
    <xf borderId="25" fillId="0" fontId="10" numFmtId="0" xfId="0" applyBorder="1" applyFont="1"/>
    <xf borderId="21" fillId="0" fontId="3" numFmtId="0" xfId="0" applyAlignment="1" applyBorder="1" applyFont="1">
      <alignment readingOrder="0" shrinkToFit="0" vertical="center" wrapText="1"/>
    </xf>
    <xf borderId="10" fillId="0" fontId="10" numFmtId="0" xfId="0" applyBorder="1" applyFont="1"/>
    <xf borderId="7" fillId="0" fontId="1" numFmtId="167" xfId="0" applyAlignment="1" applyBorder="1" applyFont="1" applyNumberFormat="1">
      <alignment horizontal="right" readingOrder="0" shrinkToFit="0" vertical="center" wrapText="0"/>
    </xf>
    <xf borderId="7" fillId="0" fontId="4" numFmtId="0" xfId="0" applyAlignment="1" applyBorder="1" applyFont="1">
      <alignment readingOrder="0" vertical="center"/>
    </xf>
    <xf borderId="48" fillId="0" fontId="10" numFmtId="0" xfId="0" applyBorder="1" applyFont="1"/>
    <xf borderId="7" fillId="0" fontId="1" numFmtId="168" xfId="0" applyAlignment="1" applyBorder="1" applyFont="1" applyNumberFormat="1">
      <alignment horizontal="right" readingOrder="0" shrinkToFit="0" vertical="center" wrapText="0"/>
    </xf>
    <xf borderId="7" fillId="11" fontId="3" numFmtId="0" xfId="0" applyAlignment="1" applyBorder="1" applyFill="1" applyFont="1">
      <alignment readingOrder="0" shrinkToFit="0" vertical="center" wrapText="0"/>
    </xf>
    <xf borderId="7" fillId="7" fontId="3" numFmtId="0" xfId="0" applyAlignment="1" applyBorder="1" applyFont="1">
      <alignment readingOrder="0" vertical="center"/>
    </xf>
    <xf borderId="7" fillId="0" fontId="3" numFmtId="165" xfId="0" applyAlignment="1" applyBorder="1" applyFont="1" applyNumberFormat="1">
      <alignment readingOrder="0" vertical="center"/>
    </xf>
    <xf borderId="8" fillId="0" fontId="3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 shrinkToFit="0" vertical="center" wrapText="1"/>
    </xf>
    <xf borderId="7" fillId="0" fontId="3" numFmtId="0" xfId="0" applyAlignment="1" applyBorder="1" applyFont="1">
      <alignment shrinkToFit="0" vertical="center" wrapText="0"/>
    </xf>
    <xf borderId="7" fillId="4" fontId="3" numFmtId="167" xfId="0" applyAlignment="1" applyBorder="1" applyFont="1" applyNumberFormat="1">
      <alignment horizontal="right" readingOrder="0" shrinkToFit="0" vertical="center" wrapText="0"/>
    </xf>
    <xf borderId="7" fillId="4" fontId="3" numFmtId="168" xfId="0" applyAlignment="1" applyBorder="1" applyFont="1" applyNumberFormat="1">
      <alignment horizontal="right"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horizontal="left" shrinkToFit="0" vertical="center" wrapText="0"/>
    </xf>
    <xf borderId="7" fillId="0" fontId="3" numFmtId="167" xfId="0" applyAlignment="1" applyBorder="1" applyFont="1" applyNumberFormat="1">
      <alignment shrinkToFit="0" vertical="center" wrapText="0"/>
    </xf>
    <xf borderId="7" fillId="12" fontId="3" numFmtId="167" xfId="0" applyAlignment="1" applyBorder="1" applyFill="1" applyFont="1" applyNumberFormat="1">
      <alignment horizontal="right" readingOrder="0" shrinkToFit="0" vertical="center" wrapText="0"/>
    </xf>
    <xf borderId="7" fillId="0" fontId="3" numFmtId="165" xfId="0" applyAlignment="1" applyBorder="1" applyFont="1" applyNumberFormat="1">
      <alignment horizontal="center" readingOrder="0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0" fontId="3" numFmtId="168" xfId="0" applyAlignment="1" applyFont="1" applyNumberFormat="1">
      <alignment shrinkToFit="0" vertical="center" wrapText="0"/>
    </xf>
    <xf borderId="0" fillId="0" fontId="3" numFmtId="0" xfId="0" applyAlignment="1" applyFont="1">
      <alignment shrinkToFit="0" vertical="center" wrapText="0"/>
    </xf>
    <xf borderId="46" fillId="0" fontId="3" numFmtId="0" xfId="0" applyAlignment="1" applyBorder="1" applyFont="1">
      <alignment horizontal="right" readingOrder="0" shrinkToFit="0" vertical="center" wrapText="0"/>
    </xf>
    <xf borderId="45" fillId="0" fontId="3" numFmtId="0" xfId="0" applyAlignment="1" applyBorder="1" applyFont="1">
      <alignment readingOrder="0" shrinkToFit="0" vertical="center" wrapText="0"/>
    </xf>
    <xf borderId="45" fillId="0" fontId="3" numFmtId="0" xfId="0" applyAlignment="1" applyBorder="1" applyFont="1">
      <alignment shrinkToFit="0" vertical="center" wrapText="0"/>
    </xf>
    <xf borderId="48" fillId="0" fontId="3" numFmtId="0" xfId="0" applyAlignment="1" applyBorder="1" applyFont="1">
      <alignment shrinkToFit="0" vertical="center" wrapText="0"/>
    </xf>
    <xf borderId="48" fillId="0" fontId="3" numFmtId="0" xfId="0" applyAlignment="1" applyBorder="1" applyFont="1">
      <alignment horizontal="right" readingOrder="0" shrinkToFit="0" vertical="center" wrapText="0"/>
    </xf>
    <xf borderId="11" fillId="0" fontId="3" numFmtId="0" xfId="0" applyAlignment="1" applyBorder="1" applyFont="1">
      <alignment horizontal="right" readingOrder="0" shrinkToFit="0" vertical="center" wrapText="0"/>
    </xf>
    <xf borderId="1" fillId="0" fontId="3" numFmtId="0" xfId="0" applyAlignment="1" applyBorder="1" applyFont="1">
      <alignment readingOrder="0" shrinkToFit="0" vertical="center" wrapText="0"/>
    </xf>
    <xf borderId="47" fillId="0" fontId="3" numFmtId="0" xfId="0" applyAlignment="1" applyBorder="1" applyFont="1">
      <alignment readingOrder="0" shrinkToFit="0" vertical="center" wrapText="0"/>
    </xf>
    <xf borderId="2" fillId="0" fontId="3" numFmtId="0" xfId="0" applyAlignment="1" applyBorder="1" applyFont="1">
      <alignment readingOrder="0" shrinkToFit="0" vertical="center" wrapText="0"/>
    </xf>
    <xf borderId="2" fillId="0" fontId="10" numFmtId="0" xfId="0" applyBorder="1" applyFont="1"/>
    <xf borderId="1" fillId="0" fontId="3" numFmtId="0" xfId="0" applyAlignment="1" applyBorder="1" applyFont="1">
      <alignment shrinkToFit="0" vertical="center" wrapText="0"/>
    </xf>
    <xf borderId="3" fillId="0" fontId="3" numFmtId="0" xfId="0" applyAlignment="1" applyBorder="1" applyFont="1">
      <alignment shrinkToFit="0" vertical="center" wrapText="0"/>
    </xf>
    <xf borderId="49" fillId="0" fontId="22" numFmtId="0" xfId="0" applyAlignment="1" applyBorder="1" applyFont="1">
      <alignment horizontal="center" vertical="center"/>
    </xf>
    <xf borderId="49" fillId="0" fontId="23" numFmtId="169" xfId="0" applyAlignment="1" applyBorder="1" applyFont="1" applyNumberFormat="1">
      <alignment horizontal="center" vertical="center"/>
    </xf>
    <xf borderId="0" fillId="5" fontId="11" numFmtId="0" xfId="0" applyAlignment="1" applyFont="1">
      <alignment readingOrder="0" vertical="center"/>
    </xf>
    <xf borderId="7" fillId="13" fontId="22" numFmtId="0" xfId="0" applyAlignment="1" applyBorder="1" applyFill="1" applyFont="1">
      <alignment readingOrder="0"/>
    </xf>
    <xf borderId="0" fillId="6" fontId="23" numFmtId="0" xfId="0" applyAlignment="1" applyFont="1">
      <alignment vertical="center"/>
    </xf>
    <xf borderId="6" fillId="3" fontId="5" numFmtId="0" xfId="0" applyAlignment="1" applyBorder="1" applyFont="1">
      <alignment horizontal="center" vertical="center"/>
    </xf>
    <xf borderId="7" fillId="0" fontId="23" numFmtId="0" xfId="0" applyAlignment="1" applyBorder="1" applyFont="1">
      <alignment horizontal="center" readingOrder="0" vertical="center"/>
    </xf>
    <xf borderId="7" fillId="0" fontId="23" numFmtId="169" xfId="0" applyAlignment="1" applyBorder="1" applyFont="1" applyNumberFormat="1">
      <alignment horizontal="center" readingOrder="0" vertical="center"/>
    </xf>
    <xf borderId="7" fillId="0" fontId="23" numFmtId="0" xfId="0" applyAlignment="1" applyBorder="1" applyFont="1">
      <alignment readingOrder="0" vertical="center"/>
    </xf>
    <xf borderId="0" fillId="0" fontId="23" numFmtId="0" xfId="0" applyAlignment="1" applyFont="1">
      <alignment vertical="center"/>
    </xf>
    <xf borderId="7" fillId="0" fontId="23" numFmtId="0" xfId="0" applyAlignment="1" applyBorder="1" applyFont="1">
      <alignment vertical="center"/>
    </xf>
    <xf borderId="7" fillId="0" fontId="23" numFmtId="0" xfId="0" applyAlignment="1" applyBorder="1" applyFont="1">
      <alignment horizontal="center" vertical="center"/>
    </xf>
    <xf borderId="7" fillId="0" fontId="23" numFmtId="0" xfId="0" applyAlignment="1" applyBorder="1" applyFont="1">
      <alignment vertical="center"/>
    </xf>
    <xf borderId="7" fillId="0" fontId="23" numFmtId="0" xfId="0" applyAlignment="1" applyBorder="1" applyFont="1">
      <alignment horizontal="center" vertical="center"/>
    </xf>
    <xf borderId="7" fillId="0" fontId="23" numFmtId="169" xfId="0" applyAlignment="1" applyBorder="1" applyFont="1" applyNumberFormat="1">
      <alignment horizontal="center" vertical="center"/>
    </xf>
    <xf borderId="16" fillId="0" fontId="22" numFmtId="0" xfId="0" applyAlignment="1" applyBorder="1" applyFont="1">
      <alignment horizontal="center" vertical="center"/>
    </xf>
    <xf borderId="7" fillId="0" fontId="11" numFmtId="0" xfId="0" applyAlignment="1" applyBorder="1" applyFont="1">
      <alignment horizontal="center" vertical="center"/>
    </xf>
    <xf borderId="7" fillId="0" fontId="11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7" fillId="0" fontId="23" numFmtId="0" xfId="0" applyBorder="1" applyFont="1"/>
    <xf borderId="0" fillId="0" fontId="23" numFmtId="0" xfId="0" applyFont="1"/>
    <xf borderId="7" fillId="2" fontId="23" numFmtId="0" xfId="0" applyAlignment="1" applyBorder="1" applyFont="1">
      <alignment vertical="center"/>
    </xf>
    <xf borderId="7" fillId="14" fontId="23" numFmtId="0" xfId="0" applyAlignment="1" applyBorder="1" applyFill="1" applyFont="1">
      <alignment vertical="center"/>
    </xf>
    <xf borderId="0" fillId="0" fontId="23" numFmtId="0" xfId="0" applyAlignment="1" applyFont="1">
      <alignment vertical="center"/>
    </xf>
    <xf borderId="7" fillId="0" fontId="23" numFmtId="9" xfId="0" applyAlignment="1" applyBorder="1" applyFont="1" applyNumberFormat="1">
      <alignment horizontal="center" vertical="center"/>
    </xf>
    <xf borderId="7" fillId="0" fontId="23" numFmtId="14" xfId="0" applyAlignment="1" applyBorder="1" applyFont="1" applyNumberFormat="1">
      <alignment vertical="center"/>
    </xf>
    <xf borderId="16" fillId="0" fontId="22" numFmtId="9" xfId="0" applyAlignment="1" applyBorder="1" applyFont="1" applyNumberFormat="1">
      <alignment horizontal="center" vertical="center"/>
    </xf>
    <xf borderId="7" fillId="13" fontId="22" numFmtId="0" xfId="0" applyBorder="1" applyFont="1"/>
  </cellXfs>
  <cellStyles count="1">
    <cellStyle xfId="0" name="Normal" builtinId="0"/>
  </cellStyles>
  <dxfs count="11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color rgb="FFFF0000"/>
      </font>
      <fill>
        <patternFill patternType="none"/>
      </fill>
      <border/>
    </dxf>
    <dxf>
      <font>
        <color rgb="FF7F7F7F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  <tableStyles count="3">
    <tableStyle count="4" pivot="0" name="BacklogPlanejado-style">
      <tableStyleElement dxfId="7" type="headerRow"/>
      <tableStyleElement dxfId="8" type="firstRowStripe"/>
      <tableStyleElement dxfId="8" type="secondRowStripe"/>
      <tableStyleElement dxfId="8" type="totalRow"/>
    </tableStyle>
    <tableStyle count="4" pivot="0" name="BacklogRealizado-style">
      <tableStyleElement dxfId="7" type="headerRow"/>
      <tableStyleElement dxfId="8" type="firstRowStripe"/>
      <tableStyleElement dxfId="8" type="secondRowStripe"/>
      <tableStyleElement dxfId="8" type="totalRow"/>
    </tableStyle>
    <tableStyle count="4" pivot="0" name="SprintPlanning-style">
      <tableStyleElement dxfId="7" type="headerRow"/>
      <tableStyleElement dxfId="8" type="firstRowStripe"/>
      <tableStyleElement dxfId="8" type="secondRowStripe"/>
      <tableStyleElement dxfId="8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G100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BacklogPlanejad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totalsRowCount="1" ref="A2:J100" displayName="Table_2" id="2">
  <tableColumns count="10">
    <tableColumn name="Sprint" id="1"/>
    <tableColumn name="ID" id="2"/>
    <tableColumn name="Estória" id="3"/>
    <tableColumn name="Prioridade" id="4"/>
    <tableColumn name="Pontos" id="5"/>
    <tableColumn name="Responsável" id="6"/>
    <tableColumn name="Status" id="7"/>
    <tableColumn name="Encerramento" id="8"/>
    <tableColumn name="Observações" id="9"/>
    <tableColumn totalsRowFunction="custom" name="Escopo Mantido" id="10"/>
  </tableColumns>
  <tableStyleInfo name="BacklogRealizado-style" showColumnStripes="0" showFirstColumn="1" showLastColumn="1" showRowStripes="1"/>
</table>
</file>

<file path=xl/tables/table3.xml><?xml version="1.0" encoding="utf-8"?>
<table xmlns="http://schemas.openxmlformats.org/spreadsheetml/2006/main" ref="A2:I100" displayName="Table_3" id="3">
  <tableColumns count="9">
    <tableColumn name="Sprint" id="1"/>
    <tableColumn name="ID" id="2"/>
    <tableColumn name="Estória" id="3"/>
    <tableColumn name="Prioridade" id="4"/>
    <tableColumn name="Pontos" id="5"/>
    <tableColumn name="Responsável" id="6"/>
    <tableColumn name="Status" id="7"/>
    <tableColumn name="Encerramento" id="8"/>
    <tableColumn name="Observações" id="9"/>
  </tableColumns>
  <tableStyleInfo name="SprintPlanning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3.57"/>
    <col customWidth="1" min="3" max="3" width="24.0"/>
    <col customWidth="1" min="4" max="26" width="8.71"/>
  </cols>
  <sheetData>
    <row r="1" ht="15.75" customHeight="1">
      <c r="A1" s="1" t="str">
        <f>IFERROR(__xludf.DUMMYFUNCTION("IMPORTRANGE(id_parametros,""Instruções!A:E"")"),"Legenda:")</f>
        <v>Legenda: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/>
      <c r="B2" s="5" t="str">
        <f>IFERROR(__xludf.DUMMYFUNCTION("""COMPUTED_VALUE"""),"calculado ou fixo")</f>
        <v>calculado ou fixo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/>
      <c r="B3" s="6" t="str">
        <f>IFERROR(__xludf.DUMMYFUNCTION("""COMPUTED_VALUE"""),"valor padrão, que pode ser modificado pelo orientador")</f>
        <v>valor padrão, que pode ser modificado pelo orientador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/>
      <c r="B4" s="7" t="str">
        <f>IFERROR(__xludf.DUMMYFUNCTION("""COMPUTED_VALUE"""),"gerado automaticamente")</f>
        <v>gerado automaticamente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/>
      <c r="B5" s="8" t="str">
        <f>IFERROR(__xludf.DUMMYFUNCTION("""COMPUTED_VALUE"""),"entrada manual pelo aluno ou orientador")</f>
        <v>entrada manual pelo aluno ou orientador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" t="str">
        <f>IFERROR(__xludf.DUMMYFUNCTION("""COMPUTED_VALUE"""),"Alunos:")</f>
        <v>Alunos: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9" t="str">
        <f>IFERROR(__xludf.DUMMYFUNCTION("""COMPUTED_VALUE"""),"Preencher apenas a aba SprintPlanning: escrever estórias da sprint atual (a ser iniciada ou em andamento) e futuras.")</f>
        <v>Preencher apenas a aba SprintPlanning: escrever estórias da sprint atual (a ser iniciada ou em andamento) e futuras.</v>
      </c>
      <c r="C8" s="10"/>
      <c r="D8" s="10"/>
      <c r="E8" s="10"/>
      <c r="F8" s="10"/>
      <c r="G8" s="10"/>
      <c r="H8" s="10"/>
      <c r="I8" s="10"/>
      <c r="J8" s="1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9" t="str">
        <f>IFERROR(__xludf.DUMMYFUNCTION("""COMPUTED_VALUE"""),"Pontos equivalem a horas de trabalho: 1 pto ≈ 1h.")</f>
        <v>Pontos equivalem a horas de trabalho: 1 pto ≈ 1h.</v>
      </c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9" t="str">
        <f>IFERROR(__xludf.DUMMYFUNCTION("""COMPUTED_VALUE"""),"Atentar-se para a capacidade da equipe (Pontos por aluno por sprint).")</f>
        <v>Atentar-se para a capacidade da equipe (Pontos por aluno por sprint).</v>
      </c>
      <c r="C10" s="10"/>
      <c r="D10" s="1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9" t="str">
        <f>IFERROR(__xludf.DUMMYFUNCTION("""COMPUTED_VALUE"""),"Planejamento da próxima sprint: preencher colunas Sprint, ID, Estória, Prioridade, Pontos, Responsável (avaliação de planejamento).")</f>
        <v>Planejamento da próxima sprint: preencher colunas Sprint, ID, Estória, Prioridade, Pontos, Responsável (avaliação de planejamento).</v>
      </c>
      <c r="C11" s="10"/>
      <c r="D11" s="10"/>
      <c r="E11" s="10"/>
      <c r="F11" s="10"/>
      <c r="G11" s="10"/>
      <c r="H11" s="10"/>
      <c r="I11" s="10"/>
      <c r="J11" s="1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9" t="str">
        <f>IFERROR(__xludf.DUMMYFUNCTION("""COMPUTED_VALUE"""),"Execução da sprint atual: preencher colunas Status e Conclusão (entre as 3 semanas de encontros).")</f>
        <v>Execução da sprint atual: preencher colunas Status e Conclusão (entre as 3 semanas de encontros).</v>
      </c>
      <c r="C12" s="10"/>
      <c r="D12" s="10"/>
      <c r="E12" s="10"/>
      <c r="F12" s="10"/>
      <c r="G12" s="10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9" t="str">
        <f>IFERROR(__xludf.DUMMYFUNCTION("""COMPUTED_VALUE"""),"Encerramento da sprint atual: atualizar colunas Status e Conclusão (avaliação de execução).")</f>
        <v>Encerramento da sprint atual: atualizar colunas Status e Conclusão (avaliação de execução).</v>
      </c>
      <c r="C13" s="10"/>
      <c r="D13" s="10"/>
      <c r="E13" s="10"/>
      <c r="F13" s="10"/>
      <c r="G13" s="10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9" t="str">
        <f>IFERROR(__xludf.DUMMYFUNCTION("""COMPUTED_VALUE"""),"Encerramento da última sprint (3) para alunos de 3º e 7º semestres: planejar Sprint para início do 4º ou 8º semestre (será a Sprint 4 no próximo semestre).")</f>
        <v>Encerramento da última sprint (3) para alunos de 3º e 7º semestres: planejar Sprint para início do 4º ou 8º semestre (será a Sprint 4 no próximo semestre).</v>
      </c>
      <c r="C14" s="10"/>
      <c r="D14" s="10"/>
      <c r="E14" s="10"/>
      <c r="F14" s="10"/>
      <c r="G14" s="10"/>
      <c r="H14" s="10"/>
      <c r="I14" s="10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1" t="str">
        <f>IFERROR(__xludf.DUMMYFUNCTION("""COMPUTED_VALUE"""),"Comum:")</f>
        <v>Comum:</v>
      </c>
      <c r="B16" s="3"/>
      <c r="C16" s="1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"/>
      <c r="B17" s="3" t="str">
        <f>IFERROR(__xludf.DUMMYFUNCTION("""COMPUTED_VALUE"""),"NÃO incluir linhas acima de onde já existem linhas.")</f>
        <v>NÃO incluir linhas acima de onde já existem linhas.</v>
      </c>
      <c r="C17" s="13"/>
      <c r="D17" s="10"/>
      <c r="E17" s="10"/>
      <c r="F17" s="10"/>
      <c r="G17" s="1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"/>
      <c r="B18" s="14" t="str">
        <f>IFERROR(__xludf.DUMMYFUNCTION("""COMPUTED_VALUE"""),"NÃO incluir colunas à esquerda de onde já existem colunas.")</f>
        <v>NÃO incluir colunas à esquerda de onde já existem colunas.</v>
      </c>
      <c r="C18" s="15"/>
      <c r="D18" s="9"/>
      <c r="E18" s="10"/>
      <c r="F18" s="10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"/>
      <c r="B19" s="12"/>
      <c r="C19" s="16"/>
      <c r="D19" s="9"/>
      <c r="E19" s="10"/>
      <c r="F19" s="10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7" t="str">
        <f>IFERROR(__xludf.DUMMYFUNCTION("""COMPUTED_VALUE"""),"Orientadores:")</f>
        <v>Orientadores:</v>
      </c>
      <c r="C20" s="18"/>
      <c r="D20" s="13"/>
      <c r="E20" s="10"/>
      <c r="F20" s="10"/>
      <c r="G20" s="10"/>
      <c r="H20" s="1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18" t="str">
        <f>IFERROR(__xludf.DUMMYFUNCTION("""COMPUTED_VALUE"""),"Identificação")</f>
        <v>Identificação</v>
      </c>
      <c r="C21" s="16" t="str">
        <f>IFERROR(__xludf.DUMMYFUNCTION("""COMPUTED_VALUE"""),"Confirmar Semana de encontro e revisar título e demais atributos do projeto (descrição, cliente, hiperlink, orientador)")</f>
        <v>Confirmar Semana de encontro e revisar título e demais atributos do projeto (descrição, cliente, hiperlink, orientador)</v>
      </c>
      <c r="D21" s="13"/>
      <c r="E21" s="10"/>
      <c r="F21" s="10"/>
      <c r="G21" s="1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18" t="str">
        <f>IFERROR(__xludf.DUMMYFUNCTION("""COMPUTED_VALUE"""),"Notas_Frequência")</f>
        <v>Notas_Frequência</v>
      </c>
      <c r="C22" s="16" t="str">
        <f>IFERROR(__xludf.DUMMYFUNCTION("""COMPUTED_VALUE"""),"Frequência")</f>
        <v>Frequência</v>
      </c>
      <c r="D22" s="13" t="str">
        <f>IFERROR(__xludf.DUMMYFUNCTION("""COMPUTED_VALUE"""),"Confirmar presença dos alunos e eventuais trocas de grupos")</f>
        <v>Confirmar presença dos alunos e eventuais trocas de grupos</v>
      </c>
      <c r="E22" s="10"/>
      <c r="F22" s="10"/>
      <c r="G22" s="1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12"/>
      <c r="C23" s="16" t="str">
        <f>IFERROR(__xludf.DUMMYFUNCTION("""COMPUTED_VALUE"""),"Avaliação do Documento")</f>
        <v>Avaliação do Documento</v>
      </c>
      <c r="D23" s="13" t="str">
        <f>IFERROR(__xludf.DUMMYFUNCTION("""COMPUTED_VALUE"""),"Incluir notas de avaliação dos artigos (não atualizar nos encontros)")</f>
        <v>Incluir notas de avaliação dos artigos (não atualizar nos encontros)</v>
      </c>
      <c r="E23" s="10"/>
      <c r="F23" s="10"/>
      <c r="G23" s="10"/>
      <c r="H23" s="10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9" t="str">
        <f>IFERROR(__xludf.DUMMYFUNCTION("""COMPUTED_VALUE"""),"Sprint Review")</f>
        <v>Sprint Review</v>
      </c>
      <c r="D24" s="12" t="str">
        <f>IFERROR(__xludf.DUMMYFUNCTION("""COMPUTED_VALUE"""),"Avaliação do encontro: execução da última Sprint e planejamento da próxima Sprint, com avaliação do andamento do projeto (qualidade)")</f>
        <v>Avaliação do encontro: execução da última Sprint e planejamento da próxima Sprint, com avaliação do andamento do projeto (qualidade)</v>
      </c>
      <c r="E24" s="10"/>
      <c r="F24" s="10"/>
      <c r="G24" s="10"/>
      <c r="H24" s="10"/>
      <c r="I24" s="10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9" t="str">
        <f>IFERROR(__xludf.DUMMYFUNCTION("""COMPUTED_VALUE"""),"Artefatos de Software")</f>
        <v>Artefatos de Software</v>
      </c>
      <c r="D25" s="12" t="str">
        <f>IFERROR(__xludf.DUMMYFUNCTION("""COMPUTED_VALUE"""),"Avaliação dos artefatos de engenharia de software apresentados pelo grupo")</f>
        <v>Avaliação dos artefatos de engenharia de software apresentados pelo grupo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 t="str">
        <f>IFERROR(__xludf.DUMMYFUNCTION("""COMPUTED_VALUE"""),"Avaliação de Pôster")</f>
        <v>Avaliação de Pôster</v>
      </c>
      <c r="D26" s="3" t="str">
        <f>IFERROR(__xludf.DUMMYFUNCTION("""COMPUTED_VALUE"""),"Avaliação do pôster (banner) antes do Simpacta (alunos formandos)")</f>
        <v>Avaliação do pôster (banner) antes do Simpacta (alunos formandos)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 t="str">
        <f>IFERROR(__xludf.DUMMYFUNCTION("""COMPUTED_VALUE"""),"Vídeo")</f>
        <v>Vídeo</v>
      </c>
      <c r="D27" s="3" t="str">
        <f>IFERROR(__xludf.DUMMYFUNCTION("""COMPUTED_VALUE"""),"Avaliação do vídeo (prova para alunos não formandos)")</f>
        <v>Avaliação do vídeo (prova para alunos não formandos)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 t="str">
        <f>IFERROR(__xludf.DUMMYFUNCTION("""COMPUTED_VALUE"""),"BackLogPlanejado")</f>
        <v>BackLogPlanejado</v>
      </c>
      <c r="C28" s="3" t="str">
        <f>IFERROR(__xludf.DUMMYFUNCTION("""COMPUTED_VALUE"""),"Copiar histórias novas (Sprint futura) da SprintPlanning (até coluna ""Responsável"" apenas)")</f>
        <v>Copiar histórias novas (Sprint futura) da SprintPlanning (até coluna "Responsável" apenas)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 t="str">
        <f>IFERROR(__xludf.DUMMYFUNCTION("""COMPUTED_VALUE"""),"BacklogRealizado")</f>
        <v>BacklogRealizado</v>
      </c>
      <c r="C29" s="3" t="str">
        <f>IFERROR(__xludf.DUMMYFUNCTION("""COMPUTED_VALUE"""),"Copiar histórias executadas (Sprint anterior) da SprintPlanning (até coluna ""Encerramento"")")</f>
        <v>Copiar histórias executadas (Sprint anterior) da SprintPlanning (até coluna "Encerramento")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 t="str">
        <f>IFERROR(__xludf.DUMMYFUNCTION("""COMPUTED_VALUE"""),"Parâmetros")</f>
        <v>Parâmetros</v>
      </c>
      <c r="C30" s="3" t="str">
        <f>IFERROR(__xludf.DUMMYFUNCTION("""COMPUTED_VALUE"""),"Se precisar alterar, deve-se ir na planilha de origem de parâmetros")</f>
        <v>Se precisar alterar, deve-se ir na planilha de origem de parâmetros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Row="1"/>
  <cols>
    <col customWidth="1" min="1" max="1" width="22.29"/>
    <col customWidth="1" min="2" max="2" width="35.57"/>
    <col customWidth="1" min="3" max="3" width="54.71"/>
    <col customWidth="1" min="4" max="26" width="8.71"/>
  </cols>
  <sheetData>
    <row r="1">
      <c r="A1" s="19" t="s">
        <v>0</v>
      </c>
      <c r="B1" s="19" t="s">
        <v>1</v>
      </c>
      <c r="C1" s="19" t="s">
        <v>2</v>
      </c>
    </row>
    <row r="2">
      <c r="A2" s="20" t="s">
        <v>3</v>
      </c>
      <c r="B2" s="21">
        <f>TODAY()</f>
        <v>44421</v>
      </c>
      <c r="C2" s="22" t="s">
        <v>4</v>
      </c>
    </row>
    <row r="3">
      <c r="A3" s="20" t="s">
        <v>5</v>
      </c>
      <c r="B3" s="23">
        <f>HLOOKUP(TODAY(),'Notas_Frequência'!C61:H62,2,1)</f>
        <v>4</v>
      </c>
      <c r="C3" s="22" t="s">
        <v>6</v>
      </c>
    </row>
    <row r="4">
      <c r="A4" s="24" t="s">
        <v>7</v>
      </c>
      <c r="B4" s="25">
        <f>'Parâmetros'!B3</f>
        <v>2021</v>
      </c>
      <c r="C4" s="22" t="s">
        <v>8</v>
      </c>
    </row>
    <row r="5">
      <c r="A5" s="24" t="s">
        <v>9</v>
      </c>
      <c r="B5" s="25">
        <f>'Parâmetros'!B4</f>
        <v>2</v>
      </c>
      <c r="C5" s="22" t="s">
        <v>10</v>
      </c>
    </row>
    <row r="6">
      <c r="A6" s="20" t="s">
        <v>11</v>
      </c>
      <c r="B6" s="26" t="s">
        <v>12</v>
      </c>
      <c r="C6" s="27" t="s">
        <v>13</v>
      </c>
    </row>
    <row r="7">
      <c r="A7" s="20" t="s">
        <v>14</v>
      </c>
      <c r="B7" s="28" t="str">
        <f>VLOOKUP(B6&amp;B8,'Parâmetros'!$K$2:$N$13,4,0)</f>
        <v>OPE2</v>
      </c>
      <c r="C7" s="22" t="s">
        <v>15</v>
      </c>
    </row>
    <row r="8">
      <c r="A8" s="20" t="s">
        <v>16</v>
      </c>
      <c r="B8" s="26">
        <v>4.0</v>
      </c>
      <c r="C8" s="27" t="s">
        <v>17</v>
      </c>
    </row>
    <row r="9">
      <c r="A9" s="20" t="s">
        <v>18</v>
      </c>
      <c r="B9" s="26" t="s">
        <v>19</v>
      </c>
      <c r="C9" s="27" t="s">
        <v>20</v>
      </c>
    </row>
    <row r="10">
      <c r="A10" s="20" t="s">
        <v>21</v>
      </c>
      <c r="B10" s="26" t="s">
        <v>22</v>
      </c>
      <c r="C10" s="27" t="s">
        <v>23</v>
      </c>
    </row>
    <row r="11">
      <c r="A11" s="24" t="s">
        <v>24</v>
      </c>
      <c r="B11" s="26">
        <v>1.0</v>
      </c>
      <c r="C11" s="27" t="s">
        <v>25</v>
      </c>
    </row>
    <row r="12">
      <c r="A12" s="20" t="s">
        <v>26</v>
      </c>
      <c r="B12" s="29" t="s">
        <v>27</v>
      </c>
      <c r="C12" s="22" t="s">
        <v>28</v>
      </c>
    </row>
    <row r="13">
      <c r="A13" s="24" t="s">
        <v>29</v>
      </c>
      <c r="B13" s="29" t="s">
        <v>30</v>
      </c>
      <c r="C13" s="27" t="s">
        <v>31</v>
      </c>
    </row>
    <row r="14">
      <c r="A14" s="30" t="s">
        <v>32</v>
      </c>
      <c r="B14" s="31" t="str">
        <f>HYPERLINK("https://docs.google.com/spreadsheets/d/1c8YL78ki_KTTAwRu8mvT43iJMQmRCjQJ_OcTUiKk3H0","D-DENS")</f>
        <v>D-DENS</v>
      </c>
      <c r="C14" s="32" t="s">
        <v>33</v>
      </c>
    </row>
    <row r="15">
      <c r="A15" s="20" t="s">
        <v>34</v>
      </c>
      <c r="B15" s="29" t="s">
        <v>35</v>
      </c>
      <c r="C15" s="22" t="s">
        <v>36</v>
      </c>
    </row>
    <row r="16" ht="32.25" customHeight="1">
      <c r="A16" s="20" t="s">
        <v>37</v>
      </c>
      <c r="B16" s="33" t="s">
        <v>38</v>
      </c>
      <c r="C16" s="32" t="s">
        <v>39</v>
      </c>
    </row>
    <row r="17" ht="31.5" customHeight="1">
      <c r="A17" s="20" t="s">
        <v>40</v>
      </c>
      <c r="B17" s="33" t="s">
        <v>38</v>
      </c>
      <c r="C17" s="27" t="s">
        <v>41</v>
      </c>
    </row>
    <row r="18" ht="32.25" customHeight="1">
      <c r="A18" s="20" t="s">
        <v>42</v>
      </c>
      <c r="B18" s="34"/>
      <c r="C18" s="27" t="s">
        <v>43</v>
      </c>
    </row>
    <row r="19">
      <c r="A19" s="24" t="s">
        <v>44</v>
      </c>
      <c r="B19" s="22"/>
      <c r="C19" s="27" t="s">
        <v>45</v>
      </c>
    </row>
    <row r="20">
      <c r="A20" s="20" t="s">
        <v>46</v>
      </c>
      <c r="B20" s="35" t="str">
        <f>CONCATENATE(ano,"_",semestre_ano,"_",curso,"_",Semestre,"_",Grupo)</f>
        <v>2021_2_ADS_4_Devlicious</v>
      </c>
      <c r="C20" s="27" t="s">
        <v>47</v>
      </c>
    </row>
    <row r="21" ht="15.75" customHeight="1">
      <c r="A21" s="20" t="s">
        <v>48</v>
      </c>
      <c r="B21" s="36" t="str">
        <f>HYPERLINK("https://drive.google.com/drive/folders/1KJa26GSSPlieeOsgxXYNUu-_gXdv3CwG","/OPE_TCC/2021-2/OPE2/Matutino/ADS/A/Devlicious/")</f>
        <v>/OPE_TCC/2021-2/OPE2/Matutino/ADS/A/Devlicious/</v>
      </c>
      <c r="C21" s="32" t="s">
        <v>49</v>
      </c>
    </row>
    <row r="22" ht="15.75" customHeight="1">
      <c r="A22" s="24" t="s">
        <v>50</v>
      </c>
      <c r="B22" s="37" t="str">
        <f>HYPERLINK("https://drive.google.com/file/d/18XyI3weFlcXGj9AYv_JQtAS4TuCYmfLe/view?usp=drivesdk","2021_2_ADS_4_Devlicious.docx")</f>
        <v>2021_2_ADS_4_Devlicious.docx</v>
      </c>
      <c r="C22" s="38" t="s">
        <v>51</v>
      </c>
    </row>
    <row r="23" ht="15.75" customHeight="1">
      <c r="A23" s="39" t="s">
        <v>52</v>
      </c>
      <c r="B23" s="40">
        <v>708.0</v>
      </c>
      <c r="C23" s="41" t="s">
        <v>53</v>
      </c>
    </row>
    <row r="24" ht="18.0" customHeight="1">
      <c r="A24" s="42" t="s">
        <v>54</v>
      </c>
      <c r="B24" s="43" t="b">
        <f>value(RIGHT(disciplina,1))=2</f>
        <v>1</v>
      </c>
      <c r="C24" s="44" t="s">
        <v>55</v>
      </c>
    </row>
    <row r="25">
      <c r="A25" s="39" t="s">
        <v>56</v>
      </c>
      <c r="B25" s="40" t="str">
        <f>iferror(VLOOKUP(B27,'Parâmetros'!$AB$2:$AJ$30,8,0),'Parâmetros'!$G$7)</f>
        <v>Leonardo Takuno</v>
      </c>
      <c r="C25" s="41" t="s">
        <v>57</v>
      </c>
    </row>
    <row r="26">
      <c r="A26" s="39" t="s">
        <v>58</v>
      </c>
      <c r="B26" s="43" t="str">
        <f>VLOOKUP(B27,'Parâmetros'!$AB$2:$AJ$30,7,0)</f>
        <v>3ª</v>
      </c>
      <c r="C26" s="41" t="s">
        <v>59</v>
      </c>
    </row>
    <row r="27" ht="18.0" customHeight="1">
      <c r="A27" s="39" t="s">
        <v>60</v>
      </c>
      <c r="B27" s="43" t="str">
        <f>CONCATENATE(B6," ", B8,B9," ", B10)</f>
        <v>ADS 4A M</v>
      </c>
      <c r="C27" s="41" t="s">
        <v>61</v>
      </c>
    </row>
    <row r="28" ht="18.0" customHeight="1">
      <c r="A28" s="24" t="s">
        <v>62</v>
      </c>
      <c r="B28" s="45">
        <v>44418.020988530094</v>
      </c>
      <c r="C28" s="27" t="s">
        <v>63</v>
      </c>
    </row>
    <row r="29" ht="25.5" customHeight="1">
      <c r="A29" s="46" t="s">
        <v>36</v>
      </c>
      <c r="B29" s="47" t="s">
        <v>64</v>
      </c>
      <c r="C29" s="48"/>
    </row>
    <row r="30" ht="15.75" customHeight="1">
      <c r="A30" s="49"/>
    </row>
    <row r="31" ht="15.75" customHeight="1" outlineLevel="1">
      <c r="A31" s="24" t="s">
        <v>65</v>
      </c>
      <c r="B31" s="50" t="s">
        <v>66</v>
      </c>
      <c r="C31" s="27" t="s">
        <v>67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">
    <mergeCell ref="B29:C29"/>
  </mergeCells>
  <dataValidations>
    <dataValidation type="list" allowBlank="1" showErrorMessage="1" sqref="B9">
      <formula1>"A,B,C,D,E,F"</formula1>
    </dataValidation>
    <dataValidation type="list" allowBlank="1" showErrorMessage="1" sqref="B7">
      <formula1>"OPE1,OPE2,TCC1,TCC2"</formula1>
    </dataValidation>
    <dataValidation type="decimal" allowBlank="1" showErrorMessage="1" sqref="B3">
      <formula1>0.0</formula1>
      <formula2>8.0</formula2>
    </dataValidation>
    <dataValidation type="list" allowBlank="1" showInputMessage="1" showErrorMessage="1" prompt="Indique a semana que este grupo faz os encontros" sqref="B11">
      <formula1>"1,2,3"</formula1>
    </dataValidation>
    <dataValidation type="list" allowBlank="1" showErrorMessage="1" sqref="B8">
      <formula1>"3.0,4.0,8.0"</formula1>
    </dataValidation>
    <dataValidation type="decimal" operator="greaterThan" allowBlank="1" showErrorMessage="1" sqref="B4">
      <formula1>2018.0</formula1>
    </dataValidation>
    <dataValidation type="decimal" allowBlank="1" showDropDown="1" showErrorMessage="1" sqref="B5">
      <formula1>1.0</formula1>
      <formula2>2.0</formula2>
    </dataValidation>
    <dataValidation type="list" allowBlank="1" showErrorMessage="1" sqref="B10">
      <formula1>"M,V,N,E"</formula1>
    </dataValidation>
    <dataValidation type="list" allowBlank="1" showErrorMessage="1" sqref="B6">
      <formula1>"ADS,BD,GTI,SI"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 outlineLevelCol="1" outlineLevelRow="2"/>
  <cols>
    <col customWidth="1" min="1" max="1" width="21.86"/>
    <col customWidth="1" min="2" max="2" width="27.71" outlineLevel="1"/>
    <col customWidth="1" min="3" max="3" width="8.0" outlineLevel="1"/>
    <col customWidth="1" min="4" max="8" width="14.86"/>
    <col customWidth="1" min="9" max="9" width="11.71"/>
    <col customWidth="1" min="10" max="10" width="10.57" outlineLevel="1"/>
    <col customWidth="1" min="11" max="11" width="11.29" outlineLevel="1"/>
    <col customWidth="1" min="12" max="26" width="8.71"/>
  </cols>
  <sheetData>
    <row r="1">
      <c r="A1" s="51" t="s">
        <v>68</v>
      </c>
      <c r="B1" s="52" t="s">
        <v>69</v>
      </c>
      <c r="C1" s="53" t="s">
        <v>70</v>
      </c>
      <c r="D1" s="53" t="s">
        <v>71</v>
      </c>
      <c r="E1" s="53" t="s">
        <v>72</v>
      </c>
      <c r="F1" s="53" t="s">
        <v>73</v>
      </c>
      <c r="G1" s="53" t="s">
        <v>74</v>
      </c>
      <c r="H1" s="53" t="s">
        <v>75</v>
      </c>
      <c r="I1" s="54" t="s">
        <v>76</v>
      </c>
      <c r="J1" s="54" t="s">
        <v>77</v>
      </c>
      <c r="K1" s="54" t="s">
        <v>78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24" t="s">
        <v>79</v>
      </c>
      <c r="B2" s="56" t="s">
        <v>80</v>
      </c>
      <c r="C2" s="55"/>
      <c r="D2" s="25" t="s">
        <v>81</v>
      </c>
      <c r="E2" s="25" t="s">
        <v>82</v>
      </c>
      <c r="F2" s="25" t="s">
        <v>83</v>
      </c>
      <c r="G2" s="25" t="s">
        <v>84</v>
      </c>
      <c r="H2" s="25" t="s">
        <v>85</v>
      </c>
      <c r="I2" s="57"/>
      <c r="J2" s="57"/>
      <c r="K2" s="57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20" t="s">
        <v>86</v>
      </c>
      <c r="B3" s="56" t="s">
        <v>87</v>
      </c>
      <c r="C3" s="55"/>
      <c r="D3" s="25" t="str">
        <f>if(D62,CONCAT("Sprint ",D62),"BackLog")</f>
        <v>Sprint 4</v>
      </c>
      <c r="E3" s="25" t="str">
        <f t="shared" ref="E3:G3" si="1">CONCAT("Sprint ",E62)</f>
        <v>Sprint 5</v>
      </c>
      <c r="F3" s="25" t="str">
        <f t="shared" si="1"/>
        <v>Sprint 6</v>
      </c>
      <c r="G3" s="25" t="str">
        <f t="shared" si="1"/>
        <v>Sprint 7</v>
      </c>
      <c r="H3" s="25" t="s">
        <v>88</v>
      </c>
      <c r="I3" s="57"/>
      <c r="J3" s="57"/>
      <c r="K3" s="57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20" t="s">
        <v>89</v>
      </c>
      <c r="B4" s="56" t="s">
        <v>90</v>
      </c>
      <c r="C4" s="55"/>
      <c r="D4" s="58">
        <f>vlookup(right(D1) &amp; Agrupamento,  'Parâmetros'!$P$2:$Z$25, 5 + left(DiaSemana),0)</f>
        <v>44418</v>
      </c>
      <c r="E4" s="58">
        <f>vlookup(right(E1) &amp; Agrupamento,  'Parâmetros'!$P$2:$Z$25, 5 + left(DiaSemana),0)</f>
        <v>44439</v>
      </c>
      <c r="F4" s="58">
        <f>vlookup(right(F1) &amp; Agrupamento,  'Parâmetros'!$P$2:$Z$25, 5 + left(DiaSemana),0)</f>
        <v>44460</v>
      </c>
      <c r="G4" s="58" t="str">
        <f>vlookup(right(G1) &amp; Agrupamento,  'Parâmetros'!$P$2:$Z$25, 5 + left(DiaSemana),0)</f>
        <v/>
      </c>
      <c r="H4" s="58">
        <f>vlookup(value(right(H1)),  'Parâmetros'!$R$2:$Z$25, 3 + left(DiaSemana),0)</f>
        <v>44516</v>
      </c>
      <c r="I4" s="59"/>
      <c r="J4" s="58">
        <f>if(formando,
vlookup("Simpacta",  'Parâmetros'!$T$2:$Z$25, 1 + if(left(DiaSemana)=6,6,5),0),
vlookup(J1,  'Parâmetros'!$R$2:$Z$25, 3 + left(DiaSemana),0))</f>
        <v>44546</v>
      </c>
      <c r="K4" s="59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20" t="s">
        <v>91</v>
      </c>
      <c r="B5" s="60" t="s">
        <v>92</v>
      </c>
      <c r="C5" s="55"/>
      <c r="D5" s="61" t="str">
        <f>Orientador</f>
        <v>Leonardo Takuno</v>
      </c>
      <c r="E5" s="61" t="str">
        <f>Orientador</f>
        <v>Leonardo Takuno</v>
      </c>
      <c r="F5" s="61" t="str">
        <f>Orientador</f>
        <v>Leonardo Takuno</v>
      </c>
      <c r="G5" s="61" t="str">
        <f>Orientador</f>
        <v>Leonardo Takuno</v>
      </c>
      <c r="H5" s="61" t="str">
        <f>Orientador</f>
        <v>Leonardo Takuno</v>
      </c>
      <c r="I5" s="62"/>
      <c r="J5" s="61" t="str">
        <f>Orientador</f>
        <v>Leonardo Takuno</v>
      </c>
      <c r="K5" s="62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63" t="s">
        <v>93</v>
      </c>
      <c r="B6" s="64" t="s">
        <v>94</v>
      </c>
      <c r="C6" s="55"/>
      <c r="D6" s="65" t="str">
        <f t="shared" ref="D6:H6" si="2"> IF(ISBLANK(D27),D27,  if(ISBLANK(D13),  ROUND((D27/2+5)/10 * SUM(D9*D57, D8*D71, D10*D94, D11*D109)/COUNTIFS(D8:D11,TRUE),2), ($C13*D13 + $C27*D27)/sum($C13,$C27) ))</f>
        <v/>
      </c>
      <c r="E6" s="65" t="str">
        <f t="shared" si="2"/>
        <v/>
      </c>
      <c r="F6" s="65" t="str">
        <f t="shared" si="2"/>
        <v/>
      </c>
      <c r="G6" s="65" t="str">
        <f t="shared" si="2"/>
        <v/>
      </c>
      <c r="H6" s="65" t="str">
        <f t="shared" si="2"/>
        <v/>
      </c>
      <c r="I6" s="66" t="str">
        <f>if(AND(isblank(D6),isblank(E6),isblank(F6),isblank(G6),isblank(H6)), , ROUND(SUMIFS(D6:H6,D7:H7,"&lt;5")/4,2))</f>
        <v/>
      </c>
      <c r="J6" s="66" t="str">
        <f>if(or(formando, isblank(J125)),,J12*J125)</f>
        <v/>
      </c>
      <c r="K6" s="66" t="str">
        <f>if(or(isblank(I6),isblank(J6)),,round(sumproduct(I7:J7, I6:J6)/5,1)*5)</f>
        <v/>
      </c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idden="1" outlineLevel="1">
      <c r="A7" s="67"/>
      <c r="B7" s="67"/>
      <c r="C7" s="68" t="s">
        <v>95</v>
      </c>
      <c r="D7" s="69">
        <f t="shared" ref="D7:H7" si="3">IFERROR(_xlfn.RANK.EQ(D6,$D$6:$H$6,0) + COUNTIF($D6:D6,D6)-1, 5)</f>
        <v>5</v>
      </c>
      <c r="E7" s="69">
        <f t="shared" si="3"/>
        <v>5</v>
      </c>
      <c r="F7" s="69">
        <f t="shared" si="3"/>
        <v>5</v>
      </c>
      <c r="G7" s="69">
        <f t="shared" si="3"/>
        <v>5</v>
      </c>
      <c r="H7" s="69">
        <f t="shared" si="3"/>
        <v>5</v>
      </c>
      <c r="I7" s="70">
        <v>0.5</v>
      </c>
      <c r="J7" s="70">
        <v>0.5</v>
      </c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collapsed="1">
      <c r="A8" s="71" t="s">
        <v>96</v>
      </c>
      <c r="B8" s="56" t="s">
        <v>97</v>
      </c>
      <c r="C8" s="72"/>
      <c r="D8" s="73" t="b">
        <v>1</v>
      </c>
      <c r="E8" s="74" t="b">
        <v>1</v>
      </c>
      <c r="F8" s="74" t="b">
        <v>1</v>
      </c>
      <c r="G8" s="74" t="b">
        <v>1</v>
      </c>
      <c r="H8" s="75" t="b">
        <v>0</v>
      </c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A9" s="71" t="s">
        <v>98</v>
      </c>
      <c r="B9" s="56" t="s">
        <v>99</v>
      </c>
      <c r="C9" s="72"/>
      <c r="D9" s="73" t="b">
        <f>VLOOKUP('Identificação'!$B$27,'Parâmetros'!$AB$1:$AT$30,9+right(D$1),0)</f>
        <v>0</v>
      </c>
      <c r="E9" s="73" t="b">
        <f>VLOOKUP('Identificação'!$B$27,'Parâmetros'!$AB$1:$AT$30,9+right(E$1),0)</f>
        <v>1</v>
      </c>
      <c r="F9" s="73" t="b">
        <f>VLOOKUP('Identificação'!$B$27,'Parâmetros'!$AB$1:$AT$30,9+right(F$1),0)</f>
        <v>1</v>
      </c>
      <c r="G9" s="73" t="b">
        <f>VLOOKUP('Identificação'!$B$27,'Parâmetros'!$AB$1:$AT$30,9+right(G$1),0)</f>
        <v>1</v>
      </c>
      <c r="H9" s="73" t="b">
        <f>VLOOKUP('Identificação'!$B$27,'Parâmetros'!$AB$1:$AT$30,9+right(H$1),0)</f>
        <v>1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71" t="s">
        <v>100</v>
      </c>
      <c r="B10" s="56" t="s">
        <v>101</v>
      </c>
      <c r="C10" s="72"/>
      <c r="D10" s="73" t="b">
        <f>VLOOKUP('Identificação'!$B$27,'Parâmetros'!$AB$1:$AT$30,14+RIGHT(D$1),0)</f>
        <v>0</v>
      </c>
      <c r="E10" s="73" t="b">
        <f>VLOOKUP('Identificação'!$B$27,'Parâmetros'!$AB$1:$AT$30,14+RIGHT(E$1),0)</f>
        <v>1</v>
      </c>
      <c r="F10" s="73" t="b">
        <f>VLOOKUP('Identificação'!$B$27,'Parâmetros'!$AB$1:$AT$30,14+RIGHT(F$1),0)</f>
        <v>0</v>
      </c>
      <c r="G10" s="73" t="b">
        <f>VLOOKUP('Identificação'!$B$27,'Parâmetros'!$AB$1:$AT$30,14+RIGHT(G$1),0)</f>
        <v>0</v>
      </c>
      <c r="H10" s="73" t="b">
        <f>VLOOKUP('Identificação'!$B$27,'Parâmetros'!$AB$1:$AT$30,14+RIGHT(H$1),0)</f>
        <v>0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71" t="s">
        <v>102</v>
      </c>
      <c r="B11" s="56" t="s">
        <v>103</v>
      </c>
      <c r="C11" s="76" t="s">
        <v>88</v>
      </c>
      <c r="D11" s="77" t="b">
        <v>0</v>
      </c>
      <c r="E11" s="78" t="b">
        <v>0</v>
      </c>
      <c r="F11" s="78" t="b">
        <v>0</v>
      </c>
      <c r="G11" s="78" t="b">
        <v>0</v>
      </c>
      <c r="H11" s="79" t="b">
        <v>0</v>
      </c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>
      <c r="A12" s="71" t="s">
        <v>104</v>
      </c>
      <c r="B12" s="81" t="s">
        <v>105</v>
      </c>
      <c r="C12" s="76"/>
      <c r="D12" s="82"/>
      <c r="E12" s="83"/>
      <c r="F12" s="83"/>
      <c r="G12" s="83"/>
      <c r="H12" s="83"/>
      <c r="I12" s="55"/>
      <c r="J12" s="79" t="b">
        <f>not(formando)</f>
        <v>0</v>
      </c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ht="24.0" customHeight="1">
      <c r="A13" s="84" t="s">
        <v>106</v>
      </c>
      <c r="B13" s="85" t="s">
        <v>107</v>
      </c>
      <c r="C13" s="86">
        <v>2.0</v>
      </c>
      <c r="D13" s="87"/>
      <c r="E13" s="87"/>
      <c r="F13" s="87"/>
      <c r="G13" s="87"/>
      <c r="H13" s="87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24.0" customHeight="1">
      <c r="A14" s="30" t="s">
        <v>108</v>
      </c>
      <c r="B14" s="85" t="s">
        <v>109</v>
      </c>
      <c r="C14" s="76" t="s">
        <v>88</v>
      </c>
      <c r="D14" s="88"/>
      <c r="E14" s="88"/>
      <c r="F14" s="88"/>
      <c r="G14" s="88"/>
      <c r="H14" s="88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89" t="s">
        <v>110</v>
      </c>
      <c r="B15" s="90"/>
      <c r="C15" s="90"/>
      <c r="D15" s="90"/>
      <c r="E15" s="90"/>
      <c r="F15" s="90"/>
      <c r="G15" s="90"/>
      <c r="H15" s="90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outlineLevel="1">
      <c r="A16" s="91" t="s">
        <v>111</v>
      </c>
      <c r="B16" s="91" t="s">
        <v>112</v>
      </c>
      <c r="C16" s="92" t="s">
        <v>113</v>
      </c>
      <c r="D16" s="93">
        <f t="shared" ref="D16:H16" si="4">D$4</f>
        <v>44418</v>
      </c>
      <c r="E16" s="93">
        <f t="shared" si="4"/>
        <v>44439</v>
      </c>
      <c r="F16" s="93">
        <f t="shared" si="4"/>
        <v>44460</v>
      </c>
      <c r="G16" s="93" t="str">
        <f t="shared" si="4"/>
        <v/>
      </c>
      <c r="H16" s="93">
        <f t="shared" si="4"/>
        <v>44516</v>
      </c>
      <c r="I16" s="94" t="s">
        <v>114</v>
      </c>
      <c r="J16" s="95"/>
      <c r="K16" s="96"/>
      <c r="L16" s="97" t="s">
        <v>115</v>
      </c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outlineLevel="1">
      <c r="A17" s="98" t="s">
        <v>116</v>
      </c>
      <c r="B17" s="74"/>
      <c r="C17" s="75"/>
      <c r="D17" s="99"/>
      <c r="E17" s="99"/>
      <c r="F17" s="99"/>
      <c r="G17" s="99"/>
      <c r="H17" s="99"/>
      <c r="I17" s="100"/>
      <c r="J17" s="101"/>
      <c r="K17" s="48"/>
      <c r="L17" s="102" t="str">
        <f t="shared" ref="L17:L26" si="5">IF(ISBLANK(A17),,HYPERLINK("mailto:"&amp;A17&amp;"@aluno.faculdadeimpacta.com.br",A17&amp;"@aluno.faculdadeimpacta.com.br"))</f>
        <v>daniella.barros@aluno.faculdadeimpacta.com.br</v>
      </c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outlineLevel="1">
      <c r="A18" s="103" t="s">
        <v>117</v>
      </c>
      <c r="B18" s="74" t="s">
        <v>118</v>
      </c>
      <c r="C18" s="104">
        <v>1903167.0</v>
      </c>
      <c r="D18" s="105"/>
      <c r="E18" s="105"/>
      <c r="F18" s="105"/>
      <c r="G18" s="105"/>
      <c r="H18" s="105"/>
      <c r="I18" s="106"/>
      <c r="J18" s="107"/>
      <c r="K18" s="108"/>
      <c r="L18" s="102" t="str">
        <f t="shared" si="5"/>
        <v>bruno.matsunaga@aluno.faculdadeimpacta.com.br</v>
      </c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outlineLevel="1">
      <c r="A19" s="103" t="s">
        <v>119</v>
      </c>
      <c r="B19" s="74"/>
      <c r="C19" s="75"/>
      <c r="D19" s="105"/>
      <c r="E19" s="105"/>
      <c r="F19" s="105"/>
      <c r="G19" s="105"/>
      <c r="H19" s="105"/>
      <c r="I19" s="106"/>
      <c r="J19" s="107"/>
      <c r="K19" s="108"/>
      <c r="L19" s="102" t="str">
        <f t="shared" si="5"/>
        <v>diego.bezerra@aluno.faculdadeimpacta.com.br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outlineLevel="1">
      <c r="A20" s="103" t="s">
        <v>120</v>
      </c>
      <c r="B20" s="74" t="s">
        <v>121</v>
      </c>
      <c r="C20" s="104">
        <v>1903824.0</v>
      </c>
      <c r="D20" s="105"/>
      <c r="E20" s="105"/>
      <c r="F20" s="105"/>
      <c r="G20" s="76"/>
      <c r="H20" s="76"/>
      <c r="I20" s="106"/>
      <c r="J20" s="107"/>
      <c r="K20" s="108"/>
      <c r="L20" s="102" t="str">
        <f t="shared" si="5"/>
        <v>elison.trindade@aluno.faculdadeimpacta.com.br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outlineLevel="1">
      <c r="A21" s="103" t="s">
        <v>122</v>
      </c>
      <c r="B21" s="109" t="s">
        <v>123</v>
      </c>
      <c r="C21" s="104">
        <v>1903516.0</v>
      </c>
      <c r="D21" s="105"/>
      <c r="E21" s="105"/>
      <c r="F21" s="105"/>
      <c r="G21" s="76"/>
      <c r="H21" s="76"/>
      <c r="I21" s="106"/>
      <c r="J21" s="107"/>
      <c r="K21" s="108"/>
      <c r="L21" s="102" t="str">
        <f t="shared" si="5"/>
        <v>sushila.claro@aluno.faculdadeimpacta.com.br</v>
      </c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outlineLevel="1">
      <c r="A22" s="110"/>
      <c r="B22" s="75"/>
      <c r="C22" s="75"/>
      <c r="D22" s="105"/>
      <c r="E22" s="76"/>
      <c r="F22" s="76"/>
      <c r="G22" s="76"/>
      <c r="H22" s="76"/>
      <c r="I22" s="106"/>
      <c r="J22" s="107"/>
      <c r="K22" s="108"/>
      <c r="L22" s="102" t="str">
        <f t="shared" si="5"/>
        <v/>
      </c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outlineLevel="1">
      <c r="A23" s="110"/>
      <c r="B23" s="75"/>
      <c r="C23" s="75"/>
      <c r="D23" s="76"/>
      <c r="E23" s="76"/>
      <c r="F23" s="76"/>
      <c r="G23" s="76"/>
      <c r="H23" s="76"/>
      <c r="I23" s="106"/>
      <c r="J23" s="107"/>
      <c r="K23" s="108"/>
      <c r="L23" s="102" t="str">
        <f t="shared" si="5"/>
        <v/>
      </c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outlineLevel="1">
      <c r="A24" s="110"/>
      <c r="B24" s="75"/>
      <c r="C24" s="75"/>
      <c r="D24" s="76"/>
      <c r="E24" s="76"/>
      <c r="F24" s="76"/>
      <c r="G24" s="76"/>
      <c r="H24" s="76"/>
      <c r="I24" s="106"/>
      <c r="J24" s="107"/>
      <c r="K24" s="108"/>
      <c r="L24" s="102" t="str">
        <f t="shared" si="5"/>
        <v/>
      </c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outlineLevel="1">
      <c r="A25" s="111"/>
      <c r="B25" s="75"/>
      <c r="C25" s="75"/>
      <c r="D25" s="76"/>
      <c r="E25" s="76"/>
      <c r="F25" s="76"/>
      <c r="G25" s="76"/>
      <c r="H25" s="76"/>
      <c r="I25" s="106"/>
      <c r="J25" s="107"/>
      <c r="K25" s="108"/>
      <c r="L25" s="102" t="str">
        <f t="shared" si="5"/>
        <v/>
      </c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outlineLevel="1">
      <c r="A26" s="112"/>
      <c r="B26" s="75"/>
      <c r="C26" s="75"/>
      <c r="D26" s="76"/>
      <c r="E26" s="76"/>
      <c r="F26" s="76"/>
      <c r="G26" s="76"/>
      <c r="H26" s="76"/>
      <c r="I26" s="106"/>
      <c r="J26" s="107"/>
      <c r="K26" s="108"/>
      <c r="L26" s="102" t="str">
        <f t="shared" si="5"/>
        <v/>
      </c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>
      <c r="A27" s="113">
        <f>COUNTA(A17:A26)</f>
        <v>5</v>
      </c>
      <c r="B27" s="114" t="s">
        <v>124</v>
      </c>
      <c r="C27" s="115">
        <v>1.0</v>
      </c>
      <c r="D27" s="53" t="str">
        <f t="shared" ref="D27:H27" si="6">IF(and(D33,$A$27,D28),ROUND(10*SUM(D29:D30)/D33,1),)</f>
        <v/>
      </c>
      <c r="E27" s="53" t="str">
        <f t="shared" si="6"/>
        <v/>
      </c>
      <c r="F27" s="53" t="str">
        <f t="shared" si="6"/>
        <v/>
      </c>
      <c r="G27" s="53" t="str">
        <f t="shared" si="6"/>
        <v/>
      </c>
      <c r="H27" s="53" t="str">
        <f t="shared" si="6"/>
        <v/>
      </c>
      <c r="I27" s="80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idden="1" outlineLevel="1">
      <c r="A28" s="116" t="s">
        <v>125</v>
      </c>
      <c r="B28" s="117" t="s">
        <v>126</v>
      </c>
      <c r="C28" s="118"/>
      <c r="D28" s="119">
        <f t="shared" ref="D28:H28" si="7">COUNTA(D17:D26)</f>
        <v>0</v>
      </c>
      <c r="E28" s="119">
        <f t="shared" si="7"/>
        <v>0</v>
      </c>
      <c r="F28" s="119">
        <f t="shared" si="7"/>
        <v>0</v>
      </c>
      <c r="G28" s="120">
        <f t="shared" si="7"/>
        <v>0</v>
      </c>
      <c r="H28" s="120">
        <f t="shared" si="7"/>
        <v>0</v>
      </c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idden="1" outlineLevel="1">
      <c r="A29" s="121" t="s">
        <v>127</v>
      </c>
      <c r="B29" s="122" t="s">
        <v>128</v>
      </c>
      <c r="C29" s="123"/>
      <c r="D29" s="124">
        <f t="shared" ref="D29:H29" si="8">COUNTIFS(D$17:D$26,$A29)</f>
        <v>0</v>
      </c>
      <c r="E29" s="124">
        <f t="shared" si="8"/>
        <v>0</v>
      </c>
      <c r="F29" s="124">
        <f t="shared" si="8"/>
        <v>0</v>
      </c>
      <c r="G29" s="125">
        <f t="shared" si="8"/>
        <v>0</v>
      </c>
      <c r="H29" s="125">
        <f t="shared" si="8"/>
        <v>0</v>
      </c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idden="1" outlineLevel="1">
      <c r="A30" s="121" t="s">
        <v>19</v>
      </c>
      <c r="B30" s="126" t="s">
        <v>129</v>
      </c>
      <c r="C30" s="123"/>
      <c r="D30" s="124">
        <f t="shared" ref="D30:H30" si="9">COUNTIFS(D$17:D$26,$A30)</f>
        <v>0</v>
      </c>
      <c r="E30" s="124">
        <f t="shared" si="9"/>
        <v>0</v>
      </c>
      <c r="F30" s="124">
        <f t="shared" si="9"/>
        <v>0</v>
      </c>
      <c r="G30" s="125">
        <f t="shared" si="9"/>
        <v>0</v>
      </c>
      <c r="H30" s="125">
        <f t="shared" si="9"/>
        <v>0</v>
      </c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idden="1" outlineLevel="1">
      <c r="A31" s="127" t="str">
        <f>A39</f>
        <v>F</v>
      </c>
      <c r="B31" s="122" t="s">
        <v>130</v>
      </c>
      <c r="C31" s="123"/>
      <c r="D31" s="124">
        <f t="shared" ref="D31:H31" si="10">if(D28=$A$27, COUNTIFS(D$17:D$26,$A31), max(C33,D28) - sum(D29:D30))</f>
        <v>5</v>
      </c>
      <c r="E31" s="124">
        <f t="shared" si="10"/>
        <v>5</v>
      </c>
      <c r="F31" s="124">
        <f t="shared" si="10"/>
        <v>5</v>
      </c>
      <c r="G31" s="124">
        <f t="shared" si="10"/>
        <v>5</v>
      </c>
      <c r="H31" s="124">
        <f t="shared" si="10"/>
        <v>5</v>
      </c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idden="1" outlineLevel="1">
      <c r="A32" s="128" t="s">
        <v>131</v>
      </c>
      <c r="B32" s="129" t="s">
        <v>132</v>
      </c>
      <c r="C32" s="130"/>
      <c r="D32" s="131">
        <f t="shared" ref="D32:H32" si="11">D28-SUM(D29:D30)-COUNTIFS(D$17:D$26,$A31)</f>
        <v>0</v>
      </c>
      <c r="E32" s="131">
        <f t="shared" si="11"/>
        <v>0</v>
      </c>
      <c r="F32" s="131">
        <f t="shared" si="11"/>
        <v>0</v>
      </c>
      <c r="G32" s="131">
        <f t="shared" si="11"/>
        <v>0</v>
      </c>
      <c r="H32" s="131">
        <f t="shared" si="11"/>
        <v>0</v>
      </c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idden="1" outlineLevel="1">
      <c r="A33" s="132" t="s">
        <v>125</v>
      </c>
      <c r="B33" s="133" t="s">
        <v>133</v>
      </c>
      <c r="C33" s="134">
        <f>A27</f>
        <v>5</v>
      </c>
      <c r="D33" s="135">
        <f t="shared" ref="D33:H33" si="12">SUM(D29:D31)</f>
        <v>5</v>
      </c>
      <c r="E33" s="135">
        <f t="shared" si="12"/>
        <v>5</v>
      </c>
      <c r="F33" s="135">
        <f t="shared" si="12"/>
        <v>5</v>
      </c>
      <c r="G33" s="136">
        <f t="shared" si="12"/>
        <v>5</v>
      </c>
      <c r="H33" s="136">
        <f t="shared" si="12"/>
        <v>5</v>
      </c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idden="1" outlineLevel="1">
      <c r="A34" s="137">
        <f>H34</f>
        <v>5</v>
      </c>
      <c r="B34" s="133" t="s">
        <v>134</v>
      </c>
      <c r="C34" s="138">
        <f>A27</f>
        <v>5</v>
      </c>
      <c r="D34" s="124">
        <f t="shared" ref="D34:H34" si="13">if(D33=0,C34,D33)</f>
        <v>5</v>
      </c>
      <c r="E34" s="124">
        <f t="shared" si="13"/>
        <v>5</v>
      </c>
      <c r="F34" s="124">
        <f t="shared" si="13"/>
        <v>5</v>
      </c>
      <c r="G34" s="125">
        <f t="shared" si="13"/>
        <v>5</v>
      </c>
      <c r="H34" s="125">
        <f t="shared" si="13"/>
        <v>5</v>
      </c>
      <c r="I34" s="139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collapsed="1">
      <c r="A35" s="140" t="s">
        <v>135</v>
      </c>
      <c r="B35" s="141"/>
      <c r="C35" s="55"/>
      <c r="D35" s="55"/>
      <c r="E35" s="142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outlineLevel="1">
      <c r="A36" s="143" t="s">
        <v>136</v>
      </c>
      <c r="B36" s="27" t="s">
        <v>137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outlineLevel="1">
      <c r="A37" s="144" t="s">
        <v>127</v>
      </c>
      <c r="B37" s="22" t="s">
        <v>128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outlineLevel="1">
      <c r="A38" s="144" t="s">
        <v>19</v>
      </c>
      <c r="B38" s="27" t="s">
        <v>138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outlineLevel="1">
      <c r="A39" s="144" t="s">
        <v>139</v>
      </c>
      <c r="B39" s="22" t="s">
        <v>140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outlineLevel="1">
      <c r="A40" s="145" t="s">
        <v>141</v>
      </c>
      <c r="B40" s="27" t="s">
        <v>142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146" t="s">
        <v>98</v>
      </c>
      <c r="B42" s="55"/>
      <c r="C42" s="55"/>
      <c r="D42" s="141" t="s">
        <v>143</v>
      </c>
      <c r="E42" s="141" t="s">
        <v>143</v>
      </c>
      <c r="F42" s="141" t="s">
        <v>143</v>
      </c>
      <c r="G42" s="141" t="s">
        <v>143</v>
      </c>
      <c r="H42" s="141" t="s">
        <v>144</v>
      </c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outlineLevel="1">
      <c r="A43" s="53" t="s">
        <v>145</v>
      </c>
      <c r="B43" s="53" t="s">
        <v>146</v>
      </c>
      <c r="C43" s="53" t="s">
        <v>70</v>
      </c>
      <c r="D43" s="147" t="str">
        <f t="shared" ref="D43:H43" si="14">D$1</f>
        <v>AC1</v>
      </c>
      <c r="E43" s="147" t="str">
        <f t="shared" si="14"/>
        <v>AC2</v>
      </c>
      <c r="F43" s="147" t="str">
        <f t="shared" si="14"/>
        <v>AC3</v>
      </c>
      <c r="G43" s="147" t="str">
        <f t="shared" si="14"/>
        <v>AC4</v>
      </c>
      <c r="H43" s="147" t="str">
        <f t="shared" si="14"/>
        <v>AC5</v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outlineLevel="2">
      <c r="A44" s="20" t="s">
        <v>147</v>
      </c>
      <c r="B44" s="22" t="s">
        <v>148</v>
      </c>
      <c r="C44" s="144"/>
      <c r="D44" s="53" t="s">
        <v>149</v>
      </c>
      <c r="E44" s="53" t="s">
        <v>150</v>
      </c>
      <c r="F44" s="53" t="s">
        <v>151</v>
      </c>
      <c r="G44" s="53" t="s">
        <v>152</v>
      </c>
      <c r="H44" s="148" t="s">
        <v>153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outlineLevel="2">
      <c r="A45" s="20" t="s">
        <v>154</v>
      </c>
      <c r="B45" s="22" t="s">
        <v>155</v>
      </c>
      <c r="C45" s="76" t="s">
        <v>88</v>
      </c>
      <c r="D45" s="149">
        <f t="shared" ref="D45:H45" si="15">D$4</f>
        <v>44418</v>
      </c>
      <c r="E45" s="149">
        <f t="shared" si="15"/>
        <v>44439</v>
      </c>
      <c r="F45" s="149">
        <f t="shared" si="15"/>
        <v>44460</v>
      </c>
      <c r="G45" s="149" t="str">
        <f t="shared" si="15"/>
        <v/>
      </c>
      <c r="H45" s="149">
        <f t="shared" si="15"/>
        <v>44516</v>
      </c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outlineLevel="2">
      <c r="A46" s="20" t="s">
        <v>91</v>
      </c>
      <c r="B46" s="22" t="s">
        <v>92</v>
      </c>
      <c r="C46" s="76" t="s">
        <v>88</v>
      </c>
      <c r="D46" s="76" t="str">
        <f t="shared" ref="D46:H46" si="16">IF(ISBLANK(D$5),,D$5)</f>
        <v>Leonardo Takuno</v>
      </c>
      <c r="E46" s="76" t="str">
        <f t="shared" si="16"/>
        <v>Leonardo Takuno</v>
      </c>
      <c r="F46" s="76" t="str">
        <f t="shared" si="16"/>
        <v>Leonardo Takuno</v>
      </c>
      <c r="G46" s="76" t="str">
        <f t="shared" si="16"/>
        <v>Leonardo Takuno</v>
      </c>
      <c r="H46" s="76" t="str">
        <f t="shared" si="16"/>
        <v>Leonardo Takuno</v>
      </c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outlineLevel="2">
      <c r="A47" s="20" t="s">
        <v>156</v>
      </c>
      <c r="B47" s="22" t="s">
        <v>157</v>
      </c>
      <c r="C47" s="76" t="s">
        <v>88</v>
      </c>
      <c r="D47" s="150"/>
      <c r="E47" s="151"/>
      <c r="F47" s="151"/>
      <c r="G47" s="151"/>
      <c r="H47" s="151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outlineLevel="2">
      <c r="A48" s="152" t="s">
        <v>158</v>
      </c>
      <c r="B48" s="153" t="s">
        <v>159</v>
      </c>
      <c r="C48" s="154" t="s">
        <v>88</v>
      </c>
      <c r="D48" s="155"/>
      <c r="E48" s="155"/>
      <c r="F48" s="155"/>
      <c r="G48" s="155"/>
      <c r="H48" s="155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outlineLevel="2">
      <c r="A49" s="46" t="s">
        <v>160</v>
      </c>
      <c r="B49" s="156" t="s">
        <v>161</v>
      </c>
      <c r="C49" s="157">
        <v>1.0</v>
      </c>
      <c r="D49" s="99"/>
      <c r="E49" s="99"/>
      <c r="F49" s="157"/>
      <c r="G49" s="157"/>
      <c r="H49" s="99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outlineLevel="2">
      <c r="A50" s="20" t="s">
        <v>162</v>
      </c>
      <c r="B50" s="22" t="s">
        <v>163</v>
      </c>
      <c r="C50" s="76">
        <v>1.0</v>
      </c>
      <c r="D50" s="105"/>
      <c r="E50" s="105"/>
      <c r="F50" s="76"/>
      <c r="G50" s="76"/>
      <c r="H50" s="76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outlineLevel="2">
      <c r="A51" s="20" t="s">
        <v>164</v>
      </c>
      <c r="B51" s="22" t="s">
        <v>165</v>
      </c>
      <c r="C51" s="76">
        <v>1.0</v>
      </c>
      <c r="D51" s="105"/>
      <c r="E51" s="105"/>
      <c r="F51" s="76"/>
      <c r="G51" s="76"/>
      <c r="H51" s="76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outlineLevel="1">
      <c r="A52" s="20" t="s">
        <v>166</v>
      </c>
      <c r="B52" s="22" t="s">
        <v>167</v>
      </c>
      <c r="C52" s="76">
        <v>1.0</v>
      </c>
      <c r="D52" s="105"/>
      <c r="E52" s="105"/>
      <c r="F52" s="76"/>
      <c r="G52" s="76"/>
      <c r="H52" s="76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hidden="1" outlineLevel="2">
      <c r="A53" s="158" t="s">
        <v>168</v>
      </c>
      <c r="B53" s="158"/>
      <c r="C53" s="159">
        <f t="shared" ref="C53:C56" si="17">C49</f>
        <v>1</v>
      </c>
      <c r="D53" s="159" t="str">
        <f>IFERROR(VLOOKUP(D49,'Parâmetros'!$D$3:$E$8,2,0),)</f>
        <v/>
      </c>
      <c r="E53" s="159" t="str">
        <f>IFERROR(VLOOKUP(E49,'Parâmetros'!$D$3:$E$8,2,0),)</f>
        <v/>
      </c>
      <c r="F53" s="159" t="str">
        <f>IFERROR(VLOOKUP(F49,'Parâmetros'!$D$3:$E$8,2,0),)</f>
        <v/>
      </c>
      <c r="G53" s="159" t="str">
        <f>IFERROR(VLOOKUP(G49,'Parâmetros'!$D$3:$E$8,2,0),)</f>
        <v/>
      </c>
      <c r="H53" s="159" t="str">
        <f>IFERROR(VLOOKUP(H49,'Parâmetros'!$D$3:$E$8,2,0),)</f>
        <v/>
      </c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hidden="1" outlineLevel="2">
      <c r="A54" s="158" t="s">
        <v>169</v>
      </c>
      <c r="B54" s="158"/>
      <c r="C54" s="159">
        <f t="shared" si="17"/>
        <v>1</v>
      </c>
      <c r="D54" s="159" t="str">
        <f>IFERROR(VLOOKUP(D50,'Parâmetros'!$D$3:$E$8,2,0),)</f>
        <v/>
      </c>
      <c r="E54" s="159" t="str">
        <f>IFERROR(VLOOKUP(E50,'Parâmetros'!$D$3:$E$8,2,0),)</f>
        <v/>
      </c>
      <c r="F54" s="159" t="str">
        <f>IFERROR(VLOOKUP(F50,'Parâmetros'!$D$3:$E$8,2,0),)</f>
        <v/>
      </c>
      <c r="G54" s="159" t="str">
        <f>IFERROR(VLOOKUP(G50,'Parâmetros'!$D$3:$E$8,2,0),)</f>
        <v/>
      </c>
      <c r="H54" s="159" t="str">
        <f>IFERROR(VLOOKUP(H50,'Parâmetros'!$D$3:$E$8,2,0),)</f>
        <v/>
      </c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hidden="1" outlineLevel="2">
      <c r="A55" s="158" t="s">
        <v>170</v>
      </c>
      <c r="B55" s="158"/>
      <c r="C55" s="159">
        <f t="shared" si="17"/>
        <v>1</v>
      </c>
      <c r="D55" s="159" t="str">
        <f>IFERROR(VLOOKUP(D51,'Parâmetros'!$D$3:$E$8,2,0),)</f>
        <v/>
      </c>
      <c r="E55" s="159" t="str">
        <f>IFERROR(VLOOKUP(E51,'Parâmetros'!$D$3:$E$8,2,0),)</f>
        <v/>
      </c>
      <c r="F55" s="159" t="str">
        <f>IFERROR(VLOOKUP(F51,'Parâmetros'!$D$3:$E$8,2,0),)</f>
        <v/>
      </c>
      <c r="G55" s="159" t="str">
        <f>IFERROR(VLOOKUP(G51,'Parâmetros'!$D$3:$E$8,2,0),)</f>
        <v/>
      </c>
      <c r="H55" s="159" t="str">
        <f>IFERROR(VLOOKUP(H51,'Parâmetros'!$D$3:$E$8,2,0),)</f>
        <v/>
      </c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hidden="1" outlineLevel="2">
      <c r="A56" s="160" t="s">
        <v>171</v>
      </c>
      <c r="B56" s="160"/>
      <c r="C56" s="161">
        <f t="shared" si="17"/>
        <v>1</v>
      </c>
      <c r="D56" s="159" t="str">
        <f>IFERROR(VLOOKUP(D52,'Parâmetros'!$D$3:$E$8,2,0),)</f>
        <v/>
      </c>
      <c r="E56" s="159" t="str">
        <f>IFERROR(VLOOKUP(E52,'Parâmetros'!$D$3:$E$8,2,0),)</f>
        <v/>
      </c>
      <c r="F56" s="159" t="str">
        <f>IFERROR(VLOOKUP(F52,'Parâmetros'!$D$3:$E$8,2,0),)</f>
        <v/>
      </c>
      <c r="G56" s="159" t="str">
        <f>IFERROR(VLOOKUP(G52,'Parâmetros'!$D$3:$E$8,2,0),)</f>
        <v/>
      </c>
      <c r="H56" s="159" t="str">
        <f>IFERROR(VLOOKUP(H52,'Parâmetros'!$D$3:$E$8,2,0),)</f>
        <v/>
      </c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outlineLevel="1" collapsed="1">
      <c r="A57" s="162" t="s">
        <v>172</v>
      </c>
      <c r="B57" s="163"/>
      <c r="C57" s="164">
        <f>SUM(C49:C52)</f>
        <v>4</v>
      </c>
      <c r="D57" s="165" t="str">
        <f t="shared" ref="D57:H57" si="18">IF(COUNT(D53:D56)=0,,ROUND(SUMPRODUCT($C53:$C56,   D53:D56)/SUM($C53:$C56),1))</f>
        <v/>
      </c>
      <c r="E57" s="165" t="str">
        <f t="shared" si="18"/>
        <v/>
      </c>
      <c r="F57" s="165" t="str">
        <f t="shared" si="18"/>
        <v/>
      </c>
      <c r="G57" s="165" t="str">
        <f t="shared" si="18"/>
        <v/>
      </c>
      <c r="H57" s="165" t="str">
        <f t="shared" si="18"/>
        <v/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146" t="s">
        <v>96</v>
      </c>
      <c r="B59" s="55"/>
      <c r="C59" s="55"/>
      <c r="D59" s="55"/>
      <c r="E59" s="55"/>
      <c r="F59" s="55"/>
      <c r="G59" s="55"/>
      <c r="H59" s="80"/>
      <c r="I59" s="80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outlineLevel="1">
      <c r="A60" s="166" t="s">
        <v>145</v>
      </c>
      <c r="B60" s="166" t="s">
        <v>146</v>
      </c>
      <c r="C60" s="166" t="s">
        <v>70</v>
      </c>
      <c r="D60" s="147" t="str">
        <f t="shared" ref="D60:G60" si="19">D$1</f>
        <v>AC1</v>
      </c>
      <c r="E60" s="147" t="str">
        <f t="shared" si="19"/>
        <v>AC2</v>
      </c>
      <c r="F60" s="147" t="str">
        <f t="shared" si="19"/>
        <v>AC3</v>
      </c>
      <c r="G60" s="147" t="str">
        <f t="shared" si="19"/>
        <v>AC4</v>
      </c>
      <c r="H60" s="80"/>
      <c r="I60" s="80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outlineLevel="2">
      <c r="A61" s="24" t="s">
        <v>154</v>
      </c>
      <c r="B61" s="22" t="s">
        <v>173</v>
      </c>
      <c r="C61" s="167">
        <f>D61-21</f>
        <v>44397</v>
      </c>
      <c r="D61" s="149">
        <f t="shared" ref="D61:G61" si="20">D$4</f>
        <v>44418</v>
      </c>
      <c r="E61" s="149">
        <f t="shared" si="20"/>
        <v>44439</v>
      </c>
      <c r="F61" s="149">
        <f t="shared" si="20"/>
        <v>44460</v>
      </c>
      <c r="G61" s="149" t="str">
        <f t="shared" si="20"/>
        <v/>
      </c>
      <c r="H61" s="80"/>
      <c r="I61" s="80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outlineLevel="2">
      <c r="A62" s="20" t="s">
        <v>174</v>
      </c>
      <c r="B62" s="22" t="s">
        <v>175</v>
      </c>
      <c r="C62" s="76">
        <f>D62</f>
        <v>4</v>
      </c>
      <c r="D62" s="168">
        <f>IF(formando,4,0)</f>
        <v>4</v>
      </c>
      <c r="E62" s="168">
        <f t="shared" ref="E62:G62" si="21">D62+1</f>
        <v>5</v>
      </c>
      <c r="F62" s="168">
        <f t="shared" si="21"/>
        <v>6</v>
      </c>
      <c r="G62" s="168">
        <f t="shared" si="21"/>
        <v>7</v>
      </c>
      <c r="H62" s="80"/>
      <c r="I62" s="80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outlineLevel="2">
      <c r="A63" s="20" t="s">
        <v>91</v>
      </c>
      <c r="B63" s="22" t="s">
        <v>176</v>
      </c>
      <c r="C63" s="76" t="s">
        <v>88</v>
      </c>
      <c r="D63" s="76" t="str">
        <f t="shared" ref="D63:G63" si="22">IF(ISBLANK(D$5),,D$5)</f>
        <v>Leonardo Takuno</v>
      </c>
      <c r="E63" s="76" t="str">
        <f t="shared" si="22"/>
        <v>Leonardo Takuno</v>
      </c>
      <c r="F63" s="76" t="str">
        <f t="shared" si="22"/>
        <v>Leonardo Takuno</v>
      </c>
      <c r="G63" s="76" t="str">
        <f t="shared" si="22"/>
        <v>Leonardo Takuno</v>
      </c>
      <c r="H63" s="80"/>
      <c r="I63" s="80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outlineLevel="2">
      <c r="A64" s="20" t="s">
        <v>156</v>
      </c>
      <c r="B64" s="22" t="s">
        <v>157</v>
      </c>
      <c r="C64" s="76" t="s">
        <v>88</v>
      </c>
      <c r="D64" s="151"/>
      <c r="E64" s="151"/>
      <c r="F64" s="151"/>
      <c r="G64" s="151"/>
      <c r="H64" s="80"/>
      <c r="I64" s="80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outlineLevel="2">
      <c r="A65" s="152" t="s">
        <v>158</v>
      </c>
      <c r="B65" s="153" t="s">
        <v>159</v>
      </c>
      <c r="C65" s="154" t="s">
        <v>88</v>
      </c>
      <c r="D65" s="155"/>
      <c r="E65" s="155"/>
      <c r="F65" s="155"/>
      <c r="G65" s="155"/>
      <c r="H65" s="80"/>
      <c r="I65" s="80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outlineLevel="2">
      <c r="A66" s="46" t="s">
        <v>177</v>
      </c>
      <c r="B66" s="169" t="s">
        <v>178</v>
      </c>
      <c r="C66" s="157">
        <v>1.0</v>
      </c>
      <c r="D66" s="99"/>
      <c r="E66" s="99"/>
      <c r="F66" s="99"/>
      <c r="G66" s="99"/>
      <c r="H66" s="80"/>
      <c r="I66" s="80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outlineLevel="1">
      <c r="A67" s="20" t="s">
        <v>179</v>
      </c>
      <c r="B67" s="27" t="s">
        <v>180</v>
      </c>
      <c r="C67" s="76">
        <v>1.0</v>
      </c>
      <c r="D67" s="105"/>
      <c r="E67" s="99"/>
      <c r="F67" s="99"/>
      <c r="G67" s="99"/>
      <c r="H67" s="80"/>
      <c r="I67" s="80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outlineLevel="1">
      <c r="A68" s="24" t="s">
        <v>181</v>
      </c>
      <c r="B68" s="27" t="s">
        <v>182</v>
      </c>
      <c r="C68" s="76">
        <v>1.0</v>
      </c>
      <c r="D68" s="23" t="str">
        <f t="shared" ref="D68:G68" si="23">IFERROR(round(10*MAX(0,MIN(1,(D79-D80)/D78)),0))</f>
        <v/>
      </c>
      <c r="E68" s="23" t="str">
        <f t="shared" si="23"/>
        <v/>
      </c>
      <c r="F68" s="23" t="str">
        <f t="shared" si="23"/>
        <v/>
      </c>
      <c r="G68" s="23" t="str">
        <f t="shared" si="23"/>
        <v/>
      </c>
      <c r="H68" s="80"/>
      <c r="I68" s="80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idden="1" outlineLevel="2">
      <c r="A69" s="170" t="s">
        <v>183</v>
      </c>
      <c r="B69" s="170"/>
      <c r="C69" s="171">
        <f>C66</f>
        <v>1</v>
      </c>
      <c r="D69" s="23" t="str">
        <f>IFERROR(VLOOKUP(D66,'Parâmetros'!$D$3:$E$8,2,0),)</f>
        <v/>
      </c>
      <c r="E69" s="23" t="str">
        <f>IFERROR(VLOOKUP(E66,'Parâmetros'!$D$3:$E$8,2,0),)</f>
        <v/>
      </c>
      <c r="F69" s="23" t="str">
        <f>IFERROR(VLOOKUP(F66,'Parâmetros'!$D$3:$E$8,2,0),)</f>
        <v/>
      </c>
      <c r="G69" s="23" t="str">
        <f>IFERROR(VLOOKUP(G66,'Parâmetros'!$D$3:$E$8,2,0),)</f>
        <v/>
      </c>
      <c r="H69" s="80"/>
      <c r="I69" s="80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idden="1" outlineLevel="2">
      <c r="A70" s="170" t="s">
        <v>184</v>
      </c>
      <c r="B70" s="170"/>
      <c r="C70" s="171">
        <f>C66</f>
        <v>1</v>
      </c>
      <c r="D70" s="23" t="str">
        <f>IFERROR(VLOOKUP(D67,'Parâmetros'!$D$3:$E$8,2,0),)</f>
        <v/>
      </c>
      <c r="E70" s="23" t="str">
        <f>IFERROR(VLOOKUP(E67,'Parâmetros'!$D$3:$E$8,2,0),)</f>
        <v/>
      </c>
      <c r="F70" s="23" t="str">
        <f>IFERROR(VLOOKUP(F67,'Parâmetros'!$D$3:$E$8,2,0),)</f>
        <v/>
      </c>
      <c r="G70" s="23" t="str">
        <f>IFERROR(VLOOKUP(G67,'Parâmetros'!$D$3:$E$8,2,0),)</f>
        <v/>
      </c>
      <c r="H70" s="80"/>
      <c r="I70" s="80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outlineLevel="1" collapsed="1">
      <c r="A71" s="162" t="s">
        <v>172</v>
      </c>
      <c r="B71" s="163"/>
      <c r="C71" s="164">
        <f>SUM(C64:C67)</f>
        <v>2</v>
      </c>
      <c r="D71" s="165" t="str">
        <f t="shared" ref="D71:G71" si="24">IF(COUNT(D69:D70)&lt;=1,, ROUND(
 IF(D62=0,SUMPRODUCT($C69:$C70,D69:D70)/SUM($C69:$C70),
          SUMPRODUCT($C68:$C70,D68:D70)/SUM($C68:$C70) )  ,1))</f>
        <v/>
      </c>
      <c r="E71" s="165" t="str">
        <f t="shared" si="24"/>
        <v/>
      </c>
      <c r="F71" s="165" t="str">
        <f t="shared" si="24"/>
        <v/>
      </c>
      <c r="G71" s="165" t="str">
        <f t="shared" si="24"/>
        <v/>
      </c>
      <c r="H71" s="80"/>
      <c r="I71" s="80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80"/>
      <c r="B72" s="80"/>
      <c r="C72" s="80"/>
      <c r="D72" s="80"/>
      <c r="E72" s="80"/>
      <c r="F72" s="80"/>
      <c r="G72" s="80"/>
      <c r="H72" s="80"/>
      <c r="I72" s="80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idden="1" outlineLevel="1">
      <c r="A73" s="20" t="s">
        <v>185</v>
      </c>
      <c r="B73" s="22" t="s">
        <v>186</v>
      </c>
      <c r="C73" s="80"/>
      <c r="D73" s="23">
        <f>'Notas_Frequência'!D33</f>
        <v>5</v>
      </c>
      <c r="E73" s="23">
        <f>'Notas_Frequência'!E33</f>
        <v>5</v>
      </c>
      <c r="F73" s="23">
        <f>'Notas_Frequência'!F33</f>
        <v>5</v>
      </c>
      <c r="G73" s="23">
        <f>'Notas_Frequência'!G33</f>
        <v>5</v>
      </c>
      <c r="H73" s="80"/>
      <c r="I73" s="80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idden="1" outlineLevel="1">
      <c r="A74" s="20" t="s">
        <v>187</v>
      </c>
      <c r="B74" s="172" t="s">
        <v>188</v>
      </c>
      <c r="C74" s="80"/>
      <c r="D74" s="23">
        <f>D4-C61</f>
        <v>21</v>
      </c>
      <c r="E74" s="23">
        <f t="shared" ref="E74:G74" si="25">E4-D4</f>
        <v>21</v>
      </c>
      <c r="F74" s="23">
        <f t="shared" si="25"/>
        <v>21</v>
      </c>
      <c r="G74" s="23">
        <f t="shared" si="25"/>
        <v>-44460</v>
      </c>
      <c r="H74" s="80"/>
      <c r="I74" s="80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idden="1" outlineLevel="1">
      <c r="A75" s="20" t="s">
        <v>189</v>
      </c>
      <c r="B75" s="172" t="s">
        <v>190</v>
      </c>
      <c r="C75" s="80"/>
      <c r="D75" s="23">
        <f t="shared" ref="D75:G75" si="26">D74/7</f>
        <v>3</v>
      </c>
      <c r="E75" s="23">
        <f t="shared" si="26"/>
        <v>3</v>
      </c>
      <c r="F75" s="23">
        <f t="shared" si="26"/>
        <v>3</v>
      </c>
      <c r="G75" s="23">
        <f t="shared" si="26"/>
        <v>-6351.428571</v>
      </c>
      <c r="H75" s="80"/>
      <c r="I75" s="80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idden="1" outlineLevel="1">
      <c r="A76" s="20" t="s">
        <v>191</v>
      </c>
      <c r="B76" s="172" t="s">
        <v>192</v>
      </c>
      <c r="C76" s="173">
        <v>4.0</v>
      </c>
      <c r="D76" s="23">
        <f t="shared" ref="D76:G76" si="27">D$73*D$75*($C76-1)</f>
        <v>45</v>
      </c>
      <c r="E76" s="23">
        <f t="shared" si="27"/>
        <v>45</v>
      </c>
      <c r="F76" s="23">
        <f t="shared" si="27"/>
        <v>45</v>
      </c>
      <c r="G76" s="23">
        <f t="shared" si="27"/>
        <v>-95271.42857</v>
      </c>
      <c r="H76" s="80"/>
      <c r="I76" s="80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idden="1" outlineLevel="1">
      <c r="A77" s="20" t="s">
        <v>193</v>
      </c>
      <c r="B77" s="172" t="s">
        <v>194</v>
      </c>
      <c r="C77" s="173">
        <v>12.0</v>
      </c>
      <c r="D77" s="23">
        <f t="shared" ref="D77:G77" si="28">D$73*D$75*$C77-4*D$73</f>
        <v>160</v>
      </c>
      <c r="E77" s="23">
        <f t="shared" si="28"/>
        <v>160</v>
      </c>
      <c r="F77" s="23">
        <f t="shared" si="28"/>
        <v>160</v>
      </c>
      <c r="G77" s="23">
        <f t="shared" si="28"/>
        <v>-381105.7143</v>
      </c>
      <c r="H77" s="80"/>
      <c r="I77" s="80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idden="1" outlineLevel="1">
      <c r="A78" s="20" t="s">
        <v>195</v>
      </c>
      <c r="B78" s="172" t="s">
        <v>196</v>
      </c>
      <c r="C78" s="173"/>
      <c r="D78" s="23">
        <f>SUMIFS(BacklogPlanejado!$E:$E,BacklogPlanejado!$A:$A,D$62)</f>
        <v>0</v>
      </c>
      <c r="E78" s="23">
        <f>SUMIFS(BacklogPlanejado!$E:$E,BacklogPlanejado!$A:$A,E$62)</f>
        <v>0</v>
      </c>
      <c r="F78" s="23">
        <f>SUMIFS(BacklogPlanejado!$E:$E,BacklogPlanejado!$A:$A,F$62)</f>
        <v>0</v>
      </c>
      <c r="G78" s="23">
        <f>SUMIFS(BacklogPlanejado!$E:$E,BacklogPlanejado!$A:$A,G$62)</f>
        <v>0</v>
      </c>
      <c r="H78" s="80"/>
      <c r="I78" s="80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idden="1" outlineLevel="1">
      <c r="A79" s="20" t="s">
        <v>197</v>
      </c>
      <c r="B79" s="172" t="s">
        <v>198</v>
      </c>
      <c r="C79" s="173"/>
      <c r="D79" s="23">
        <f>SUMIFS(BacklogRealizado!$E:$E,BacklogRealizado!$A:$A,D$62,BacklogRealizado!$G:$G,"Concluída")</f>
        <v>0</v>
      </c>
      <c r="E79" s="23">
        <f>SUMIFS(BacklogRealizado!$E:$E,BacklogRealizado!$A:$A,E$62,BacklogRealizado!$G:$G,"Concluída")</f>
        <v>0</v>
      </c>
      <c r="F79" s="23">
        <f>SUMIFS(BacklogRealizado!$E:$E,BacklogRealizado!$A:$A,F$62,BacklogRealizado!$G:$G,"Concluída")</f>
        <v>0</v>
      </c>
      <c r="G79" s="23">
        <f>SUMIFS(BacklogRealizado!$E:$E,BacklogRealizado!$A:$A,G$62,BacklogRealizado!$G:$G,"Concluída")</f>
        <v>0</v>
      </c>
      <c r="H79" s="80"/>
      <c r="I79" s="80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idden="1" outlineLevel="1">
      <c r="A80" s="20" t="s">
        <v>199</v>
      </c>
      <c r="B80" s="172" t="s">
        <v>200</v>
      </c>
      <c r="C80" s="80"/>
      <c r="D80" s="23">
        <f>COUNTIFS(BacklogRealizado!$J:$J,FALSE,BacklogRealizado!$A:$A,D$62)</f>
        <v>0</v>
      </c>
      <c r="E80" s="23">
        <f>COUNTIFS(BacklogRealizado!$J:$J,FALSE,BacklogRealizado!$A:$A,E$62)</f>
        <v>0</v>
      </c>
      <c r="F80" s="23">
        <f>COUNTIFS(BacklogRealizado!$J:$J,FALSE,BacklogRealizado!$A:$A,F$62)</f>
        <v>0</v>
      </c>
      <c r="G80" s="23">
        <f>COUNTIFS(BacklogRealizado!$J:$J,FALSE,BacklogRealizado!$A:$A,G$62)</f>
        <v>0</v>
      </c>
      <c r="H80" s="80"/>
      <c r="I80" s="80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idden="1" outlineLevel="1">
      <c r="A81" s="24" t="s">
        <v>201</v>
      </c>
      <c r="B81" s="172" t="s">
        <v>202</v>
      </c>
      <c r="C81" s="80"/>
      <c r="D81" s="22"/>
      <c r="E81" s="22"/>
      <c r="F81" s="22"/>
      <c r="G81" s="22"/>
      <c r="H81" s="80"/>
      <c r="I81" s="80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idden="1" outlineLevel="1">
      <c r="A82" s="20" t="s">
        <v>203</v>
      </c>
      <c r="B82" s="22" t="s">
        <v>204</v>
      </c>
      <c r="C82" s="80"/>
      <c r="D82" s="22"/>
      <c r="E82" s="22"/>
      <c r="F82" s="22"/>
      <c r="G82" s="22"/>
      <c r="H82" s="80"/>
      <c r="I82" s="80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collapsed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146" t="s">
        <v>100</v>
      </c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outlineLevel="1">
      <c r="A85" s="166" t="s">
        <v>145</v>
      </c>
      <c r="B85" s="166" t="s">
        <v>146</v>
      </c>
      <c r="C85" s="166" t="s">
        <v>70</v>
      </c>
      <c r="D85" s="166" t="str">
        <f t="shared" ref="D85:H85" si="29">D$1</f>
        <v>AC1</v>
      </c>
      <c r="E85" s="166" t="str">
        <f t="shared" si="29"/>
        <v>AC2</v>
      </c>
      <c r="F85" s="166" t="str">
        <f t="shared" si="29"/>
        <v>AC3</v>
      </c>
      <c r="G85" s="166" t="str">
        <f t="shared" si="29"/>
        <v>AC4</v>
      </c>
      <c r="H85" s="166" t="str">
        <f t="shared" si="29"/>
        <v>AC5</v>
      </c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outlineLevel="2">
      <c r="A86" s="24" t="s">
        <v>154</v>
      </c>
      <c r="B86" s="27" t="s">
        <v>205</v>
      </c>
      <c r="C86" s="173"/>
      <c r="D86" s="149">
        <f t="shared" ref="D86:H86" si="30">D$4</f>
        <v>44418</v>
      </c>
      <c r="E86" s="149">
        <f t="shared" si="30"/>
        <v>44439</v>
      </c>
      <c r="F86" s="149">
        <f t="shared" si="30"/>
        <v>44460</v>
      </c>
      <c r="G86" s="149" t="str">
        <f t="shared" si="30"/>
        <v/>
      </c>
      <c r="H86" s="149">
        <f t="shared" si="30"/>
        <v>44516</v>
      </c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outlineLevel="2">
      <c r="A87" s="20" t="s">
        <v>91</v>
      </c>
      <c r="B87" s="27" t="s">
        <v>92</v>
      </c>
      <c r="C87" s="76" t="s">
        <v>88</v>
      </c>
      <c r="D87" s="76" t="str">
        <f t="shared" ref="D87:H87" si="31">IF(ISBLANK(D$5),,D$5)</f>
        <v>Leonardo Takuno</v>
      </c>
      <c r="E87" s="76" t="str">
        <f t="shared" si="31"/>
        <v>Leonardo Takuno</v>
      </c>
      <c r="F87" s="76" t="str">
        <f t="shared" si="31"/>
        <v>Leonardo Takuno</v>
      </c>
      <c r="G87" s="76" t="str">
        <f t="shared" si="31"/>
        <v>Leonardo Takuno</v>
      </c>
      <c r="H87" s="76" t="str">
        <f t="shared" si="31"/>
        <v>Leonardo Takuno</v>
      </c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outlineLevel="2">
      <c r="A88" s="20" t="s">
        <v>156</v>
      </c>
      <c r="B88" s="22" t="s">
        <v>157</v>
      </c>
      <c r="C88" s="76" t="s">
        <v>88</v>
      </c>
      <c r="D88" s="151"/>
      <c r="E88" s="151"/>
      <c r="F88" s="151"/>
      <c r="G88" s="151"/>
      <c r="H88" s="151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outlineLevel="2">
      <c r="A89" s="152" t="s">
        <v>158</v>
      </c>
      <c r="B89" s="153" t="s">
        <v>159</v>
      </c>
      <c r="C89" s="154" t="s">
        <v>88</v>
      </c>
      <c r="D89" s="155"/>
      <c r="E89" s="155"/>
      <c r="F89" s="155"/>
      <c r="G89" s="155"/>
      <c r="H89" s="1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outlineLevel="2">
      <c r="A90" s="46" t="s">
        <v>160</v>
      </c>
      <c r="B90" s="169" t="s">
        <v>206</v>
      </c>
      <c r="C90" s="157">
        <v>1.0</v>
      </c>
      <c r="D90" s="99"/>
      <c r="E90" s="99"/>
      <c r="F90" s="157"/>
      <c r="G90" s="157"/>
      <c r="H90" s="157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outlineLevel="1">
      <c r="A91" s="24" t="s">
        <v>207</v>
      </c>
      <c r="B91" s="27" t="s">
        <v>208</v>
      </c>
      <c r="C91" s="76">
        <v>1.0</v>
      </c>
      <c r="D91" s="105"/>
      <c r="E91" s="76"/>
      <c r="F91" s="76"/>
      <c r="G91" s="76"/>
      <c r="H91" s="76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idden="1" outlineLevel="2">
      <c r="A92" s="35" t="s">
        <v>168</v>
      </c>
      <c r="B92" s="35"/>
      <c r="C92" s="23">
        <f t="shared" ref="C92:C93" si="32">C90</f>
        <v>1</v>
      </c>
      <c r="D92" s="23" t="str">
        <f>IFERROR(VLOOKUP(D90,'Parâmetros'!$D$3:$E$8,2,0),"")</f>
        <v/>
      </c>
      <c r="E92" s="23" t="str">
        <f>IFERROR(VLOOKUP(E90,'Parâmetros'!$D$3:$E$8,2,0),"")</f>
        <v/>
      </c>
      <c r="F92" s="23" t="str">
        <f>IFERROR(VLOOKUP(F90,'Parâmetros'!$D$3:$E$8,2,0),"")</f>
        <v/>
      </c>
      <c r="G92" s="23" t="str">
        <f>IFERROR(VLOOKUP(G90,'Parâmetros'!$D$3:$E$8,2,0),"")</f>
        <v/>
      </c>
      <c r="H92" s="23" t="str">
        <f>IFERROR(VLOOKUP(H90,'Parâmetros'!$D$3:$E$8,2,0),"")</f>
        <v/>
      </c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idden="1" outlineLevel="2">
      <c r="A93" s="174" t="s">
        <v>209</v>
      </c>
      <c r="B93" s="35"/>
      <c r="C93" s="23">
        <f t="shared" si="32"/>
        <v>1</v>
      </c>
      <c r="D93" s="23" t="str">
        <f>IFERROR(VLOOKUP(D91,'Parâmetros'!$D$3:$E$8,2,0),"")</f>
        <v/>
      </c>
      <c r="E93" s="23" t="str">
        <f>IFERROR(VLOOKUP(E91,'Parâmetros'!$D$3:$E$8,2,0),"")</f>
        <v/>
      </c>
      <c r="F93" s="23" t="str">
        <f>IFERROR(VLOOKUP(F91,'Parâmetros'!$D$3:$E$8,2,0),"")</f>
        <v/>
      </c>
      <c r="G93" s="23" t="str">
        <f>IFERROR(VLOOKUP(G91,'Parâmetros'!$D$3:$E$8,2,0),"")</f>
        <v/>
      </c>
      <c r="H93" s="23" t="str">
        <f>IFERROR(VLOOKUP(H91,'Parâmetros'!$D$3:$E$8,2,0),"")</f>
        <v/>
      </c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outlineLevel="1" collapsed="1">
      <c r="A94" s="162" t="s">
        <v>172</v>
      </c>
      <c r="B94" s="163"/>
      <c r="C94" s="164">
        <f>SUM(C90:C91)</f>
        <v>2</v>
      </c>
      <c r="D94" s="165" t="str">
        <f t="shared" ref="D94:H94" si="33">IF(COUNT(D92:D93)=0,"",ROUND(SUMPRODUCT($C92:$C93,   D92:D93)/SUM($C92:$C93),1))</f>
        <v/>
      </c>
      <c r="E94" s="165" t="str">
        <f t="shared" si="33"/>
        <v/>
      </c>
      <c r="F94" s="165" t="str">
        <f t="shared" si="33"/>
        <v/>
      </c>
      <c r="G94" s="165" t="str">
        <f t="shared" si="33"/>
        <v/>
      </c>
      <c r="H94" s="165" t="str">
        <f t="shared" si="33"/>
        <v/>
      </c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89" t="s">
        <v>102</v>
      </c>
      <c r="B96" s="90"/>
      <c r="C96" s="90"/>
      <c r="D96" s="55"/>
      <c r="E96" s="55"/>
      <c r="F96" s="55"/>
      <c r="G96" s="55"/>
      <c r="H96" s="90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idden="1" outlineLevel="1">
      <c r="A97" s="175" t="s">
        <v>145</v>
      </c>
      <c r="B97" s="175" t="s">
        <v>146</v>
      </c>
      <c r="C97" s="175" t="s">
        <v>70</v>
      </c>
      <c r="D97" s="55"/>
      <c r="E97" s="55"/>
      <c r="F97" s="55"/>
      <c r="G97" s="55"/>
      <c r="H97" s="176" t="str">
        <f>H$1</f>
        <v>AC5</v>
      </c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hidden="1" outlineLevel="1">
      <c r="A98" s="24" t="s">
        <v>210</v>
      </c>
      <c r="B98" s="27" t="s">
        <v>211</v>
      </c>
      <c r="C98" s="144"/>
      <c r="D98" s="55"/>
      <c r="E98" s="55"/>
      <c r="F98" s="55"/>
      <c r="G98" s="55"/>
      <c r="H98" s="148" t="s">
        <v>153</v>
      </c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hidden="1" outlineLevel="1">
      <c r="A99" s="20" t="s">
        <v>154</v>
      </c>
      <c r="B99" s="22" t="s">
        <v>155</v>
      </c>
      <c r="C99" s="76" t="s">
        <v>88</v>
      </c>
      <c r="D99" s="55"/>
      <c r="E99" s="55"/>
      <c r="F99" s="55"/>
      <c r="G99" s="55"/>
      <c r="H99" s="149">
        <f>H$4</f>
        <v>44516</v>
      </c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hidden="1" outlineLevel="1">
      <c r="A100" s="20" t="s">
        <v>91</v>
      </c>
      <c r="B100" s="22" t="s">
        <v>92</v>
      </c>
      <c r="C100" s="76" t="s">
        <v>88</v>
      </c>
      <c r="D100" s="55"/>
      <c r="E100" s="55"/>
      <c r="F100" s="55"/>
      <c r="G100" s="55"/>
      <c r="H100" s="76" t="str">
        <f>IF(ISBLANK(H$5),,H$5)</f>
        <v>Leonardo Takuno</v>
      </c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hidden="1" outlineLevel="1">
      <c r="A101" s="20" t="s">
        <v>156</v>
      </c>
      <c r="B101" s="22" t="s">
        <v>157</v>
      </c>
      <c r="C101" s="76" t="s">
        <v>88</v>
      </c>
      <c r="D101" s="55"/>
      <c r="E101" s="55"/>
      <c r="F101" s="55"/>
      <c r="G101" s="55"/>
      <c r="H101" s="151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hidden="1" outlineLevel="1">
      <c r="A102" s="152" t="s">
        <v>158</v>
      </c>
      <c r="B102" s="153" t="s">
        <v>159</v>
      </c>
      <c r="C102" s="154" t="s">
        <v>88</v>
      </c>
      <c r="D102" s="55"/>
      <c r="E102" s="55"/>
      <c r="F102" s="55"/>
      <c r="G102" s="55"/>
      <c r="H102" s="155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hidden="1" outlineLevel="1">
      <c r="A103" s="46" t="s">
        <v>160</v>
      </c>
      <c r="B103" s="169" t="s">
        <v>212</v>
      </c>
      <c r="C103" s="157">
        <v>1.0</v>
      </c>
      <c r="D103" s="55"/>
      <c r="E103" s="55"/>
      <c r="F103" s="55"/>
      <c r="G103" s="55"/>
      <c r="H103" s="157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hidden="1" outlineLevel="1">
      <c r="A104" s="20" t="s">
        <v>162</v>
      </c>
      <c r="B104" s="27" t="s">
        <v>213</v>
      </c>
      <c r="C104" s="76">
        <v>1.0</v>
      </c>
      <c r="D104" s="55"/>
      <c r="E104" s="55"/>
      <c r="F104" s="55"/>
      <c r="G104" s="55"/>
      <c r="H104" s="76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hidden="1" outlineLevel="1">
      <c r="A105" s="20" t="s">
        <v>164</v>
      </c>
      <c r="B105" s="27" t="s">
        <v>214</v>
      </c>
      <c r="C105" s="76">
        <v>1.0</v>
      </c>
      <c r="D105" s="55"/>
      <c r="E105" s="55"/>
      <c r="F105" s="55"/>
      <c r="G105" s="55"/>
      <c r="H105" s="76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hidden="1" outlineLevel="2">
      <c r="A106" s="170" t="s">
        <v>168</v>
      </c>
      <c r="B106" s="170"/>
      <c r="C106" s="171">
        <f t="shared" ref="C106:C108" si="34">C103</f>
        <v>1</v>
      </c>
      <c r="D106" s="55"/>
      <c r="E106" s="55"/>
      <c r="F106" s="55"/>
      <c r="G106" s="55"/>
      <c r="H106" s="171" t="str">
        <f>IFERROR(VLOOKUP(H103,'Parâmetros'!$D$3:$E$8,2,0),"")</f>
        <v/>
      </c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hidden="1" outlineLevel="2">
      <c r="A107" s="170" t="s">
        <v>169</v>
      </c>
      <c r="B107" s="170"/>
      <c r="C107" s="171">
        <f t="shared" si="34"/>
        <v>1</v>
      </c>
      <c r="D107" s="55"/>
      <c r="E107" s="55"/>
      <c r="F107" s="55"/>
      <c r="G107" s="55"/>
      <c r="H107" s="171" t="str">
        <f>IFERROR(VLOOKUP(H104,'Parâmetros'!$D$3:$E$8,2,0),"")</f>
        <v/>
      </c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hidden="1" outlineLevel="2">
      <c r="A108" s="170" t="s">
        <v>170</v>
      </c>
      <c r="B108" s="170"/>
      <c r="C108" s="171">
        <f t="shared" si="34"/>
        <v>1</v>
      </c>
      <c r="D108" s="55"/>
      <c r="E108" s="55"/>
      <c r="F108" s="55"/>
      <c r="G108" s="55"/>
      <c r="H108" s="171" t="str">
        <f>IFERROR(VLOOKUP(H105,'Parâmetros'!$D$3:$E$8,2,0),"")</f>
        <v/>
      </c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hidden="1" outlineLevel="1" collapsed="1">
      <c r="A109" s="162" t="s">
        <v>172</v>
      </c>
      <c r="B109" s="163"/>
      <c r="C109" s="164">
        <f>SUM(C103:C105)</f>
        <v>3</v>
      </c>
      <c r="D109" s="55"/>
      <c r="E109" s="55"/>
      <c r="F109" s="55"/>
      <c r="G109" s="55"/>
      <c r="H109" s="165" t="str">
        <f>IF(COUNT(H106:H108)=0,"",ROUND(SUMPRODUCT($C106:$C108,   H106:H108)/SUM($C106:$C108),1))</f>
        <v/>
      </c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collapsed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146" t="s">
        <v>104</v>
      </c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outlineLevel="1">
      <c r="A112" s="166" t="s">
        <v>145</v>
      </c>
      <c r="B112" s="166" t="s">
        <v>146</v>
      </c>
      <c r="C112" s="166" t="s">
        <v>70</v>
      </c>
      <c r="D112" s="55"/>
      <c r="E112" s="55"/>
      <c r="F112" s="55"/>
      <c r="G112" s="55"/>
      <c r="H112" s="139"/>
      <c r="I112" s="55"/>
      <c r="J112" s="166" t="str">
        <f>J1</f>
        <v>PROVA</v>
      </c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outlineLevel="1">
      <c r="A113" s="24" t="s">
        <v>154</v>
      </c>
      <c r="B113" s="27" t="s">
        <v>215</v>
      </c>
      <c r="C113" s="173"/>
      <c r="D113" s="55"/>
      <c r="E113" s="55"/>
      <c r="F113" s="55"/>
      <c r="G113" s="55"/>
      <c r="H113" s="139"/>
      <c r="I113" s="55"/>
      <c r="J113" s="149">
        <f>J4</f>
        <v>44546</v>
      </c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outlineLevel="1">
      <c r="A114" s="20" t="s">
        <v>91</v>
      </c>
      <c r="B114" s="27" t="s">
        <v>92</v>
      </c>
      <c r="C114" s="76" t="s">
        <v>88</v>
      </c>
      <c r="D114" s="55"/>
      <c r="E114" s="55"/>
      <c r="F114" s="55"/>
      <c r="G114" s="55"/>
      <c r="H114" s="139"/>
      <c r="I114" s="55"/>
      <c r="J114" s="76" t="str">
        <f>IF(ISBLANK(J$5),,J$5)</f>
        <v>Leonardo Takuno</v>
      </c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outlineLevel="1">
      <c r="A115" s="20" t="s">
        <v>156</v>
      </c>
      <c r="B115" s="22" t="s">
        <v>157</v>
      </c>
      <c r="C115" s="76" t="s">
        <v>88</v>
      </c>
      <c r="D115" s="55"/>
      <c r="E115" s="55"/>
      <c r="F115" s="55"/>
      <c r="G115" s="55"/>
      <c r="H115" s="139"/>
      <c r="I115" s="55"/>
      <c r="J115" s="151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outlineLevel="1">
      <c r="A116" s="152" t="s">
        <v>158</v>
      </c>
      <c r="B116" s="153" t="s">
        <v>159</v>
      </c>
      <c r="C116" s="154" t="s">
        <v>88</v>
      </c>
      <c r="D116" s="55"/>
      <c r="E116" s="55"/>
      <c r="F116" s="55"/>
      <c r="G116" s="55"/>
      <c r="H116" s="139"/>
      <c r="I116" s="55"/>
      <c r="J116" s="1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outlineLevel="1">
      <c r="A117" s="177" t="s">
        <v>162</v>
      </c>
      <c r="B117" s="169" t="s">
        <v>216</v>
      </c>
      <c r="C117" s="157">
        <v>1.0</v>
      </c>
      <c r="D117" s="55"/>
      <c r="E117" s="55"/>
      <c r="F117" s="55"/>
      <c r="G117" s="55"/>
      <c r="H117" s="139"/>
      <c r="I117" s="55"/>
      <c r="J117" s="99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outlineLevel="1">
      <c r="A118" s="178" t="s">
        <v>217</v>
      </c>
      <c r="B118" s="169"/>
      <c r="C118" s="99">
        <v>1.0</v>
      </c>
      <c r="D118" s="55"/>
      <c r="E118" s="55"/>
      <c r="F118" s="55"/>
      <c r="G118" s="55"/>
      <c r="H118" s="139"/>
      <c r="I118" s="55"/>
      <c r="J118" s="99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outlineLevel="1">
      <c r="A119" s="178" t="s">
        <v>218</v>
      </c>
      <c r="B119" s="169"/>
      <c r="C119" s="99">
        <v>1.0</v>
      </c>
      <c r="D119" s="55"/>
      <c r="E119" s="55"/>
      <c r="F119" s="55"/>
      <c r="G119" s="55"/>
      <c r="H119" s="139"/>
      <c r="I119" s="55"/>
      <c r="J119" s="99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outlineLevel="1">
      <c r="A120" s="24" t="s">
        <v>219</v>
      </c>
      <c r="B120" s="27"/>
      <c r="C120" s="76">
        <v>1.0</v>
      </c>
      <c r="D120" s="55"/>
      <c r="E120" s="55"/>
      <c r="F120" s="55"/>
      <c r="G120" s="55"/>
      <c r="H120" s="139"/>
      <c r="I120" s="55"/>
      <c r="J120" s="10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idden="1" outlineLevel="2">
      <c r="A121" s="174" t="s">
        <v>169</v>
      </c>
      <c r="B121" s="35"/>
      <c r="C121" s="23">
        <f>C117</f>
        <v>1</v>
      </c>
      <c r="D121" s="55"/>
      <c r="E121" s="55"/>
      <c r="F121" s="55"/>
      <c r="G121" s="55"/>
      <c r="H121" s="139"/>
      <c r="I121" s="55"/>
      <c r="J121" s="23" t="str">
        <f>IFERROR(VLOOKUP(J117,'Parâmetros'!$D$3:$E$8,2,0),)</f>
        <v/>
      </c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idden="1" outlineLevel="2">
      <c r="A122" s="174" t="s">
        <v>220</v>
      </c>
      <c r="B122" s="35"/>
      <c r="C122" s="25">
        <v>1.0</v>
      </c>
      <c r="D122" s="55"/>
      <c r="E122" s="55"/>
      <c r="F122" s="55"/>
      <c r="G122" s="55"/>
      <c r="H122" s="139"/>
      <c r="I122" s="55"/>
      <c r="J122" s="23" t="str">
        <f>IFERROR(VLOOKUP(J118,'Parâmetros'!$D$3:$E$8,2,0),)</f>
        <v/>
      </c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idden="1" outlineLevel="2">
      <c r="A123" s="174" t="s">
        <v>221</v>
      </c>
      <c r="B123" s="35"/>
      <c r="C123" s="25">
        <v>1.0</v>
      </c>
      <c r="D123" s="55"/>
      <c r="E123" s="55"/>
      <c r="F123" s="55"/>
      <c r="G123" s="55"/>
      <c r="H123" s="139"/>
      <c r="I123" s="55"/>
      <c r="J123" s="23" t="str">
        <f>IFERROR(VLOOKUP(J119,'Parâmetros'!$D$3:$E$8,2,0),)</f>
        <v/>
      </c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idden="1" outlineLevel="2">
      <c r="A124" s="174" t="s">
        <v>222</v>
      </c>
      <c r="B124" s="35"/>
      <c r="C124" s="23">
        <f>C120</f>
        <v>1</v>
      </c>
      <c r="D124" s="55"/>
      <c r="E124" s="55"/>
      <c r="F124" s="55"/>
      <c r="G124" s="55"/>
      <c r="H124" s="139"/>
      <c r="I124" s="55"/>
      <c r="J124" s="23" t="str">
        <f>IFERROR(VLOOKUP(J120,'Parâmetros'!$D$3:$E$8,2,0),)</f>
        <v/>
      </c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outlineLevel="1" collapsed="1">
      <c r="A125" s="179" t="s">
        <v>172</v>
      </c>
      <c r="B125" s="180"/>
      <c r="C125" s="181">
        <f>SUM(C117:C120)</f>
        <v>4</v>
      </c>
      <c r="D125" s="55"/>
      <c r="E125" s="55"/>
      <c r="F125" s="55"/>
      <c r="G125" s="55"/>
      <c r="H125" s="139"/>
      <c r="I125" s="55"/>
      <c r="J125" s="182" t="str">
        <f>IF(COUNT(J121:J124)=0,,ROUND(SUMPRODUCT($C121:$C124,   J121:J124)/SUM($C121:$C124),1))</f>
        <v/>
      </c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183"/>
      <c r="B126" s="183"/>
      <c r="C126" s="183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</sheetData>
  <mergeCells count="11">
    <mergeCell ref="I23:K23"/>
    <mergeCell ref="I24:K24"/>
    <mergeCell ref="I25:K25"/>
    <mergeCell ref="I26:K26"/>
    <mergeCell ref="I16:K16"/>
    <mergeCell ref="I17:K17"/>
    <mergeCell ref="I18:K18"/>
    <mergeCell ref="I19:K19"/>
    <mergeCell ref="I20:K20"/>
    <mergeCell ref="I21:K21"/>
    <mergeCell ref="I22:K22"/>
  </mergeCells>
  <conditionalFormatting sqref="D17:H26">
    <cfRule type="cellIs" dxfId="0" priority="1" stopIfTrue="1" operator="equal">
      <formula>$A$39</formula>
    </cfRule>
  </conditionalFormatting>
  <conditionalFormatting sqref="D17:H26">
    <cfRule type="cellIs" dxfId="1" priority="2" operator="equal">
      <formula>$A$40</formula>
    </cfRule>
  </conditionalFormatting>
  <conditionalFormatting sqref="D17:H26">
    <cfRule type="cellIs" dxfId="2" priority="3" operator="equal">
      <formula>$A$37</formula>
    </cfRule>
  </conditionalFormatting>
  <dataValidations>
    <dataValidation type="list" allowBlank="1" showErrorMessage="1" sqref="D66:G67 D90:H91 H103:H105 J117:J120">
      <formula1>Nota_Exec</formula1>
    </dataValidation>
    <dataValidation type="decimal" allowBlank="1" showDropDown="1" showInputMessage="1" showErrorMessage="1" prompt="Enter a number between 0 and 10" sqref="D13:H13">
      <formula1>0.0</formula1>
      <formula2>10.0</formula2>
    </dataValidation>
    <dataValidation type="list" allowBlank="1" sqref="D17:H26">
      <formula1>$A$36:$A$40</formula1>
    </dataValidation>
    <dataValidation type="list" allowBlank="1" showErrorMessage="1" sqref="D49:H52">
      <formula1>Nota_Exec</formula1>
    </dataValidation>
    <dataValidation type="list" allowBlank="1" showErrorMessage="1" sqref="D5:H5 J5 D46:H46 D63:G63 D87:H87 H100 J114">
      <formula1>Orientadores</formula1>
    </dataValidation>
  </dataValidations>
  <hyperlinks>
    <hyperlink display="Sprint Review" location="'Notas_Frequência'!A59" ref="A8"/>
    <hyperlink display="Avaliação do Documento" location="'Notas_Frequência'!A42" ref="A9"/>
    <hyperlink display="Artefatos de Software" location="'Notas_Frequência'!A84" ref="A10"/>
    <hyperlink display="Avaliação de Pôster" location="'Notas_Frequência'!A96" ref="A11"/>
    <hyperlink display="Vídeo" location="'Notas_Frequência'!A111" ref="A12"/>
  </hyperlink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Col="1"/>
  <cols>
    <col customWidth="1" min="1" max="1" width="11.57" outlineLevel="1"/>
    <col customWidth="1" min="2" max="2" width="5.14" outlineLevel="1"/>
    <col customWidth="1" min="3" max="3" width="2.86"/>
    <col customWidth="1" min="4" max="4" width="7.71"/>
    <col customWidth="1" min="5" max="5" width="4.86"/>
    <col customWidth="1" min="6" max="6" width="3.29"/>
    <col customWidth="1" min="7" max="7" width="14.0"/>
    <col customWidth="1" hidden="1" min="8" max="8" width="9.29" outlineLevel="1"/>
    <col customWidth="1" hidden="1" min="9" max="9" width="34.43" outlineLevel="1"/>
    <col collapsed="1" customWidth="1" min="10" max="10" width="4.57"/>
    <col customWidth="1" min="11" max="11" width="7.14"/>
    <col customWidth="1" hidden="1" min="12" max="12" width="6.0" outlineLevel="1"/>
    <col customWidth="1" hidden="1" min="13" max="13" width="5.71" outlineLevel="1"/>
    <col customWidth="1" hidden="1" min="14" max="14" width="7.29" outlineLevel="1"/>
    <col collapsed="1" customWidth="1" min="15" max="15" width="4.57"/>
    <col customWidth="1" min="16" max="16" width="8.71"/>
    <col customWidth="1" min="17" max="17" width="6.14"/>
    <col customWidth="1" hidden="1" min="18" max="20" width="8.71" outlineLevel="1"/>
    <col customWidth="1" hidden="1" min="21" max="21" width="16.14" outlineLevel="1"/>
    <col customWidth="1" hidden="1" min="22" max="22" width="8.71" outlineLevel="1"/>
    <col customWidth="1" hidden="1" min="23" max="23" width="3.86" outlineLevel="1"/>
    <col customWidth="1" hidden="1" min="24" max="26" width="8.71" outlineLevel="1"/>
    <col collapsed="1" customWidth="1" min="27" max="27" width="7.71"/>
    <col customWidth="1" min="28" max="29" width="8.71"/>
    <col customWidth="1" min="30" max="30" width="5.57"/>
    <col customWidth="1" min="31" max="32" width="8.71"/>
    <col customWidth="1" min="33" max="33" width="6.0"/>
    <col customWidth="1" min="34" max="34" width="3.71"/>
    <col customWidth="1" min="35" max="35" width="10.43"/>
    <col customWidth="1" hidden="1" min="36" max="36" width="16.14" outlineLevel="1"/>
    <col collapsed="1" customWidth="1" min="37" max="37" width="5.57"/>
    <col customWidth="1" min="38" max="41" width="5.57"/>
    <col customWidth="1" min="42" max="46" width="5.86"/>
    <col customWidth="1" min="47" max="47" width="7.57"/>
  </cols>
  <sheetData>
    <row r="1">
      <c r="A1" s="184" t="str">
        <f>IFERROR(__xludf.DUMMYFUNCTION("IMPORTRANGE(id_parametros,""Parâmetros!A:AU"")"),"Parâmetros")</f>
        <v>Parâmetros</v>
      </c>
      <c r="B1" s="185"/>
      <c r="C1" s="55"/>
      <c r="D1" s="186" t="str">
        <f>IFERROR(__xludf.DUMMYFUNCTION("""COMPUTED_VALUE"""),"Notas")</f>
        <v>Notas</v>
      </c>
      <c r="E1" s="186"/>
      <c r="F1" s="55"/>
      <c r="G1" s="185" t="str">
        <f>IFERROR(__xludf.DUMMYFUNCTION("""COMPUTED_VALUE"""),"Orientadores")</f>
        <v>Orientadores</v>
      </c>
      <c r="H1" s="185"/>
      <c r="I1" s="185"/>
      <c r="J1" s="55"/>
      <c r="K1" s="186" t="str">
        <f>IFERROR(__xludf.DUMMYFUNCTION("""COMPUTED_VALUE"""),"Curso, Semestre e Disciplina")</f>
        <v>Curso, Semestre e Disciplina</v>
      </c>
      <c r="L1" s="186"/>
      <c r="M1" s="186"/>
      <c r="N1" s="186"/>
      <c r="O1" s="55"/>
      <c r="P1" s="187" t="str">
        <f>IFERROR(__xludf.DUMMYFUNCTION("""COMPUTED_VALUE"""),"Plano de Ensino")</f>
        <v>Plano de Ensino</v>
      </c>
      <c r="Q1" s="188"/>
      <c r="R1" s="189"/>
      <c r="S1" s="190"/>
      <c r="T1" s="189"/>
      <c r="U1" s="189"/>
      <c r="V1" s="189"/>
      <c r="W1" s="189"/>
      <c r="X1" s="189"/>
      <c r="Y1" s="189"/>
      <c r="Z1" s="189"/>
      <c r="AA1" s="189"/>
      <c r="AB1" s="188" t="str">
        <f>IFERROR(__xludf.DUMMYFUNCTION("""COMPUTED_VALUE"""),"Orientação e Avaliações")</f>
        <v>Orientação e Avaliações</v>
      </c>
      <c r="AC1" s="189"/>
      <c r="AD1" s="189"/>
      <c r="AE1" s="189"/>
      <c r="AF1" s="189"/>
      <c r="AG1" s="189"/>
      <c r="AH1" s="189"/>
      <c r="AI1" s="189"/>
      <c r="AJ1" s="189"/>
      <c r="AK1" s="191" t="str">
        <f>IFERROR(__xludf.DUMMYFUNCTION("""COMPUTED_VALUE"""),"Avaliação Documento")</f>
        <v>Avaliação Documento</v>
      </c>
      <c r="AL1" s="192"/>
      <c r="AM1" s="192"/>
      <c r="AN1" s="192"/>
      <c r="AO1" s="192"/>
      <c r="AP1" s="191" t="str">
        <f>IFERROR(__xludf.DUMMYFUNCTION("""COMPUTED_VALUE"""),"Artefatos de Software")</f>
        <v>Artefatos de Software</v>
      </c>
      <c r="AQ1" s="192"/>
      <c r="AR1" s="192"/>
      <c r="AS1" s="192"/>
      <c r="AT1" s="193"/>
      <c r="AU1" s="80"/>
    </row>
    <row r="2">
      <c r="A2" s="194" t="str">
        <f>IFERROR(__xludf.DUMMYFUNCTION("""COMPUTED_VALUE"""),"Parâmetro")</f>
        <v>Parâmetro</v>
      </c>
      <c r="B2" s="194" t="str">
        <f>IFERROR(__xludf.DUMMYFUNCTION("""COMPUTED_VALUE"""),"Valor")</f>
        <v>Valor</v>
      </c>
      <c r="C2" s="55"/>
      <c r="D2" s="194" t="str">
        <f>IFERROR(__xludf.DUMMYFUNCTION("""COMPUTED_VALUE"""),"Critério")</f>
        <v>Critério</v>
      </c>
      <c r="E2" s="194" t="str">
        <f>IFERROR(__xludf.DUMMYFUNCTION("""COMPUTED_VALUE"""),"Nota")</f>
        <v>Nota</v>
      </c>
      <c r="F2" s="55"/>
      <c r="G2" s="195" t="str">
        <f>IFERROR(__xludf.DUMMYFUNCTION("""COMPUTED_VALUE"""),"Orientador")</f>
        <v>Orientador</v>
      </c>
      <c r="H2" s="195" t="str">
        <f>IFERROR(__xludf.DUMMYFUNCTION("""COMPUTED_VALUE"""),"Nome")</f>
        <v>Nome</v>
      </c>
      <c r="I2" s="195" t="str">
        <f>IFERROR(__xludf.DUMMYFUNCTION("""COMPUTED_VALUE"""),"email")</f>
        <v>email</v>
      </c>
      <c r="J2" s="55"/>
      <c r="K2" s="194" t="str">
        <f>IFERROR(__xludf.DUMMYFUNCTION("""COMPUTED_VALUE"""),"CurSem")</f>
        <v>CurSem</v>
      </c>
      <c r="L2" s="194" t="str">
        <f>IFERROR(__xludf.DUMMYFUNCTION("""COMPUTED_VALUE"""),"Curso")</f>
        <v>Curso</v>
      </c>
      <c r="M2" s="194" t="str">
        <f>IFERROR(__xludf.DUMMYFUNCTION("""COMPUTED_VALUE"""),"Semestre")</f>
        <v>Semestre</v>
      </c>
      <c r="N2" s="194" t="str">
        <f>IFERROR(__xludf.DUMMYFUNCTION("""COMPUTED_VALUE"""),"Disciplina")</f>
        <v>Disciplina</v>
      </c>
      <c r="O2" s="55"/>
      <c r="P2" s="196" t="str">
        <f>IFERROR(__xludf.DUMMYFUNCTION("""COMPUTED_VALUE"""),"AC_Semana")</f>
        <v>AC_Semana</v>
      </c>
      <c r="Q2" s="197" t="str">
        <f>IFERROR(__xludf.DUMMYFUNCTION("""COMPUTED_VALUE"""),"Semana")</f>
        <v>Semana</v>
      </c>
      <c r="R2" s="197" t="str">
        <f>IFERROR(__xludf.DUMMYFUNCTION("""COMPUTED_VALUE"""),"AC")</f>
        <v>AC</v>
      </c>
      <c r="S2" s="198" t="str">
        <f>IFERROR(__xludf.DUMMYFUNCTION("""COMPUTED_VALUE"""),"Semana Grupo")</f>
        <v>Semana Grupo</v>
      </c>
      <c r="T2" s="197" t="str">
        <f>IFERROR(__xludf.DUMMYFUNCTION("""COMPUTED_VALUE"""),"Encontro")</f>
        <v>Encontro</v>
      </c>
      <c r="U2" s="197" t="str">
        <f>IFERROR(__xludf.DUMMYFUNCTION("""COMPUTED_VALUE"""),"Entregas")</f>
        <v>Entregas</v>
      </c>
      <c r="V2" s="197" t="str">
        <f>IFERROR(__xludf.DUMMYFUNCTION("""COMPUTED_VALUE"""),"2ª")</f>
        <v>2ª</v>
      </c>
      <c r="W2" s="197" t="str">
        <f>IFERROR(__xludf.DUMMYFUNCTION("""COMPUTED_VALUE"""),"3ª")</f>
        <v>3ª</v>
      </c>
      <c r="X2" s="197" t="str">
        <f>IFERROR(__xludf.DUMMYFUNCTION("""COMPUTED_VALUE"""),"4ª")</f>
        <v>4ª</v>
      </c>
      <c r="Y2" s="197" t="str">
        <f>IFERROR(__xludf.DUMMYFUNCTION("""COMPUTED_VALUE"""),"5ª")</f>
        <v>5ª</v>
      </c>
      <c r="Z2" s="197" t="str">
        <f>IFERROR(__xludf.DUMMYFUNCTION("""COMPUTED_VALUE"""),"6ª")</f>
        <v>6ª</v>
      </c>
      <c r="AA2" s="189"/>
      <c r="AB2" s="199" t="b">
        <f>IFERROR(__xludf.DUMMYFUNCTION("""COMPUTED_VALUE"""),FALSE)</f>
        <v>0</v>
      </c>
      <c r="AC2" s="199" t="str">
        <f>IFERROR(__xludf.DUMMYFUNCTION("""COMPUTED_VALUE"""),"Disciplina")</f>
        <v>Disciplina</v>
      </c>
      <c r="AD2" s="199" t="str">
        <f>IFERROR(__xludf.DUMMYFUNCTION("""COMPUTED_VALUE"""),"Curso")</f>
        <v>Curso</v>
      </c>
      <c r="AE2" s="199" t="str">
        <f>IFERROR(__xludf.DUMMYFUNCTION("""COMPUTED_VALUE"""),"Semestre")</f>
        <v>Semestre</v>
      </c>
      <c r="AF2" s="199" t="str">
        <f>IFERROR(__xludf.DUMMYFUNCTION("""COMPUTED_VALUE"""),"Turno")</f>
        <v>Turno</v>
      </c>
      <c r="AG2" s="199" t="str">
        <f>IFERROR(__xludf.DUMMYFUNCTION("""COMPUTED_VALUE"""),"Turma")</f>
        <v>Turma</v>
      </c>
      <c r="AH2" s="199" t="str">
        <f>IFERROR(__xludf.DUMMYFUNCTION("""COMPUTED_VALUE"""),"Dia")</f>
        <v>Dia</v>
      </c>
      <c r="AI2" s="199" t="str">
        <f>IFERROR(__xludf.DUMMYFUNCTION("""COMPUTED_VALUE"""),"Orientador")</f>
        <v>Orientador</v>
      </c>
      <c r="AJ2" s="200"/>
      <c r="AK2" s="201" t="str">
        <f>IFERROR(__xludf.DUMMYFUNCTION("""COMPUTED_VALUE"""),"AC1")</f>
        <v>AC1</v>
      </c>
      <c r="AL2" s="202" t="str">
        <f>IFERROR(__xludf.DUMMYFUNCTION("""COMPUTED_VALUE"""),"AC2")</f>
        <v>AC2</v>
      </c>
      <c r="AM2" s="202" t="str">
        <f>IFERROR(__xludf.DUMMYFUNCTION("""COMPUTED_VALUE"""),"AC3")</f>
        <v>AC3</v>
      </c>
      <c r="AN2" s="202" t="str">
        <f>IFERROR(__xludf.DUMMYFUNCTION("""COMPUTED_VALUE"""),"AC4")</f>
        <v>AC4</v>
      </c>
      <c r="AO2" s="202" t="str">
        <f>IFERROR(__xludf.DUMMYFUNCTION("""COMPUTED_VALUE"""),"AC5")</f>
        <v>AC5</v>
      </c>
      <c r="AP2" s="201" t="str">
        <f>IFERROR(__xludf.DUMMYFUNCTION("""COMPUTED_VALUE"""),"AC1")</f>
        <v>AC1</v>
      </c>
      <c r="AQ2" s="202" t="str">
        <f>IFERROR(__xludf.DUMMYFUNCTION("""COMPUTED_VALUE"""),"AC2")</f>
        <v>AC2</v>
      </c>
      <c r="AR2" s="202" t="str">
        <f>IFERROR(__xludf.DUMMYFUNCTION("""COMPUTED_VALUE"""),"AC3")</f>
        <v>AC3</v>
      </c>
      <c r="AS2" s="202" t="str">
        <f>IFERROR(__xludf.DUMMYFUNCTION("""COMPUTED_VALUE"""),"AC4")</f>
        <v>AC4</v>
      </c>
      <c r="AT2" s="203" t="str">
        <f>IFERROR(__xludf.DUMMYFUNCTION("""COMPUTED_VALUE"""),"AC5")</f>
        <v>AC5</v>
      </c>
      <c r="AU2" s="80"/>
    </row>
    <row r="3">
      <c r="A3" s="169" t="str">
        <f>IFERROR(__xludf.DUMMYFUNCTION("""COMPUTED_VALUE"""),"ano letivo")</f>
        <v>ano letivo</v>
      </c>
      <c r="B3" s="169">
        <f>IFERROR(__xludf.DUMMYFUNCTION("""COMPUTED_VALUE"""),2021.0)</f>
        <v>2021</v>
      </c>
      <c r="C3" s="55"/>
      <c r="D3" s="156" t="str">
        <f>IFERROR(__xludf.DUMMYFUNCTION("""COMPUTED_VALUE"""),"Nada")</f>
        <v>Nada</v>
      </c>
      <c r="E3" s="156">
        <f>IFERROR(__xludf.DUMMYFUNCTION("""COMPUTED_VALUE"""),0.0)</f>
        <v>0</v>
      </c>
      <c r="F3" s="55"/>
      <c r="G3" s="204" t="str">
        <f>IFERROR(__xludf.DUMMYFUNCTION("""COMPUTED_VALUE"""),"Renato Borba")</f>
        <v>Renato Borba</v>
      </c>
      <c r="H3" s="205" t="str">
        <f>IFERROR(__xludf.DUMMYFUNCTION("""COMPUTED_VALUE"""),"Renato Borba dos Santos")</f>
        <v>Renato Borba dos Santos</v>
      </c>
      <c r="I3" s="205" t="str">
        <f>IFERROR(__xludf.DUMMYFUNCTION("""COMPUTED_VALUE"""),"renato.borba@faculdadeimpacta.com.br")</f>
        <v>renato.borba@faculdadeimpacta.com.br</v>
      </c>
      <c r="J3" s="55"/>
      <c r="K3" s="158" t="str">
        <f>IFERROR(__xludf.DUMMYFUNCTION("""COMPUTED_VALUE"""),"ADS3")</f>
        <v>ADS3</v>
      </c>
      <c r="L3" s="22" t="str">
        <f>IFERROR(__xludf.DUMMYFUNCTION("""COMPUTED_VALUE"""),"ADS")</f>
        <v>ADS</v>
      </c>
      <c r="M3" s="206">
        <f>IFERROR(__xludf.DUMMYFUNCTION("""COMPUTED_VALUE"""),3.0)</f>
        <v>3</v>
      </c>
      <c r="N3" s="206" t="str">
        <f>IFERROR(__xludf.DUMMYFUNCTION("""COMPUTED_VALUE"""),"OPE1")</f>
        <v>OPE1</v>
      </c>
      <c r="O3" s="55"/>
      <c r="P3" s="207"/>
      <c r="Q3" s="208">
        <f>IFERROR(__xludf.DUMMYFUNCTION("""COMPUTED_VALUE"""),1.0)</f>
        <v>1</v>
      </c>
      <c r="R3" s="209" t="str">
        <f>IFERROR(__xludf.DUMMYFUNCTION("""COMPUTED_VALUE"""),"-")</f>
        <v>-</v>
      </c>
      <c r="S3" s="209" t="str">
        <f>IFERROR(__xludf.DUMMYFUNCTION("""COMPUTED_VALUE"""),"*")</f>
        <v>*</v>
      </c>
      <c r="T3" s="210"/>
      <c r="U3" s="211"/>
      <c r="V3" s="212">
        <f>IFERROR(__xludf.DUMMYFUNCTION("""COMPUTED_VALUE"""),44410.0)</f>
        <v>44410</v>
      </c>
      <c r="W3" s="212">
        <f>IFERROR(__xludf.DUMMYFUNCTION("""COMPUTED_VALUE"""),44411.0)</f>
        <v>44411</v>
      </c>
      <c r="X3" s="212">
        <f>IFERROR(__xludf.DUMMYFUNCTION("""COMPUTED_VALUE"""),44412.0)</f>
        <v>44412</v>
      </c>
      <c r="Y3" s="212">
        <f>IFERROR(__xludf.DUMMYFUNCTION("""COMPUTED_VALUE"""),44413.0)</f>
        <v>44413</v>
      </c>
      <c r="Z3" s="213">
        <f>IFERROR(__xludf.DUMMYFUNCTION("""COMPUTED_VALUE"""),44414.0)</f>
        <v>44414</v>
      </c>
      <c r="AA3" s="214"/>
      <c r="AB3" s="215" t="str">
        <f>IFERROR(__xludf.DUMMYFUNCTION("""COMPUTED_VALUE"""),"ADS 3A E")</f>
        <v>ADS 3A E</v>
      </c>
      <c r="AC3" s="209" t="str">
        <f>IFERROR(__xludf.DUMMYFUNCTION("""COMPUTED_VALUE"""),"OPE1")</f>
        <v>OPE1</v>
      </c>
      <c r="AD3" s="209" t="str">
        <f>IFERROR(__xludf.DUMMYFUNCTION("""COMPUTED_VALUE"""),"ADS")</f>
        <v>ADS</v>
      </c>
      <c r="AE3" s="209">
        <f>IFERROR(__xludf.DUMMYFUNCTION("""COMPUTED_VALUE"""),3.0)</f>
        <v>3</v>
      </c>
      <c r="AF3" s="209" t="str">
        <f>IFERROR(__xludf.DUMMYFUNCTION("""COMPUTED_VALUE"""),"EAD")</f>
        <v>EAD</v>
      </c>
      <c r="AG3" s="209" t="str">
        <f>IFERROR(__xludf.DUMMYFUNCTION("""COMPUTED_VALUE"""),"A")</f>
        <v>A</v>
      </c>
      <c r="AH3" s="209" t="str">
        <f>IFERROR(__xludf.DUMMYFUNCTION("""COMPUTED_VALUE"""),"-")</f>
        <v>-</v>
      </c>
      <c r="AI3" s="103" t="str">
        <f>IFERROR(__xludf.DUMMYFUNCTION("""COMPUTED_VALUE"""),"-")</f>
        <v>-</v>
      </c>
      <c r="AJ3" s="216"/>
      <c r="AK3" s="217" t="b">
        <f>IFERROR(__xludf.DUMMYFUNCTION("""COMPUTED_VALUE"""),FALSE)</f>
        <v>0</v>
      </c>
      <c r="AL3" s="218" t="b">
        <f>IFERROR(__xludf.DUMMYFUNCTION("""COMPUTED_VALUE"""),FALSE)</f>
        <v>0</v>
      </c>
      <c r="AM3" s="219" t="b">
        <f>IFERROR(__xludf.DUMMYFUNCTION("""COMPUTED_VALUE"""),FALSE)</f>
        <v>0</v>
      </c>
      <c r="AN3" s="218" t="b">
        <f>IFERROR(__xludf.DUMMYFUNCTION("""COMPUTED_VALUE"""),FALSE)</f>
        <v>0</v>
      </c>
      <c r="AO3" s="218" t="b">
        <f>IFERROR(__xludf.DUMMYFUNCTION("""COMPUTED_VALUE"""),TRUE)</f>
        <v>1</v>
      </c>
      <c r="AP3" s="220" t="b">
        <f>IFERROR(__xludf.DUMMYFUNCTION("""COMPUTED_VALUE"""),TRUE)</f>
        <v>1</v>
      </c>
      <c r="AQ3" s="219" t="b">
        <f>IFERROR(__xludf.DUMMYFUNCTION("""COMPUTED_VALUE"""),FALSE)</f>
        <v>0</v>
      </c>
      <c r="AR3" s="218" t="b">
        <f>IFERROR(__xludf.DUMMYFUNCTION("""COMPUTED_VALUE"""),TRUE)</f>
        <v>1</v>
      </c>
      <c r="AS3" s="219" t="b">
        <f>IFERROR(__xludf.DUMMYFUNCTION("""COMPUTED_VALUE"""),FALSE)</f>
        <v>0</v>
      </c>
      <c r="AT3" s="221" t="b">
        <f>IFERROR(__xludf.DUMMYFUNCTION("""COMPUTED_VALUE"""),TRUE)</f>
        <v>1</v>
      </c>
      <c r="AU3" s="80"/>
    </row>
    <row r="4">
      <c r="A4" s="169" t="str">
        <f>IFERROR(__xludf.DUMMYFUNCTION("""COMPUTED_VALUE"""),"semestre letivo")</f>
        <v>semestre letivo</v>
      </c>
      <c r="B4" s="169">
        <f>IFERROR(__xludf.DUMMYFUNCTION("""COMPUTED_VALUE"""),2.0)</f>
        <v>2</v>
      </c>
      <c r="C4" s="141"/>
      <c r="D4" s="169" t="str">
        <f>IFERROR(__xludf.DUMMYFUNCTION("""COMPUTED_VALUE"""),"Péssimo")</f>
        <v>Péssimo</v>
      </c>
      <c r="E4" s="169">
        <f>IFERROR(__xludf.DUMMYFUNCTION("""COMPUTED_VALUE"""),2.0)</f>
        <v>2</v>
      </c>
      <c r="F4" s="55"/>
      <c r="G4" s="204" t="str">
        <f>IFERROR(__xludf.DUMMYFUNCTION("""COMPUTED_VALUE"""),"Fernando Sousa")</f>
        <v>Fernando Sousa</v>
      </c>
      <c r="H4" s="205" t="str">
        <f>IFERROR(__xludf.DUMMYFUNCTION("""COMPUTED_VALUE"""),"Fernando Sequeira Sousa")</f>
        <v>Fernando Sequeira Sousa</v>
      </c>
      <c r="I4" s="205" t="str">
        <f>IFERROR(__xludf.DUMMYFUNCTION("""COMPUTED_VALUE"""),"fernando.sousa@faculdadeimpacta.com.br")</f>
        <v>fernando.sousa@faculdadeimpacta.com.br</v>
      </c>
      <c r="J4" s="55"/>
      <c r="K4" s="158" t="str">
        <f>IFERROR(__xludf.DUMMYFUNCTION("""COMPUTED_VALUE"""),"BD3")</f>
        <v>BD3</v>
      </c>
      <c r="L4" s="22" t="str">
        <f>IFERROR(__xludf.DUMMYFUNCTION("""COMPUTED_VALUE"""),"BD")</f>
        <v>BD</v>
      </c>
      <c r="M4" s="206">
        <f>IFERROR(__xludf.DUMMYFUNCTION("""COMPUTED_VALUE"""),3.0)</f>
        <v>3</v>
      </c>
      <c r="N4" s="206" t="str">
        <f>IFERROR(__xludf.DUMMYFUNCTION("""COMPUTED_VALUE"""),"OPE1")</f>
        <v>OPE1</v>
      </c>
      <c r="O4" s="55"/>
      <c r="P4" s="222" t="str">
        <f>IFERROR(__xludf.DUMMYFUNCTION("""COMPUTED_VALUE"""),"11")</f>
        <v>11</v>
      </c>
      <c r="Q4" s="208">
        <f>IFERROR(__xludf.DUMMYFUNCTION("""COMPUTED_VALUE"""),2.0)</f>
        <v>2</v>
      </c>
      <c r="R4" s="209">
        <f>IFERROR(__xludf.DUMMYFUNCTION("""COMPUTED_VALUE"""),1.0)</f>
        <v>1</v>
      </c>
      <c r="S4" s="209">
        <f>IFERROR(__xludf.DUMMYFUNCTION("""COMPUTED_VALUE"""),1.0)</f>
        <v>1</v>
      </c>
      <c r="T4" s="223" t="str">
        <f>IFERROR(__xludf.DUMMYFUNCTION("""COMPUTED_VALUE"""),"1º")</f>
        <v>1º</v>
      </c>
      <c r="U4" s="224" t="str">
        <f>IFERROR(__xludf.DUMMYFUNCTION("""COMPUTED_VALUE"""),"Orientação e Acompanhamento do projeto e dos artefatos")</f>
        <v>Orientação e Acompanhamento do projeto e dos artefatos</v>
      </c>
      <c r="V4" s="225">
        <f>IFERROR(__xludf.DUMMYFUNCTION("""COMPUTED_VALUE"""),44417.0)</f>
        <v>44417</v>
      </c>
      <c r="W4" s="225">
        <f>IFERROR(__xludf.DUMMYFUNCTION("""COMPUTED_VALUE"""),44418.0)</f>
        <v>44418</v>
      </c>
      <c r="X4" s="225">
        <f>IFERROR(__xludf.DUMMYFUNCTION("""COMPUTED_VALUE"""),44419.0)</f>
        <v>44419</v>
      </c>
      <c r="Y4" s="225">
        <f>IFERROR(__xludf.DUMMYFUNCTION("""COMPUTED_VALUE"""),44420.0)</f>
        <v>44420</v>
      </c>
      <c r="Z4" s="225">
        <f>IFERROR(__xludf.DUMMYFUNCTION("""COMPUTED_VALUE"""),44421.0)</f>
        <v>44421</v>
      </c>
      <c r="AA4" s="214"/>
      <c r="AB4" s="215" t="str">
        <f>IFERROR(__xludf.DUMMYFUNCTION("""COMPUTED_VALUE"""),"ADS 3B E")</f>
        <v>ADS 3B E</v>
      </c>
      <c r="AC4" s="209" t="str">
        <f>IFERROR(__xludf.DUMMYFUNCTION("""COMPUTED_VALUE"""),"OPE1")</f>
        <v>OPE1</v>
      </c>
      <c r="AD4" s="209" t="str">
        <f>IFERROR(__xludf.DUMMYFUNCTION("""COMPUTED_VALUE"""),"ADS")</f>
        <v>ADS</v>
      </c>
      <c r="AE4" s="209">
        <f>IFERROR(__xludf.DUMMYFUNCTION("""COMPUTED_VALUE"""),3.0)</f>
        <v>3</v>
      </c>
      <c r="AF4" s="209" t="str">
        <f>IFERROR(__xludf.DUMMYFUNCTION("""COMPUTED_VALUE"""),"EAD")</f>
        <v>EAD</v>
      </c>
      <c r="AG4" s="209" t="str">
        <f>IFERROR(__xludf.DUMMYFUNCTION("""COMPUTED_VALUE"""),"B")</f>
        <v>B</v>
      </c>
      <c r="AH4" s="209" t="str">
        <f>IFERROR(__xludf.DUMMYFUNCTION("""COMPUTED_VALUE"""),"-")</f>
        <v>-</v>
      </c>
      <c r="AI4" s="103" t="str">
        <f>IFERROR(__xludf.DUMMYFUNCTION("""COMPUTED_VALUE"""),"-")</f>
        <v>-</v>
      </c>
      <c r="AJ4" s="226"/>
      <c r="AK4" s="217" t="b">
        <f>IFERROR(__xludf.DUMMYFUNCTION("""COMPUTED_VALUE"""),FALSE)</f>
        <v>0</v>
      </c>
      <c r="AL4" s="218" t="b">
        <f>IFERROR(__xludf.DUMMYFUNCTION("""COMPUTED_VALUE"""),FALSE)</f>
        <v>0</v>
      </c>
      <c r="AM4" s="219" t="b">
        <f>IFERROR(__xludf.DUMMYFUNCTION("""COMPUTED_VALUE"""),FALSE)</f>
        <v>0</v>
      </c>
      <c r="AN4" s="218" t="b">
        <f>IFERROR(__xludf.DUMMYFUNCTION("""COMPUTED_VALUE"""),FALSE)</f>
        <v>0</v>
      </c>
      <c r="AO4" s="218" t="b">
        <f>IFERROR(__xludf.DUMMYFUNCTION("""COMPUTED_VALUE"""),TRUE)</f>
        <v>1</v>
      </c>
      <c r="AP4" s="220" t="b">
        <f>IFERROR(__xludf.DUMMYFUNCTION("""COMPUTED_VALUE"""),TRUE)</f>
        <v>1</v>
      </c>
      <c r="AQ4" s="219" t="b">
        <f>IFERROR(__xludf.DUMMYFUNCTION("""COMPUTED_VALUE"""),FALSE)</f>
        <v>0</v>
      </c>
      <c r="AR4" s="218" t="b">
        <f>IFERROR(__xludf.DUMMYFUNCTION("""COMPUTED_VALUE"""),TRUE)</f>
        <v>1</v>
      </c>
      <c r="AS4" s="219" t="b">
        <f>IFERROR(__xludf.DUMMYFUNCTION("""COMPUTED_VALUE"""),FALSE)</f>
        <v>0</v>
      </c>
      <c r="AT4" s="221" t="b">
        <f>IFERROR(__xludf.DUMMYFUNCTION("""COMPUTED_VALUE"""),TRUE)</f>
        <v>1</v>
      </c>
      <c r="AU4" s="80"/>
    </row>
    <row r="5">
      <c r="A5" s="141"/>
      <c r="B5" s="141"/>
      <c r="C5" s="141"/>
      <c r="D5" s="27" t="str">
        <f>IFERROR(__xludf.DUMMYFUNCTION("""COMPUTED_VALUE"""),"Ruim")</f>
        <v>Ruim</v>
      </c>
      <c r="E5" s="27">
        <f>IFERROR(__xludf.DUMMYFUNCTION("""COMPUTED_VALUE"""),4.0)</f>
        <v>4</v>
      </c>
      <c r="F5" s="55"/>
      <c r="G5" s="204" t="str">
        <f>IFERROR(__xludf.DUMMYFUNCTION("""COMPUTED_VALUE"""),"Fabio Furia")</f>
        <v>Fabio Furia</v>
      </c>
      <c r="H5" s="205" t="str">
        <f>IFERROR(__xludf.DUMMYFUNCTION("""COMPUTED_VALUE"""),"Fabio Furia Silva")</f>
        <v>Fabio Furia Silva</v>
      </c>
      <c r="I5" s="22" t="str">
        <f>IFERROR(__xludf.DUMMYFUNCTION("""COMPUTED_VALUE"""),"fabio.furia@faculdadeimpacta.com.br")</f>
        <v>fabio.furia@faculdadeimpacta.com.br</v>
      </c>
      <c r="J5" s="55"/>
      <c r="K5" s="158" t="str">
        <f>IFERROR(__xludf.DUMMYFUNCTION("""COMPUTED_VALUE"""),"GTI3")</f>
        <v>GTI3</v>
      </c>
      <c r="L5" s="22" t="str">
        <f>IFERROR(__xludf.DUMMYFUNCTION("""COMPUTED_VALUE"""),"GTI")</f>
        <v>GTI</v>
      </c>
      <c r="M5" s="206">
        <f>IFERROR(__xludf.DUMMYFUNCTION("""COMPUTED_VALUE"""),3.0)</f>
        <v>3</v>
      </c>
      <c r="N5" s="206" t="str">
        <f>IFERROR(__xludf.DUMMYFUNCTION("""COMPUTED_VALUE"""),"OPE1")</f>
        <v>OPE1</v>
      </c>
      <c r="O5" s="55"/>
      <c r="P5" s="222" t="str">
        <f>IFERROR(__xludf.DUMMYFUNCTION("""COMPUTED_VALUE"""),"12")</f>
        <v>12</v>
      </c>
      <c r="Q5" s="208">
        <f>IFERROR(__xludf.DUMMYFUNCTION("""COMPUTED_VALUE"""),3.0)</f>
        <v>3</v>
      </c>
      <c r="R5" s="209">
        <f>IFERROR(__xludf.DUMMYFUNCTION("""COMPUTED_VALUE"""),1.0)</f>
        <v>1</v>
      </c>
      <c r="S5" s="209">
        <f>IFERROR(__xludf.DUMMYFUNCTION("""COMPUTED_VALUE"""),2.0)</f>
        <v>2</v>
      </c>
      <c r="T5" s="223" t="str">
        <f>IFERROR(__xludf.DUMMYFUNCTION("""COMPUTED_VALUE"""),"1º")</f>
        <v>1º</v>
      </c>
      <c r="U5" s="227"/>
      <c r="V5" s="225">
        <f>IFERROR(__xludf.DUMMYFUNCTION("""COMPUTED_VALUE"""),44424.0)</f>
        <v>44424</v>
      </c>
      <c r="W5" s="225">
        <f>IFERROR(__xludf.DUMMYFUNCTION("""COMPUTED_VALUE"""),44425.0)</f>
        <v>44425</v>
      </c>
      <c r="X5" s="225"/>
      <c r="Y5" s="225">
        <f>IFERROR(__xludf.DUMMYFUNCTION("""COMPUTED_VALUE"""),44427.0)</f>
        <v>44427</v>
      </c>
      <c r="Z5" s="225">
        <f>IFERROR(__xludf.DUMMYFUNCTION("""COMPUTED_VALUE"""),44428.0)</f>
        <v>44428</v>
      </c>
      <c r="AA5" s="214"/>
      <c r="AB5" s="215" t="str">
        <f>IFERROR(__xludf.DUMMYFUNCTION("""COMPUTED_VALUE"""),"ADS 4A E")</f>
        <v>ADS 4A E</v>
      </c>
      <c r="AC5" s="209" t="str">
        <f>IFERROR(__xludf.DUMMYFUNCTION("""COMPUTED_VALUE"""),"OPE2")</f>
        <v>OPE2</v>
      </c>
      <c r="AD5" s="209" t="str">
        <f>IFERROR(__xludf.DUMMYFUNCTION("""COMPUTED_VALUE"""),"ADS")</f>
        <v>ADS</v>
      </c>
      <c r="AE5" s="209">
        <f>IFERROR(__xludf.DUMMYFUNCTION("""COMPUTED_VALUE"""),4.0)</f>
        <v>4</v>
      </c>
      <c r="AF5" s="209" t="str">
        <f>IFERROR(__xludf.DUMMYFUNCTION("""COMPUTED_VALUE"""),"EAD")</f>
        <v>EAD</v>
      </c>
      <c r="AG5" s="209" t="str">
        <f>IFERROR(__xludf.DUMMYFUNCTION("""COMPUTED_VALUE"""),"A")</f>
        <v>A</v>
      </c>
      <c r="AH5" s="209" t="str">
        <f>IFERROR(__xludf.DUMMYFUNCTION("""COMPUTED_VALUE"""),"2ª")</f>
        <v>2ª</v>
      </c>
      <c r="AI5" s="103" t="str">
        <f>IFERROR(__xludf.DUMMYFUNCTION("""COMPUTED_VALUE"""),"Rafael Máximo")</f>
        <v>Rafael Máximo</v>
      </c>
      <c r="AJ5" s="228"/>
      <c r="AK5" s="217" t="b">
        <f>IFERROR(__xludf.DUMMYFUNCTION("""COMPUTED_VALUE"""),FALSE)</f>
        <v>0</v>
      </c>
      <c r="AL5" s="218" t="b">
        <f>IFERROR(__xludf.DUMMYFUNCTION("""COMPUTED_VALUE"""),TRUE)</f>
        <v>1</v>
      </c>
      <c r="AM5" s="219" t="b">
        <f>IFERROR(__xludf.DUMMYFUNCTION("""COMPUTED_VALUE"""),TRUE)</f>
        <v>1</v>
      </c>
      <c r="AN5" s="218" t="b">
        <f>IFERROR(__xludf.DUMMYFUNCTION("""COMPUTED_VALUE"""),TRUE)</f>
        <v>1</v>
      </c>
      <c r="AO5" s="218" t="b">
        <f>IFERROR(__xludf.DUMMYFUNCTION("""COMPUTED_VALUE"""),TRUE)</f>
        <v>1</v>
      </c>
      <c r="AP5" s="220" t="b">
        <f>IFERROR(__xludf.DUMMYFUNCTION("""COMPUTED_VALUE"""),FALSE)</f>
        <v>0</v>
      </c>
      <c r="AQ5" s="219" t="b">
        <f>IFERROR(__xludf.DUMMYFUNCTION("""COMPUTED_VALUE"""),TRUE)</f>
        <v>1</v>
      </c>
      <c r="AR5" s="218" t="b">
        <f>IFERROR(__xludf.DUMMYFUNCTION("""COMPUTED_VALUE"""),FALSE)</f>
        <v>0</v>
      </c>
      <c r="AS5" s="219" t="b">
        <f>IFERROR(__xludf.DUMMYFUNCTION("""COMPUTED_VALUE"""),FALSE)</f>
        <v>0</v>
      </c>
      <c r="AT5" s="221" t="b">
        <f>IFERROR(__xludf.DUMMYFUNCTION("""COMPUTED_VALUE"""),FALSE)</f>
        <v>0</v>
      </c>
      <c r="AU5" s="80"/>
    </row>
    <row r="6">
      <c r="A6" s="55"/>
      <c r="B6" s="55"/>
      <c r="C6" s="55"/>
      <c r="D6" s="27" t="str">
        <f>IFERROR(__xludf.DUMMYFUNCTION("""COMPUTED_VALUE"""),"Razoável")</f>
        <v>Razoável</v>
      </c>
      <c r="E6" s="22">
        <f>IFERROR(__xludf.DUMMYFUNCTION("""COMPUTED_VALUE"""),6.0)</f>
        <v>6</v>
      </c>
      <c r="F6" s="55"/>
      <c r="G6" s="204" t="str">
        <f>IFERROR(__xludf.DUMMYFUNCTION("""COMPUTED_VALUE"""),"Gilberto Pereira")</f>
        <v>Gilberto Pereira</v>
      </c>
      <c r="H6" s="205" t="str">
        <f>IFERROR(__xludf.DUMMYFUNCTION("""COMPUTED_VALUE"""),"Gilberto Alves Pereira")</f>
        <v>Gilberto Alves Pereira</v>
      </c>
      <c r="I6" s="205" t="str">
        <f>IFERROR(__xludf.DUMMYFUNCTION("""COMPUTED_VALUE"""),"gilberto.pereira@faculdadeimpacta.com.br")</f>
        <v>gilberto.pereira@faculdadeimpacta.com.br</v>
      </c>
      <c r="J6" s="55"/>
      <c r="K6" s="158" t="str">
        <f>IFERROR(__xludf.DUMMYFUNCTION("""COMPUTED_VALUE"""),"SI3")</f>
        <v>SI3</v>
      </c>
      <c r="L6" s="22" t="str">
        <f>IFERROR(__xludf.DUMMYFUNCTION("""COMPUTED_VALUE"""),"SI")</f>
        <v>SI</v>
      </c>
      <c r="M6" s="206">
        <f>IFERROR(__xludf.DUMMYFUNCTION("""COMPUTED_VALUE"""),3.0)</f>
        <v>3</v>
      </c>
      <c r="N6" s="206" t="str">
        <f>IFERROR(__xludf.DUMMYFUNCTION("""COMPUTED_VALUE"""),"OPE1")</f>
        <v>OPE1</v>
      </c>
      <c r="O6" s="55"/>
      <c r="P6" s="222" t="str">
        <f>IFERROR(__xludf.DUMMYFUNCTION("""COMPUTED_VALUE"""),"13")</f>
        <v>13</v>
      </c>
      <c r="Q6" s="208">
        <f>IFERROR(__xludf.DUMMYFUNCTION("""COMPUTED_VALUE"""),4.0)</f>
        <v>4</v>
      </c>
      <c r="R6" s="209">
        <f>IFERROR(__xludf.DUMMYFUNCTION("""COMPUTED_VALUE"""),1.0)</f>
        <v>1</v>
      </c>
      <c r="S6" s="209">
        <f>IFERROR(__xludf.DUMMYFUNCTION("""COMPUTED_VALUE"""),3.0)</f>
        <v>3</v>
      </c>
      <c r="T6" s="223" t="str">
        <f>IFERROR(__xludf.DUMMYFUNCTION("""COMPUTED_VALUE"""),"1º ou plantão")</f>
        <v>1º ou plantão</v>
      </c>
      <c r="U6" s="229"/>
      <c r="V6" s="230">
        <f>IFERROR(__xludf.DUMMYFUNCTION("""COMPUTED_VALUE"""),44431.0)</f>
        <v>44431</v>
      </c>
      <c r="W6" s="212">
        <f>IFERROR(__xludf.DUMMYFUNCTION("""COMPUTED_VALUE"""),44432.0)</f>
        <v>44432</v>
      </c>
      <c r="X6" s="212">
        <f>IFERROR(__xludf.DUMMYFUNCTION("""COMPUTED_VALUE"""),44433.0)</f>
        <v>44433</v>
      </c>
      <c r="Y6" s="225">
        <f>IFERROR(__xludf.DUMMYFUNCTION("""COMPUTED_VALUE"""),44434.0)</f>
        <v>44434</v>
      </c>
      <c r="Z6" s="225">
        <f>IFERROR(__xludf.DUMMYFUNCTION("""COMPUTED_VALUE"""),44435.0)</f>
        <v>44435</v>
      </c>
      <c r="AA6" s="214"/>
      <c r="AB6" s="215" t="str">
        <f>IFERROR(__xludf.DUMMYFUNCTION("""COMPUTED_VALUE"""),"ADS 4B E")</f>
        <v>ADS 4B E</v>
      </c>
      <c r="AC6" s="209" t="str">
        <f>IFERROR(__xludf.DUMMYFUNCTION("""COMPUTED_VALUE"""),"OPE2")</f>
        <v>OPE2</v>
      </c>
      <c r="AD6" s="209" t="str">
        <f>IFERROR(__xludf.DUMMYFUNCTION("""COMPUTED_VALUE"""),"ADS")</f>
        <v>ADS</v>
      </c>
      <c r="AE6" s="209">
        <f>IFERROR(__xludf.DUMMYFUNCTION("""COMPUTED_VALUE"""),4.0)</f>
        <v>4</v>
      </c>
      <c r="AF6" s="209" t="str">
        <f>IFERROR(__xludf.DUMMYFUNCTION("""COMPUTED_VALUE"""),"EAD")</f>
        <v>EAD</v>
      </c>
      <c r="AG6" s="209" t="str">
        <f>IFERROR(__xludf.DUMMYFUNCTION("""COMPUTED_VALUE"""),"A")</f>
        <v>A</v>
      </c>
      <c r="AH6" s="209" t="str">
        <f>IFERROR(__xludf.DUMMYFUNCTION("""COMPUTED_VALUE"""),"3ª")</f>
        <v>3ª</v>
      </c>
      <c r="AI6" s="103" t="str">
        <f>IFERROR(__xludf.DUMMYFUNCTION("""COMPUTED_VALUE"""),"Victor Stafusa")</f>
        <v>Victor Stafusa</v>
      </c>
      <c r="AJ6" s="216"/>
      <c r="AK6" s="217" t="b">
        <f>IFERROR(__xludf.DUMMYFUNCTION("""COMPUTED_VALUE"""),FALSE)</f>
        <v>0</v>
      </c>
      <c r="AL6" s="218" t="b">
        <f>IFERROR(__xludf.DUMMYFUNCTION("""COMPUTED_VALUE"""),TRUE)</f>
        <v>1</v>
      </c>
      <c r="AM6" s="219" t="b">
        <f>IFERROR(__xludf.DUMMYFUNCTION("""COMPUTED_VALUE"""),TRUE)</f>
        <v>1</v>
      </c>
      <c r="AN6" s="218" t="b">
        <f>IFERROR(__xludf.DUMMYFUNCTION("""COMPUTED_VALUE"""),TRUE)</f>
        <v>1</v>
      </c>
      <c r="AO6" s="218" t="b">
        <f>IFERROR(__xludf.DUMMYFUNCTION("""COMPUTED_VALUE"""),TRUE)</f>
        <v>1</v>
      </c>
      <c r="AP6" s="220" t="b">
        <f>IFERROR(__xludf.DUMMYFUNCTION("""COMPUTED_VALUE"""),FALSE)</f>
        <v>0</v>
      </c>
      <c r="AQ6" s="219" t="b">
        <f>IFERROR(__xludf.DUMMYFUNCTION("""COMPUTED_VALUE"""),TRUE)</f>
        <v>1</v>
      </c>
      <c r="AR6" s="218" t="b">
        <f>IFERROR(__xludf.DUMMYFUNCTION("""COMPUTED_VALUE"""),FALSE)</f>
        <v>0</v>
      </c>
      <c r="AS6" s="219" t="b">
        <f>IFERROR(__xludf.DUMMYFUNCTION("""COMPUTED_VALUE"""),FALSE)</f>
        <v>0</v>
      </c>
      <c r="AT6" s="221" t="b">
        <f>IFERROR(__xludf.DUMMYFUNCTION("""COMPUTED_VALUE"""),FALSE)</f>
        <v>0</v>
      </c>
      <c r="AU6" s="80"/>
    </row>
    <row r="7">
      <c r="A7" s="141"/>
      <c r="B7" s="141"/>
      <c r="C7" s="141"/>
      <c r="D7" s="27" t="str">
        <f>IFERROR(__xludf.DUMMYFUNCTION("""COMPUTED_VALUE"""),"Bom")</f>
        <v>Bom</v>
      </c>
      <c r="E7" s="27">
        <f>IFERROR(__xludf.DUMMYFUNCTION("""COMPUTED_VALUE"""),8.0)</f>
        <v>8</v>
      </c>
      <c r="F7" s="55"/>
      <c r="G7" s="231" t="str">
        <f>IFERROR(__xludf.DUMMYFUNCTION("""COMPUTED_VALUE"""),"Márcia Kondo")</f>
        <v>Márcia Kondo</v>
      </c>
      <c r="H7" s="205" t="str">
        <f>IFERROR(__xludf.DUMMYFUNCTION("""COMPUTED_VALUE"""),"Marcia Narumi Shiraishi Kondo")</f>
        <v>Marcia Narumi Shiraishi Kondo</v>
      </c>
      <c r="I7" s="205" t="str">
        <f>IFERROR(__xludf.DUMMYFUNCTION("""COMPUTED_VALUE"""),"marcia.kondo@faculdadeimpacta.com.br")</f>
        <v>marcia.kondo@faculdadeimpacta.com.br</v>
      </c>
      <c r="J7" s="55"/>
      <c r="K7" s="158" t="str">
        <f>IFERROR(__xludf.DUMMYFUNCTION("""COMPUTED_VALUE"""),"ADS4")</f>
        <v>ADS4</v>
      </c>
      <c r="L7" s="22" t="str">
        <f>IFERROR(__xludf.DUMMYFUNCTION("""COMPUTED_VALUE"""),"ADS")</f>
        <v>ADS</v>
      </c>
      <c r="M7" s="206">
        <f>IFERROR(__xludf.DUMMYFUNCTION("""COMPUTED_VALUE"""),4.0)</f>
        <v>4</v>
      </c>
      <c r="N7" s="206" t="str">
        <f>IFERROR(__xludf.DUMMYFUNCTION("""COMPUTED_VALUE"""),"OPE2")</f>
        <v>OPE2</v>
      </c>
      <c r="O7" s="55"/>
      <c r="P7" s="222" t="str">
        <f>IFERROR(__xludf.DUMMYFUNCTION("""COMPUTED_VALUE"""),"21")</f>
        <v>21</v>
      </c>
      <c r="Q7" s="208">
        <f>IFERROR(__xludf.DUMMYFUNCTION("""COMPUTED_VALUE"""),5.0)</f>
        <v>5</v>
      </c>
      <c r="R7" s="209">
        <f>IFERROR(__xludf.DUMMYFUNCTION("""COMPUTED_VALUE"""),2.0)</f>
        <v>2</v>
      </c>
      <c r="S7" s="209">
        <f>IFERROR(__xludf.DUMMYFUNCTION("""COMPUTED_VALUE"""),1.0)</f>
        <v>1</v>
      </c>
      <c r="T7" s="223" t="str">
        <f>IFERROR(__xludf.DUMMYFUNCTION("""COMPUTED_VALUE"""),"2º")</f>
        <v>2º</v>
      </c>
      <c r="U7" s="224" t="str">
        <f>IFERROR(__xludf.DUMMYFUNCTION("""COMPUTED_VALUE"""),"Orientação e Acompanhamento do projeto e dos artefatos")</f>
        <v>Orientação e Acompanhamento do projeto e dos artefatos</v>
      </c>
      <c r="V7" s="212">
        <f>IFERROR(__xludf.DUMMYFUNCTION("""COMPUTED_VALUE"""),44438.0)</f>
        <v>44438</v>
      </c>
      <c r="W7" s="225">
        <f>IFERROR(__xludf.DUMMYFUNCTION("""COMPUTED_VALUE"""),44439.0)</f>
        <v>44439</v>
      </c>
      <c r="X7" s="225">
        <f>IFERROR(__xludf.DUMMYFUNCTION("""COMPUTED_VALUE"""),44440.0)</f>
        <v>44440</v>
      </c>
      <c r="Y7" s="212">
        <f>IFERROR(__xludf.DUMMYFUNCTION("""COMPUTED_VALUE"""),44441.0)</f>
        <v>44441</v>
      </c>
      <c r="Z7" s="212">
        <f>IFERROR(__xludf.DUMMYFUNCTION("""COMPUTED_VALUE"""),44442.0)</f>
        <v>44442</v>
      </c>
      <c r="AA7" s="214"/>
      <c r="AB7" s="215" t="str">
        <f>IFERROR(__xludf.DUMMYFUNCTION("""COMPUTED_VALUE"""),"ADS 3A M")</f>
        <v>ADS 3A M</v>
      </c>
      <c r="AC7" s="209" t="str">
        <f>IFERROR(__xludf.DUMMYFUNCTION("""COMPUTED_VALUE"""),"OPE1")</f>
        <v>OPE1</v>
      </c>
      <c r="AD7" s="209" t="str">
        <f>IFERROR(__xludf.DUMMYFUNCTION("""COMPUTED_VALUE"""),"ADS")</f>
        <v>ADS</v>
      </c>
      <c r="AE7" s="209">
        <f>IFERROR(__xludf.DUMMYFUNCTION("""COMPUTED_VALUE"""),3.0)</f>
        <v>3</v>
      </c>
      <c r="AF7" s="209" t="str">
        <f>IFERROR(__xludf.DUMMYFUNCTION("""COMPUTED_VALUE"""),"Matutino")</f>
        <v>Matutino</v>
      </c>
      <c r="AG7" s="209" t="str">
        <f>IFERROR(__xludf.DUMMYFUNCTION("""COMPUTED_VALUE"""),"A")</f>
        <v>A</v>
      </c>
      <c r="AH7" s="209" t="str">
        <f>IFERROR(__xludf.DUMMYFUNCTION("""COMPUTED_VALUE"""),"-")</f>
        <v>-</v>
      </c>
      <c r="AI7" s="103" t="str">
        <f>IFERROR(__xludf.DUMMYFUNCTION("""COMPUTED_VALUE"""),"-")</f>
        <v>-</v>
      </c>
      <c r="AJ7" s="232"/>
      <c r="AK7" s="217" t="b">
        <f>IFERROR(__xludf.DUMMYFUNCTION("""COMPUTED_VALUE"""),FALSE)</f>
        <v>0</v>
      </c>
      <c r="AL7" s="218" t="b">
        <f>IFERROR(__xludf.DUMMYFUNCTION("""COMPUTED_VALUE"""),FALSE)</f>
        <v>0</v>
      </c>
      <c r="AM7" s="219" t="b">
        <f>IFERROR(__xludf.DUMMYFUNCTION("""COMPUTED_VALUE"""),FALSE)</f>
        <v>0</v>
      </c>
      <c r="AN7" s="218" t="b">
        <f>IFERROR(__xludf.DUMMYFUNCTION("""COMPUTED_VALUE"""),FALSE)</f>
        <v>0</v>
      </c>
      <c r="AO7" s="218" t="b">
        <f>IFERROR(__xludf.DUMMYFUNCTION("""COMPUTED_VALUE"""),FALSE)</f>
        <v>0</v>
      </c>
      <c r="AP7" s="220" t="b">
        <f>IFERROR(__xludf.DUMMYFUNCTION("""COMPUTED_VALUE"""),TRUE)</f>
        <v>1</v>
      </c>
      <c r="AQ7" s="219" t="b">
        <f>IFERROR(__xludf.DUMMYFUNCTION("""COMPUTED_VALUE"""),TRUE)</f>
        <v>1</v>
      </c>
      <c r="AR7" s="218" t="b">
        <f>IFERROR(__xludf.DUMMYFUNCTION("""COMPUTED_VALUE"""),TRUE)</f>
        <v>1</v>
      </c>
      <c r="AS7" s="219" t="b">
        <f>IFERROR(__xludf.DUMMYFUNCTION("""COMPUTED_VALUE"""),TRUE)</f>
        <v>1</v>
      </c>
      <c r="AT7" s="221" t="b">
        <f>IFERROR(__xludf.DUMMYFUNCTION("""COMPUTED_VALUE"""),TRUE)</f>
        <v>1</v>
      </c>
      <c r="AU7" s="80"/>
    </row>
    <row r="8">
      <c r="A8" s="55"/>
      <c r="B8" s="55"/>
      <c r="C8" s="55"/>
      <c r="D8" s="22" t="str">
        <f>IFERROR(__xludf.DUMMYFUNCTION("""COMPUTED_VALUE"""),"Ótimo")</f>
        <v>Ótimo</v>
      </c>
      <c r="E8" s="22">
        <f>IFERROR(__xludf.DUMMYFUNCTION("""COMPUTED_VALUE"""),10.0)</f>
        <v>10</v>
      </c>
      <c r="F8" s="55"/>
      <c r="G8" s="204" t="str">
        <f>IFERROR(__xludf.DUMMYFUNCTION("""COMPUTED_VALUE"""),"Rafael Máximo")</f>
        <v>Rafael Máximo</v>
      </c>
      <c r="H8" s="205" t="str">
        <f>IFERROR(__xludf.DUMMYFUNCTION("""COMPUTED_VALUE"""),"Rafael Maximo Carreira Ribeiro")</f>
        <v>Rafael Maximo Carreira Ribeiro</v>
      </c>
      <c r="I8" s="205" t="str">
        <f>IFERROR(__xludf.DUMMYFUNCTION("""COMPUTED_VALUE"""),"rafael.ribeiro@faculdadeimpacta.com.br")</f>
        <v>rafael.ribeiro@faculdadeimpacta.com.br</v>
      </c>
      <c r="J8" s="55"/>
      <c r="K8" s="158" t="str">
        <f>IFERROR(__xludf.DUMMYFUNCTION("""COMPUTED_VALUE"""),"BD4")</f>
        <v>BD4</v>
      </c>
      <c r="L8" s="22" t="str">
        <f>IFERROR(__xludf.DUMMYFUNCTION("""COMPUTED_VALUE"""),"BD")</f>
        <v>BD</v>
      </c>
      <c r="M8" s="206">
        <f>IFERROR(__xludf.DUMMYFUNCTION("""COMPUTED_VALUE"""),4.0)</f>
        <v>4</v>
      </c>
      <c r="N8" s="206" t="str">
        <f>IFERROR(__xludf.DUMMYFUNCTION("""COMPUTED_VALUE"""),"OPE2")</f>
        <v>OPE2</v>
      </c>
      <c r="O8" s="55"/>
      <c r="P8" s="222" t="str">
        <f>IFERROR(__xludf.DUMMYFUNCTION("""COMPUTED_VALUE"""),"22")</f>
        <v>22</v>
      </c>
      <c r="Q8" s="208">
        <f>IFERROR(__xludf.DUMMYFUNCTION("""COMPUTED_VALUE"""),6.0)</f>
        <v>6</v>
      </c>
      <c r="R8" s="209">
        <f>IFERROR(__xludf.DUMMYFUNCTION("""COMPUTED_VALUE"""),2.0)</f>
        <v>2</v>
      </c>
      <c r="S8" s="209">
        <f>IFERROR(__xludf.DUMMYFUNCTION("""COMPUTED_VALUE"""),2.0)</f>
        <v>2</v>
      </c>
      <c r="T8" s="223" t="str">
        <f>IFERROR(__xludf.DUMMYFUNCTION("""COMPUTED_VALUE"""),"2º")</f>
        <v>2º</v>
      </c>
      <c r="U8" s="227"/>
      <c r="V8" s="225"/>
      <c r="W8" s="233"/>
      <c r="X8" s="233">
        <f>IFERROR(__xludf.DUMMYFUNCTION("""COMPUTED_VALUE"""),44447.0)</f>
        <v>44447</v>
      </c>
      <c r="Y8" s="225">
        <f>IFERROR(__xludf.DUMMYFUNCTION("""COMPUTED_VALUE"""),44448.0)</f>
        <v>44448</v>
      </c>
      <c r="Z8" s="225">
        <f>IFERROR(__xludf.DUMMYFUNCTION("""COMPUTED_VALUE"""),44449.0)</f>
        <v>44449</v>
      </c>
      <c r="AA8" s="214"/>
      <c r="AB8" s="215" t="str">
        <f>IFERROR(__xludf.DUMMYFUNCTION("""COMPUTED_VALUE"""),"SI 3A M")</f>
        <v>SI 3A M</v>
      </c>
      <c r="AC8" s="209" t="str">
        <f>IFERROR(__xludf.DUMMYFUNCTION("""COMPUTED_VALUE"""),"OPE1")</f>
        <v>OPE1</v>
      </c>
      <c r="AD8" s="209" t="str">
        <f>IFERROR(__xludf.DUMMYFUNCTION("""COMPUTED_VALUE"""),"SI")</f>
        <v>SI</v>
      </c>
      <c r="AE8" s="209">
        <f>IFERROR(__xludf.DUMMYFUNCTION("""COMPUTED_VALUE"""),3.0)</f>
        <v>3</v>
      </c>
      <c r="AF8" s="209" t="str">
        <f>IFERROR(__xludf.DUMMYFUNCTION("""COMPUTED_VALUE"""),"Matutino")</f>
        <v>Matutino</v>
      </c>
      <c r="AG8" s="209" t="str">
        <f>IFERROR(__xludf.DUMMYFUNCTION("""COMPUTED_VALUE"""),"A")</f>
        <v>A</v>
      </c>
      <c r="AH8" s="209" t="str">
        <f>IFERROR(__xludf.DUMMYFUNCTION("""COMPUTED_VALUE"""),"-")</f>
        <v>-</v>
      </c>
      <c r="AI8" s="103" t="str">
        <f>IFERROR(__xludf.DUMMYFUNCTION("""COMPUTED_VALUE"""),"-")</f>
        <v>-</v>
      </c>
      <c r="AJ8" s="226"/>
      <c r="AK8" s="217" t="b">
        <f>IFERROR(__xludf.DUMMYFUNCTION("""COMPUTED_VALUE"""),FALSE)</f>
        <v>0</v>
      </c>
      <c r="AL8" s="218" t="b">
        <f>IFERROR(__xludf.DUMMYFUNCTION("""COMPUTED_VALUE"""),FALSE)</f>
        <v>0</v>
      </c>
      <c r="AM8" s="219" t="b">
        <f>IFERROR(__xludf.DUMMYFUNCTION("""COMPUTED_VALUE"""),FALSE)</f>
        <v>0</v>
      </c>
      <c r="AN8" s="218" t="b">
        <f>IFERROR(__xludf.DUMMYFUNCTION("""COMPUTED_VALUE"""),FALSE)</f>
        <v>0</v>
      </c>
      <c r="AO8" s="218" t="b">
        <f>IFERROR(__xludf.DUMMYFUNCTION("""COMPUTED_VALUE"""),FALSE)</f>
        <v>0</v>
      </c>
      <c r="AP8" s="220" t="b">
        <f>IFERROR(__xludf.DUMMYFUNCTION("""COMPUTED_VALUE"""),TRUE)</f>
        <v>1</v>
      </c>
      <c r="AQ8" s="219" t="b">
        <f>IFERROR(__xludf.DUMMYFUNCTION("""COMPUTED_VALUE"""),TRUE)</f>
        <v>1</v>
      </c>
      <c r="AR8" s="218" t="b">
        <f>IFERROR(__xludf.DUMMYFUNCTION("""COMPUTED_VALUE"""),TRUE)</f>
        <v>1</v>
      </c>
      <c r="AS8" s="219" t="b">
        <f>IFERROR(__xludf.DUMMYFUNCTION("""COMPUTED_VALUE"""),TRUE)</f>
        <v>1</v>
      </c>
      <c r="AT8" s="221" t="b">
        <f>IFERROR(__xludf.DUMMYFUNCTION("""COMPUTED_VALUE"""),TRUE)</f>
        <v>1</v>
      </c>
      <c r="AU8" s="80"/>
    </row>
    <row r="9">
      <c r="A9" s="55"/>
      <c r="B9" s="55"/>
      <c r="C9" s="55"/>
      <c r="D9" s="55"/>
      <c r="E9" s="55"/>
      <c r="F9" s="55"/>
      <c r="G9" s="204" t="str">
        <f>IFERROR(__xludf.DUMMYFUNCTION("""COMPUTED_VALUE"""),"Rodrigo Müller")</f>
        <v>Rodrigo Müller</v>
      </c>
      <c r="H9" s="205" t="str">
        <f>IFERROR(__xludf.DUMMYFUNCTION("""COMPUTED_VALUE"""),"Rodrigo Müller de Carvalho")</f>
        <v>Rodrigo Müller de Carvalho</v>
      </c>
      <c r="I9" s="205" t="str">
        <f>IFERROR(__xludf.DUMMYFUNCTION("""COMPUTED_VALUE"""),"rodrigo.carvalho@faculdadeimpacta.com.br")</f>
        <v>rodrigo.carvalho@faculdadeimpacta.com.br</v>
      </c>
      <c r="J9" s="55"/>
      <c r="K9" s="158" t="str">
        <f>IFERROR(__xludf.DUMMYFUNCTION("""COMPUTED_VALUE"""),"GTI4")</f>
        <v>GTI4</v>
      </c>
      <c r="L9" s="22" t="str">
        <f>IFERROR(__xludf.DUMMYFUNCTION("""COMPUTED_VALUE"""),"GTI")</f>
        <v>GTI</v>
      </c>
      <c r="M9" s="206">
        <f>IFERROR(__xludf.DUMMYFUNCTION("""COMPUTED_VALUE"""),4.0)</f>
        <v>4</v>
      </c>
      <c r="N9" s="206" t="str">
        <f>IFERROR(__xludf.DUMMYFUNCTION("""COMPUTED_VALUE"""),"OPE2")</f>
        <v>OPE2</v>
      </c>
      <c r="O9" s="55"/>
      <c r="P9" s="222" t="str">
        <f>IFERROR(__xludf.DUMMYFUNCTION("""COMPUTED_VALUE"""),"23")</f>
        <v>23</v>
      </c>
      <c r="Q9" s="208">
        <f>IFERROR(__xludf.DUMMYFUNCTION("""COMPUTED_VALUE"""),7.0)</f>
        <v>7</v>
      </c>
      <c r="R9" s="209">
        <f>IFERROR(__xludf.DUMMYFUNCTION("""COMPUTED_VALUE"""),2.0)</f>
        <v>2</v>
      </c>
      <c r="S9" s="209">
        <f>IFERROR(__xludf.DUMMYFUNCTION("""COMPUTED_VALUE"""),3.0)</f>
        <v>3</v>
      </c>
      <c r="T9" s="223" t="str">
        <f>IFERROR(__xludf.DUMMYFUNCTION("""COMPUTED_VALUE"""),"2º ou plantão")</f>
        <v>2º ou plantão</v>
      </c>
      <c r="U9" s="229"/>
      <c r="V9" s="225">
        <f>IFERROR(__xludf.DUMMYFUNCTION("""COMPUTED_VALUE"""),44452.0)</f>
        <v>44452</v>
      </c>
      <c r="W9" s="212">
        <f>IFERROR(__xludf.DUMMYFUNCTION("""COMPUTED_VALUE"""),44453.0)</f>
        <v>44453</v>
      </c>
      <c r="X9" s="212">
        <f>IFERROR(__xludf.DUMMYFUNCTION("""COMPUTED_VALUE"""),44454.0)</f>
        <v>44454</v>
      </c>
      <c r="Y9" s="225">
        <f>IFERROR(__xludf.DUMMYFUNCTION("""COMPUTED_VALUE"""),44455.0)</f>
        <v>44455</v>
      </c>
      <c r="Z9" s="225">
        <f>IFERROR(__xludf.DUMMYFUNCTION("""COMPUTED_VALUE"""),44456.0)</f>
        <v>44456</v>
      </c>
      <c r="AA9" s="214"/>
      <c r="AB9" s="215" t="str">
        <f>IFERROR(__xludf.DUMMYFUNCTION("""COMPUTED_VALUE"""),"ADS 4A M")</f>
        <v>ADS 4A M</v>
      </c>
      <c r="AC9" s="209" t="str">
        <f>IFERROR(__xludf.DUMMYFUNCTION("""COMPUTED_VALUE"""),"OPE2")</f>
        <v>OPE2</v>
      </c>
      <c r="AD9" s="209" t="str">
        <f>IFERROR(__xludf.DUMMYFUNCTION("""COMPUTED_VALUE"""),"ADS")</f>
        <v>ADS</v>
      </c>
      <c r="AE9" s="209">
        <f>IFERROR(__xludf.DUMMYFUNCTION("""COMPUTED_VALUE"""),4.0)</f>
        <v>4</v>
      </c>
      <c r="AF9" s="209" t="str">
        <f>IFERROR(__xludf.DUMMYFUNCTION("""COMPUTED_VALUE"""),"Matutino")</f>
        <v>Matutino</v>
      </c>
      <c r="AG9" s="209" t="str">
        <f>IFERROR(__xludf.DUMMYFUNCTION("""COMPUTED_VALUE"""),"A")</f>
        <v>A</v>
      </c>
      <c r="AH9" s="209" t="str">
        <f>IFERROR(__xludf.DUMMYFUNCTION("""COMPUTED_VALUE"""),"3ª")</f>
        <v>3ª</v>
      </c>
      <c r="AI9" s="234" t="str">
        <f>IFERROR(__xludf.DUMMYFUNCTION("""COMPUTED_VALUE"""),"Leonardo Takuno")</f>
        <v>Leonardo Takuno</v>
      </c>
      <c r="AJ9" s="216"/>
      <c r="AK9" s="217" t="b">
        <f>IFERROR(__xludf.DUMMYFUNCTION("""COMPUTED_VALUE"""),FALSE)</f>
        <v>0</v>
      </c>
      <c r="AL9" s="218" t="b">
        <f>IFERROR(__xludf.DUMMYFUNCTION("""COMPUTED_VALUE"""),TRUE)</f>
        <v>1</v>
      </c>
      <c r="AM9" s="219" t="b">
        <f>IFERROR(__xludf.DUMMYFUNCTION("""COMPUTED_VALUE"""),TRUE)</f>
        <v>1</v>
      </c>
      <c r="AN9" s="218" t="b">
        <f>IFERROR(__xludf.DUMMYFUNCTION("""COMPUTED_VALUE"""),TRUE)</f>
        <v>1</v>
      </c>
      <c r="AO9" s="218" t="b">
        <f>IFERROR(__xludf.DUMMYFUNCTION("""COMPUTED_VALUE"""),TRUE)</f>
        <v>1</v>
      </c>
      <c r="AP9" s="220" t="b">
        <f>IFERROR(__xludf.DUMMYFUNCTION("""COMPUTED_VALUE"""),FALSE)</f>
        <v>0</v>
      </c>
      <c r="AQ9" s="219" t="b">
        <f>IFERROR(__xludf.DUMMYFUNCTION("""COMPUTED_VALUE"""),TRUE)</f>
        <v>1</v>
      </c>
      <c r="AR9" s="218" t="b">
        <f>IFERROR(__xludf.DUMMYFUNCTION("""COMPUTED_VALUE"""),FALSE)</f>
        <v>0</v>
      </c>
      <c r="AS9" s="219" t="b">
        <f>IFERROR(__xludf.DUMMYFUNCTION("""COMPUTED_VALUE"""),FALSE)</f>
        <v>0</v>
      </c>
      <c r="AT9" s="221" t="b">
        <f>IFERROR(__xludf.DUMMYFUNCTION("""COMPUTED_VALUE"""),FALSE)</f>
        <v>0</v>
      </c>
      <c r="AU9" s="80"/>
    </row>
    <row r="10">
      <c r="A10" s="55"/>
      <c r="B10" s="55"/>
      <c r="C10" s="55"/>
      <c r="D10" s="55"/>
      <c r="E10" s="55"/>
      <c r="F10" s="55"/>
      <c r="G10" s="204" t="str">
        <f>IFERROR(__xludf.DUMMYFUNCTION("""COMPUTED_VALUE"""),"Victor Stafusa")</f>
        <v>Victor Stafusa</v>
      </c>
      <c r="H10" s="205" t="str">
        <f>IFERROR(__xludf.DUMMYFUNCTION("""COMPUTED_VALUE"""),"Victor Williams Stafusa da Silva")</f>
        <v>Victor Williams Stafusa da Silva</v>
      </c>
      <c r="I10" s="205" t="str">
        <f>IFERROR(__xludf.DUMMYFUNCTION("""COMPUTED_VALUE"""),"victor.silva@faculdadeimpacta.com.br")</f>
        <v>victor.silva@faculdadeimpacta.com.br</v>
      </c>
      <c r="J10" s="55"/>
      <c r="K10" s="158" t="str">
        <f>IFERROR(__xludf.DUMMYFUNCTION("""COMPUTED_VALUE"""),"SI4")</f>
        <v>SI4</v>
      </c>
      <c r="L10" s="22" t="str">
        <f>IFERROR(__xludf.DUMMYFUNCTION("""COMPUTED_VALUE"""),"SI")</f>
        <v>SI</v>
      </c>
      <c r="M10" s="206">
        <f>IFERROR(__xludf.DUMMYFUNCTION("""COMPUTED_VALUE"""),4.0)</f>
        <v>4</v>
      </c>
      <c r="N10" s="206" t="str">
        <f>IFERROR(__xludf.DUMMYFUNCTION("""COMPUTED_VALUE"""),"OPE2")</f>
        <v>OPE2</v>
      </c>
      <c r="O10" s="55"/>
      <c r="P10" s="222" t="str">
        <f>IFERROR(__xludf.DUMMYFUNCTION("""COMPUTED_VALUE"""),"31")</f>
        <v>31</v>
      </c>
      <c r="Q10" s="208">
        <f>IFERROR(__xludf.DUMMYFUNCTION("""COMPUTED_VALUE"""),8.0)</f>
        <v>8</v>
      </c>
      <c r="R10" s="209">
        <f>IFERROR(__xludf.DUMMYFUNCTION("""COMPUTED_VALUE"""),3.0)</f>
        <v>3</v>
      </c>
      <c r="S10" s="209">
        <f>IFERROR(__xludf.DUMMYFUNCTION("""COMPUTED_VALUE"""),1.0)</f>
        <v>1</v>
      </c>
      <c r="T10" s="223" t="str">
        <f>IFERROR(__xludf.DUMMYFUNCTION("""COMPUTED_VALUE"""),"3º")</f>
        <v>3º</v>
      </c>
      <c r="U10" s="41" t="str">
        <f>IFERROR(__xludf.DUMMYFUNCTION("""COMPUTED_VALUE"""),"Orientação e Acompanhamento do projeto e dos artefatos")</f>
        <v>Orientação e Acompanhamento do projeto e dos artefatos</v>
      </c>
      <c r="V10" s="225">
        <f>IFERROR(__xludf.DUMMYFUNCTION("""COMPUTED_VALUE"""),44459.0)</f>
        <v>44459</v>
      </c>
      <c r="W10" s="212">
        <f>IFERROR(__xludf.DUMMYFUNCTION("""COMPUTED_VALUE"""),44460.0)</f>
        <v>44460</v>
      </c>
      <c r="X10" s="212">
        <f>IFERROR(__xludf.DUMMYFUNCTION("""COMPUTED_VALUE"""),44461.0)</f>
        <v>44461</v>
      </c>
      <c r="Y10" s="212">
        <f>IFERROR(__xludf.DUMMYFUNCTION("""COMPUTED_VALUE"""),44462.0)</f>
        <v>44462</v>
      </c>
      <c r="Z10" s="225">
        <f>IFERROR(__xludf.DUMMYFUNCTION("""COMPUTED_VALUE"""),44463.0)</f>
        <v>44463</v>
      </c>
      <c r="AA10" s="214"/>
      <c r="AB10" s="215" t="str">
        <f>IFERROR(__xludf.DUMMYFUNCTION("""COMPUTED_VALUE"""),"SI 4A M")</f>
        <v>SI 4A M</v>
      </c>
      <c r="AC10" s="209" t="str">
        <f>IFERROR(__xludf.DUMMYFUNCTION("""COMPUTED_VALUE"""),"OPE2")</f>
        <v>OPE2</v>
      </c>
      <c r="AD10" s="209" t="str">
        <f>IFERROR(__xludf.DUMMYFUNCTION("""COMPUTED_VALUE"""),"SI")</f>
        <v>SI</v>
      </c>
      <c r="AE10" s="209">
        <f>IFERROR(__xludf.DUMMYFUNCTION("""COMPUTED_VALUE"""),4.0)</f>
        <v>4</v>
      </c>
      <c r="AF10" s="209" t="str">
        <f>IFERROR(__xludf.DUMMYFUNCTION("""COMPUTED_VALUE"""),"Matutino")</f>
        <v>Matutino</v>
      </c>
      <c r="AG10" s="209" t="str">
        <f>IFERROR(__xludf.DUMMYFUNCTION("""COMPUTED_VALUE"""),"A")</f>
        <v>A</v>
      </c>
      <c r="AH10" s="209" t="str">
        <f>IFERROR(__xludf.DUMMYFUNCTION("""COMPUTED_VALUE"""),"3ª")</f>
        <v>3ª</v>
      </c>
      <c r="AI10" s="234" t="str">
        <f>IFERROR(__xludf.DUMMYFUNCTION("""COMPUTED_VALUE"""),"Leonardo Takuno")</f>
        <v>Leonardo Takuno</v>
      </c>
      <c r="AJ10" s="232"/>
      <c r="AK10" s="217" t="b">
        <f>IFERROR(__xludf.DUMMYFUNCTION("""COMPUTED_VALUE"""),FALSE)</f>
        <v>0</v>
      </c>
      <c r="AL10" s="218" t="b">
        <f>IFERROR(__xludf.DUMMYFUNCTION("""COMPUTED_VALUE"""),TRUE)</f>
        <v>1</v>
      </c>
      <c r="AM10" s="219" t="b">
        <f>IFERROR(__xludf.DUMMYFUNCTION("""COMPUTED_VALUE"""),TRUE)</f>
        <v>1</v>
      </c>
      <c r="AN10" s="218" t="b">
        <f>IFERROR(__xludf.DUMMYFUNCTION("""COMPUTED_VALUE"""),TRUE)</f>
        <v>1</v>
      </c>
      <c r="AO10" s="218" t="b">
        <f>IFERROR(__xludf.DUMMYFUNCTION("""COMPUTED_VALUE"""),TRUE)</f>
        <v>1</v>
      </c>
      <c r="AP10" s="220" t="b">
        <f>IFERROR(__xludf.DUMMYFUNCTION("""COMPUTED_VALUE"""),FALSE)</f>
        <v>0</v>
      </c>
      <c r="AQ10" s="219" t="b">
        <f>IFERROR(__xludf.DUMMYFUNCTION("""COMPUTED_VALUE"""),TRUE)</f>
        <v>1</v>
      </c>
      <c r="AR10" s="218" t="b">
        <f>IFERROR(__xludf.DUMMYFUNCTION("""COMPUTED_VALUE"""),FALSE)</f>
        <v>0</v>
      </c>
      <c r="AS10" s="219" t="b">
        <f>IFERROR(__xludf.DUMMYFUNCTION("""COMPUTED_VALUE"""),FALSE)</f>
        <v>0</v>
      </c>
      <c r="AT10" s="221" t="b">
        <f>IFERROR(__xludf.DUMMYFUNCTION("""COMPUTED_VALUE"""),FALSE)</f>
        <v>0</v>
      </c>
      <c r="AU10" s="80"/>
    </row>
    <row r="11">
      <c r="A11" s="55"/>
      <c r="B11" s="55"/>
      <c r="C11" s="55"/>
      <c r="D11" s="55"/>
      <c r="E11" s="55"/>
      <c r="F11" s="55"/>
      <c r="G11" s="204" t="str">
        <f>IFERROR(__xludf.DUMMYFUNCTION("""COMPUTED_VALUE"""),"Leonardo Takuno")</f>
        <v>Leonardo Takuno</v>
      </c>
      <c r="H11" s="205" t="str">
        <f>IFERROR(__xludf.DUMMYFUNCTION("""COMPUTED_VALUE"""),"Leonardo Massayuki Takuno")</f>
        <v>Leonardo Massayuki Takuno</v>
      </c>
      <c r="I11" s="205" t="str">
        <f>IFERROR(__xludf.DUMMYFUNCTION("""COMPUTED_VALUE"""),"leonardo.takuno@faculdadeimpacta.com.br")</f>
        <v>leonardo.takuno@faculdadeimpacta.com.br</v>
      </c>
      <c r="J11" s="55"/>
      <c r="K11" s="235" t="str">
        <f>IFERROR(__xludf.DUMMYFUNCTION("""COMPUTED_VALUE"""),"SI7")</f>
        <v>SI7</v>
      </c>
      <c r="L11" s="22" t="str">
        <f>IFERROR(__xludf.DUMMYFUNCTION("""COMPUTED_VALUE"""),"SI")</f>
        <v>SI</v>
      </c>
      <c r="M11" s="236">
        <f>IFERROR(__xludf.DUMMYFUNCTION("""COMPUTED_VALUE"""),7.0)</f>
        <v>7</v>
      </c>
      <c r="N11" s="236" t="str">
        <f>IFERROR(__xludf.DUMMYFUNCTION("""COMPUTED_VALUE"""),"TCC1")</f>
        <v>TCC1</v>
      </c>
      <c r="O11" s="55"/>
      <c r="P11" s="222" t="str">
        <f>IFERROR(__xludf.DUMMYFUNCTION("""COMPUTED_VALUE"""),"32")</f>
        <v>32</v>
      </c>
      <c r="Q11" s="208">
        <f>IFERROR(__xludf.DUMMYFUNCTION("""COMPUTED_VALUE"""),9.0)</f>
        <v>9</v>
      </c>
      <c r="R11" s="209">
        <f>IFERROR(__xludf.DUMMYFUNCTION("""COMPUTED_VALUE"""),3.0)</f>
        <v>3</v>
      </c>
      <c r="S11" s="209">
        <f>IFERROR(__xludf.DUMMYFUNCTION("""COMPUTED_VALUE"""),2.0)</f>
        <v>2</v>
      </c>
      <c r="T11" s="223" t="str">
        <f>IFERROR(__xludf.DUMMYFUNCTION("""COMPUTED_VALUE"""),"3º")</f>
        <v>3º</v>
      </c>
      <c r="U11" s="227"/>
      <c r="V11" s="212">
        <f>IFERROR(__xludf.DUMMYFUNCTION("""COMPUTED_VALUE"""),44466.0)</f>
        <v>44466</v>
      </c>
      <c r="W11" s="225">
        <f>IFERROR(__xludf.DUMMYFUNCTION("""COMPUTED_VALUE"""),44467.0)</f>
        <v>44467</v>
      </c>
      <c r="X11" s="225">
        <f>IFERROR(__xludf.DUMMYFUNCTION("""COMPUTED_VALUE"""),44468.0)</f>
        <v>44468</v>
      </c>
      <c r="Y11" s="212">
        <f>IFERROR(__xludf.DUMMYFUNCTION("""COMPUTED_VALUE"""),44469.0)</f>
        <v>44469</v>
      </c>
      <c r="Z11" s="212">
        <f>IFERROR(__xludf.DUMMYFUNCTION("""COMPUTED_VALUE"""),44470.0)</f>
        <v>44470</v>
      </c>
      <c r="AA11" s="214"/>
      <c r="AB11" s="215" t="str">
        <f>IFERROR(__xludf.DUMMYFUNCTION("""COMPUTED_VALUE"""),"BD 3A M")</f>
        <v>BD 3A M</v>
      </c>
      <c r="AC11" s="209" t="str">
        <f>IFERROR(__xludf.DUMMYFUNCTION("""COMPUTED_VALUE"""),"OPE1")</f>
        <v>OPE1</v>
      </c>
      <c r="AD11" s="209" t="str">
        <f>IFERROR(__xludf.DUMMYFUNCTION("""COMPUTED_VALUE"""),"BD")</f>
        <v>BD</v>
      </c>
      <c r="AE11" s="209">
        <f>IFERROR(__xludf.DUMMYFUNCTION("""COMPUTED_VALUE"""),3.0)</f>
        <v>3</v>
      </c>
      <c r="AF11" s="209" t="str">
        <f>IFERROR(__xludf.DUMMYFUNCTION("""COMPUTED_VALUE"""),"Matutino")</f>
        <v>Matutino</v>
      </c>
      <c r="AG11" s="209" t="str">
        <f>IFERROR(__xludf.DUMMYFUNCTION("""COMPUTED_VALUE"""),"A")</f>
        <v>A</v>
      </c>
      <c r="AH11" s="209" t="str">
        <f>IFERROR(__xludf.DUMMYFUNCTION("""COMPUTED_VALUE"""),"-")</f>
        <v>-</v>
      </c>
      <c r="AI11" s="234" t="str">
        <f>IFERROR(__xludf.DUMMYFUNCTION("""COMPUTED_VALUE"""),"-")</f>
        <v>-</v>
      </c>
      <c r="AJ11" s="232"/>
      <c r="AK11" s="217" t="b">
        <f>IFERROR(__xludf.DUMMYFUNCTION("""COMPUTED_VALUE"""),FALSE)</f>
        <v>0</v>
      </c>
      <c r="AL11" s="218" t="b">
        <f>IFERROR(__xludf.DUMMYFUNCTION("""COMPUTED_VALUE"""),FALSE)</f>
        <v>0</v>
      </c>
      <c r="AM11" s="219" t="b">
        <f>IFERROR(__xludf.DUMMYFUNCTION("""COMPUTED_VALUE"""),FALSE)</f>
        <v>0</v>
      </c>
      <c r="AN11" s="218" t="b">
        <f>IFERROR(__xludf.DUMMYFUNCTION("""COMPUTED_VALUE"""),FALSE)</f>
        <v>0</v>
      </c>
      <c r="AO11" s="218" t="b">
        <f>IFERROR(__xludf.DUMMYFUNCTION("""COMPUTED_VALUE"""),FALSE)</f>
        <v>0</v>
      </c>
      <c r="AP11" s="220" t="b">
        <f>IFERROR(__xludf.DUMMYFUNCTION("""COMPUTED_VALUE"""),TRUE)</f>
        <v>1</v>
      </c>
      <c r="AQ11" s="219" t="b">
        <f>IFERROR(__xludf.DUMMYFUNCTION("""COMPUTED_VALUE"""),TRUE)</f>
        <v>1</v>
      </c>
      <c r="AR11" s="218" t="b">
        <f>IFERROR(__xludf.DUMMYFUNCTION("""COMPUTED_VALUE"""),TRUE)</f>
        <v>1</v>
      </c>
      <c r="AS11" s="219" t="b">
        <f>IFERROR(__xludf.DUMMYFUNCTION("""COMPUTED_VALUE"""),TRUE)</f>
        <v>1</v>
      </c>
      <c r="AT11" s="221" t="b">
        <f>IFERROR(__xludf.DUMMYFUNCTION("""COMPUTED_VALUE"""),TRUE)</f>
        <v>1</v>
      </c>
      <c r="AU11" s="80"/>
    </row>
    <row r="12">
      <c r="A12" s="55"/>
      <c r="B12" s="55"/>
      <c r="C12" s="55"/>
      <c r="D12" s="55"/>
      <c r="E12" s="55"/>
      <c r="F12" s="55"/>
      <c r="G12" s="204"/>
      <c r="H12" s="205"/>
      <c r="I12" s="205"/>
      <c r="J12" s="55"/>
      <c r="K12" s="158" t="str">
        <f>IFERROR(__xludf.DUMMYFUNCTION("""COMPUTED_VALUE"""),"SI8")</f>
        <v>SI8</v>
      </c>
      <c r="L12" s="22" t="str">
        <f>IFERROR(__xludf.DUMMYFUNCTION("""COMPUTED_VALUE"""),"SI")</f>
        <v>SI</v>
      </c>
      <c r="M12" s="206">
        <f>IFERROR(__xludf.DUMMYFUNCTION("""COMPUTED_VALUE"""),8.0)</f>
        <v>8</v>
      </c>
      <c r="N12" s="206" t="str">
        <f>IFERROR(__xludf.DUMMYFUNCTION("""COMPUTED_VALUE"""),"TCC2")</f>
        <v>TCC2</v>
      </c>
      <c r="O12" s="55"/>
      <c r="P12" s="222" t="str">
        <f>IFERROR(__xludf.DUMMYFUNCTION("""COMPUTED_VALUE"""),"33")</f>
        <v>33</v>
      </c>
      <c r="Q12" s="208">
        <f>IFERROR(__xludf.DUMMYFUNCTION("""COMPUTED_VALUE"""),10.0)</f>
        <v>10</v>
      </c>
      <c r="R12" s="209">
        <f>IFERROR(__xludf.DUMMYFUNCTION("""COMPUTED_VALUE"""),3.0)</f>
        <v>3</v>
      </c>
      <c r="S12" s="209">
        <f>IFERROR(__xludf.DUMMYFUNCTION("""COMPUTED_VALUE"""),3.0)</f>
        <v>3</v>
      </c>
      <c r="T12" s="223" t="str">
        <f>IFERROR(__xludf.DUMMYFUNCTION("""COMPUTED_VALUE"""),"3º ou plantão")</f>
        <v>3º ou plantão</v>
      </c>
      <c r="U12" s="229"/>
      <c r="V12" s="225">
        <f>IFERROR(__xludf.DUMMYFUNCTION("""COMPUTED_VALUE"""),44473.0)</f>
        <v>44473</v>
      </c>
      <c r="W12" s="225">
        <f>IFERROR(__xludf.DUMMYFUNCTION("""COMPUTED_VALUE"""),44474.0)</f>
        <v>44474</v>
      </c>
      <c r="X12" s="225">
        <f>IFERROR(__xludf.DUMMYFUNCTION("""COMPUTED_VALUE"""),44475.0)</f>
        <v>44475</v>
      </c>
      <c r="Y12" s="225">
        <f>IFERROR(__xludf.DUMMYFUNCTION("""COMPUTED_VALUE"""),44476.0)</f>
        <v>44476</v>
      </c>
      <c r="Z12" s="225">
        <f>IFERROR(__xludf.DUMMYFUNCTION("""COMPUTED_VALUE"""),44477.0)</f>
        <v>44477</v>
      </c>
      <c r="AA12" s="214"/>
      <c r="AB12" s="215" t="str">
        <f>IFERROR(__xludf.DUMMYFUNCTION("""COMPUTED_VALUE"""),"BD 3B N")</f>
        <v>BD 3B N</v>
      </c>
      <c r="AC12" s="209" t="str">
        <f>IFERROR(__xludf.DUMMYFUNCTION("""COMPUTED_VALUE"""),"OPE1")</f>
        <v>OPE1</v>
      </c>
      <c r="AD12" s="209" t="str">
        <f>IFERROR(__xludf.DUMMYFUNCTION("""COMPUTED_VALUE"""),"BD")</f>
        <v>BD</v>
      </c>
      <c r="AE12" s="209">
        <f>IFERROR(__xludf.DUMMYFUNCTION("""COMPUTED_VALUE"""),3.0)</f>
        <v>3</v>
      </c>
      <c r="AF12" s="209" t="str">
        <f>IFERROR(__xludf.DUMMYFUNCTION("""COMPUTED_VALUE"""),"Noite")</f>
        <v>Noite</v>
      </c>
      <c r="AG12" s="209" t="str">
        <f>IFERROR(__xludf.DUMMYFUNCTION("""COMPUTED_VALUE"""),"B")</f>
        <v>B</v>
      </c>
      <c r="AH12" s="209" t="str">
        <f>IFERROR(__xludf.DUMMYFUNCTION("""COMPUTED_VALUE"""),"-")</f>
        <v>-</v>
      </c>
      <c r="AI12" s="234" t="str">
        <f>IFERROR(__xludf.DUMMYFUNCTION("""COMPUTED_VALUE"""),"-")</f>
        <v>-</v>
      </c>
      <c r="AJ12" s="226"/>
      <c r="AK12" s="217" t="b">
        <f>IFERROR(__xludf.DUMMYFUNCTION("""COMPUTED_VALUE"""),FALSE)</f>
        <v>0</v>
      </c>
      <c r="AL12" s="218" t="b">
        <f>IFERROR(__xludf.DUMMYFUNCTION("""COMPUTED_VALUE"""),FALSE)</f>
        <v>0</v>
      </c>
      <c r="AM12" s="219" t="b">
        <f>IFERROR(__xludf.DUMMYFUNCTION("""COMPUTED_VALUE"""),FALSE)</f>
        <v>0</v>
      </c>
      <c r="AN12" s="218" t="b">
        <f>IFERROR(__xludf.DUMMYFUNCTION("""COMPUTED_VALUE"""),FALSE)</f>
        <v>0</v>
      </c>
      <c r="AO12" s="218" t="b">
        <f>IFERROR(__xludf.DUMMYFUNCTION("""COMPUTED_VALUE"""),FALSE)</f>
        <v>0</v>
      </c>
      <c r="AP12" s="220" t="b">
        <f>IFERROR(__xludf.DUMMYFUNCTION("""COMPUTED_VALUE"""),TRUE)</f>
        <v>1</v>
      </c>
      <c r="AQ12" s="219" t="b">
        <f>IFERROR(__xludf.DUMMYFUNCTION("""COMPUTED_VALUE"""),TRUE)</f>
        <v>1</v>
      </c>
      <c r="AR12" s="218" t="b">
        <f>IFERROR(__xludf.DUMMYFUNCTION("""COMPUTED_VALUE"""),TRUE)</f>
        <v>1</v>
      </c>
      <c r="AS12" s="219" t="b">
        <f>IFERROR(__xludf.DUMMYFUNCTION("""COMPUTED_VALUE"""),TRUE)</f>
        <v>1</v>
      </c>
      <c r="AT12" s="221" t="b">
        <f>IFERROR(__xludf.DUMMYFUNCTION("""COMPUTED_VALUE"""),TRUE)</f>
        <v>1</v>
      </c>
      <c r="AU12" s="80"/>
    </row>
    <row r="13">
      <c r="A13" s="55"/>
      <c r="B13" s="55"/>
      <c r="C13" s="55"/>
      <c r="D13" s="55"/>
      <c r="E13" s="55"/>
      <c r="F13" s="55"/>
      <c r="G13" s="204"/>
      <c r="H13" s="205"/>
      <c r="I13" s="205"/>
      <c r="J13" s="55"/>
      <c r="K13" s="55"/>
      <c r="L13" s="55"/>
      <c r="M13" s="55"/>
      <c r="N13" s="55"/>
      <c r="O13" s="55"/>
      <c r="P13" s="222" t="str">
        <f>IFERROR(__xludf.DUMMYFUNCTION("""COMPUTED_VALUE"""),"41")</f>
        <v>41</v>
      </c>
      <c r="Q13" s="208">
        <f>IFERROR(__xludf.DUMMYFUNCTION("""COMPUTED_VALUE"""),11.0)</f>
        <v>11</v>
      </c>
      <c r="R13" s="209">
        <f>IFERROR(__xludf.DUMMYFUNCTION("""COMPUTED_VALUE"""),4.0)</f>
        <v>4</v>
      </c>
      <c r="S13" s="209">
        <f>IFERROR(__xludf.DUMMYFUNCTION("""COMPUTED_VALUE"""),1.0)</f>
        <v>1</v>
      </c>
      <c r="T13" s="223" t="str">
        <f>IFERROR(__xludf.DUMMYFUNCTION("""COMPUTED_VALUE"""),"4º")</f>
        <v>4º</v>
      </c>
      <c r="U13" s="237" t="str">
        <f>IFERROR(__xludf.DUMMYFUNCTION("""COMPUTED_VALUE"""),"Orientação e Acompanhamento do projeto e dos artefatos")</f>
        <v>Orientação e Acompanhamento do projeto e dos artefatos</v>
      </c>
      <c r="V13" s="233"/>
      <c r="W13" s="225"/>
      <c r="X13" s="225">
        <f>IFERROR(__xludf.DUMMYFUNCTION("""COMPUTED_VALUE"""),44482.0)</f>
        <v>44482</v>
      </c>
      <c r="Y13" s="233">
        <f>IFERROR(__xludf.DUMMYFUNCTION("""COMPUTED_VALUE"""),44483.0)</f>
        <v>44483</v>
      </c>
      <c r="Z13" s="225">
        <f>IFERROR(__xludf.DUMMYFUNCTION("""COMPUTED_VALUE"""),44484.0)</f>
        <v>44484</v>
      </c>
      <c r="AA13" s="214"/>
      <c r="AB13" s="215" t="str">
        <f>IFERROR(__xludf.DUMMYFUNCTION("""COMPUTED_VALUE"""),"BD 4A N")</f>
        <v>BD 4A N</v>
      </c>
      <c r="AC13" s="209" t="str">
        <f>IFERROR(__xludf.DUMMYFUNCTION("""COMPUTED_VALUE"""),"OPE2")</f>
        <v>OPE2</v>
      </c>
      <c r="AD13" s="209" t="str">
        <f>IFERROR(__xludf.DUMMYFUNCTION("""COMPUTED_VALUE"""),"BD")</f>
        <v>BD</v>
      </c>
      <c r="AE13" s="209">
        <f>IFERROR(__xludf.DUMMYFUNCTION("""COMPUTED_VALUE"""),4.0)</f>
        <v>4</v>
      </c>
      <c r="AF13" s="209" t="str">
        <f>IFERROR(__xludf.DUMMYFUNCTION("""COMPUTED_VALUE"""),"Noite")</f>
        <v>Noite</v>
      </c>
      <c r="AG13" s="209" t="str">
        <f>IFERROR(__xludf.DUMMYFUNCTION("""COMPUTED_VALUE"""),"A")</f>
        <v>A</v>
      </c>
      <c r="AH13" s="209" t="str">
        <f>IFERROR(__xludf.DUMMYFUNCTION("""COMPUTED_VALUE"""),"2ª")</f>
        <v>2ª</v>
      </c>
      <c r="AI13" s="103" t="str">
        <f>IFERROR(__xludf.DUMMYFUNCTION("""COMPUTED_VALUE"""),"Rodrigo Müller")</f>
        <v>Rodrigo Müller</v>
      </c>
      <c r="AJ13" s="228"/>
      <c r="AK13" s="217" t="b">
        <f>IFERROR(__xludf.DUMMYFUNCTION("""COMPUTED_VALUE"""),FALSE)</f>
        <v>0</v>
      </c>
      <c r="AL13" s="218" t="b">
        <f>IFERROR(__xludf.DUMMYFUNCTION("""COMPUTED_VALUE"""),TRUE)</f>
        <v>1</v>
      </c>
      <c r="AM13" s="219" t="b">
        <f>IFERROR(__xludf.DUMMYFUNCTION("""COMPUTED_VALUE"""),FALSE)</f>
        <v>0</v>
      </c>
      <c r="AN13" s="218" t="b">
        <f>IFERROR(__xludf.DUMMYFUNCTION("""COMPUTED_VALUE"""),TRUE)</f>
        <v>1</v>
      </c>
      <c r="AO13" s="218" t="b">
        <f>IFERROR(__xludf.DUMMYFUNCTION("""COMPUTED_VALUE"""),TRUE)</f>
        <v>1</v>
      </c>
      <c r="AP13" s="220" t="b">
        <f>IFERROR(__xludf.DUMMYFUNCTION("""COMPUTED_VALUE"""),FALSE)</f>
        <v>0</v>
      </c>
      <c r="AQ13" s="219" t="b">
        <f>IFERROR(__xludf.DUMMYFUNCTION("""COMPUTED_VALUE"""),TRUE)</f>
        <v>1</v>
      </c>
      <c r="AR13" s="218" t="b">
        <f>IFERROR(__xludf.DUMMYFUNCTION("""COMPUTED_VALUE"""),FALSE)</f>
        <v>0</v>
      </c>
      <c r="AS13" s="219" t="b">
        <f>IFERROR(__xludf.DUMMYFUNCTION("""COMPUTED_VALUE"""),FALSE)</f>
        <v>0</v>
      </c>
      <c r="AT13" s="221" t="b">
        <f>IFERROR(__xludf.DUMMYFUNCTION("""COMPUTED_VALUE"""),FALSE)</f>
        <v>0</v>
      </c>
      <c r="AU13" s="80"/>
    </row>
    <row r="14">
      <c r="A14" s="55"/>
      <c r="B14" s="55"/>
      <c r="C14" s="55"/>
      <c r="D14" s="55"/>
      <c r="E14" s="55"/>
      <c r="F14" s="55"/>
      <c r="G14" s="24"/>
      <c r="H14" s="238"/>
      <c r="I14" s="238"/>
      <c r="J14" s="55"/>
      <c r="K14" s="55"/>
      <c r="L14" s="55"/>
      <c r="M14" s="55"/>
      <c r="N14" s="55"/>
      <c r="O14" s="55"/>
      <c r="P14" s="222" t="str">
        <f>IFERROR(__xludf.DUMMYFUNCTION("""COMPUTED_VALUE"""),"42")</f>
        <v>42</v>
      </c>
      <c r="Q14" s="208">
        <f>IFERROR(__xludf.DUMMYFUNCTION("""COMPUTED_VALUE"""),12.0)</f>
        <v>12</v>
      </c>
      <c r="R14" s="209">
        <f>IFERROR(__xludf.DUMMYFUNCTION("""COMPUTED_VALUE"""),4.0)</f>
        <v>4</v>
      </c>
      <c r="S14" s="209">
        <f>IFERROR(__xludf.DUMMYFUNCTION("""COMPUTED_VALUE"""),2.0)</f>
        <v>2</v>
      </c>
      <c r="T14" s="223" t="str">
        <f>IFERROR(__xludf.DUMMYFUNCTION("""COMPUTED_VALUE"""),"4º")</f>
        <v>4º</v>
      </c>
      <c r="U14" s="227"/>
      <c r="V14" s="212">
        <f>IFERROR(__xludf.DUMMYFUNCTION("""COMPUTED_VALUE"""),44487.0)</f>
        <v>44487</v>
      </c>
      <c r="W14" s="212">
        <f>IFERROR(__xludf.DUMMYFUNCTION("""COMPUTED_VALUE"""),44488.0)</f>
        <v>44488</v>
      </c>
      <c r="X14" s="212">
        <f>IFERROR(__xludf.DUMMYFUNCTION("""COMPUTED_VALUE"""),44489.0)</f>
        <v>44489</v>
      </c>
      <c r="Y14" s="212">
        <f>IFERROR(__xludf.DUMMYFUNCTION("""COMPUTED_VALUE"""),44490.0)</f>
        <v>44490</v>
      </c>
      <c r="Z14" s="212">
        <f>IFERROR(__xludf.DUMMYFUNCTION("""COMPUTED_VALUE"""),44491.0)</f>
        <v>44491</v>
      </c>
      <c r="AA14" s="214"/>
      <c r="AB14" s="215" t="str">
        <f>IFERROR(__xludf.DUMMYFUNCTION("""COMPUTED_VALUE"""),"BD 4A M")</f>
        <v>BD 4A M</v>
      </c>
      <c r="AC14" s="209" t="str">
        <f>IFERROR(__xludf.DUMMYFUNCTION("""COMPUTED_VALUE"""),"OPE2")</f>
        <v>OPE2</v>
      </c>
      <c r="AD14" s="209" t="str">
        <f>IFERROR(__xludf.DUMMYFUNCTION("""COMPUTED_VALUE"""),"BD")</f>
        <v>BD</v>
      </c>
      <c r="AE14" s="209">
        <f>IFERROR(__xludf.DUMMYFUNCTION("""COMPUTED_VALUE"""),4.0)</f>
        <v>4</v>
      </c>
      <c r="AF14" s="209" t="str">
        <f>IFERROR(__xludf.DUMMYFUNCTION("""COMPUTED_VALUE"""),"Matutino")</f>
        <v>Matutino</v>
      </c>
      <c r="AG14" s="209" t="str">
        <f>IFERROR(__xludf.DUMMYFUNCTION("""COMPUTED_VALUE"""),"A")</f>
        <v>A</v>
      </c>
      <c r="AH14" s="209" t="str">
        <f>IFERROR(__xludf.DUMMYFUNCTION("""COMPUTED_VALUE"""),"-")</f>
        <v>-</v>
      </c>
      <c r="AI14" s="103" t="str">
        <f>IFERROR(__xludf.DUMMYFUNCTION("""COMPUTED_VALUE"""),"-")</f>
        <v>-</v>
      </c>
      <c r="AJ14" s="228"/>
      <c r="AK14" s="217" t="b">
        <f>IFERROR(__xludf.DUMMYFUNCTION("""COMPUTED_VALUE"""),FALSE)</f>
        <v>0</v>
      </c>
      <c r="AL14" s="218" t="b">
        <f>IFERROR(__xludf.DUMMYFUNCTION("""COMPUTED_VALUE"""),TRUE)</f>
        <v>1</v>
      </c>
      <c r="AM14" s="219" t="b">
        <f>IFERROR(__xludf.DUMMYFUNCTION("""COMPUTED_VALUE"""),FALSE)</f>
        <v>0</v>
      </c>
      <c r="AN14" s="218" t="b">
        <f>IFERROR(__xludf.DUMMYFUNCTION("""COMPUTED_VALUE"""),TRUE)</f>
        <v>1</v>
      </c>
      <c r="AO14" s="218" t="b">
        <f>IFERROR(__xludf.DUMMYFUNCTION("""COMPUTED_VALUE"""),TRUE)</f>
        <v>1</v>
      </c>
      <c r="AP14" s="220" t="b">
        <f>IFERROR(__xludf.DUMMYFUNCTION("""COMPUTED_VALUE"""),FALSE)</f>
        <v>0</v>
      </c>
      <c r="AQ14" s="219" t="b">
        <f>IFERROR(__xludf.DUMMYFUNCTION("""COMPUTED_VALUE"""),TRUE)</f>
        <v>1</v>
      </c>
      <c r="AR14" s="218" t="b">
        <f>IFERROR(__xludf.DUMMYFUNCTION("""COMPUTED_VALUE"""),FALSE)</f>
        <v>0</v>
      </c>
      <c r="AS14" s="219" t="b">
        <f>IFERROR(__xludf.DUMMYFUNCTION("""COMPUTED_VALUE"""),FALSE)</f>
        <v>0</v>
      </c>
      <c r="AT14" s="221" t="b">
        <f>IFERROR(__xludf.DUMMYFUNCTION("""COMPUTED_VALUE"""),FALSE)</f>
        <v>0</v>
      </c>
      <c r="AU14" s="80"/>
    </row>
    <row r="15">
      <c r="A15" s="55"/>
      <c r="B15" s="55"/>
      <c r="C15" s="55"/>
      <c r="D15" s="55"/>
      <c r="E15" s="55"/>
      <c r="F15" s="55"/>
      <c r="G15" s="204"/>
      <c r="H15" s="205"/>
      <c r="I15" s="205"/>
      <c r="J15" s="55"/>
      <c r="K15" s="55"/>
      <c r="L15" s="55"/>
      <c r="M15" s="55"/>
      <c r="N15" s="55"/>
      <c r="O15" s="55"/>
      <c r="P15" s="222" t="str">
        <f>IFERROR(__xludf.DUMMYFUNCTION("""COMPUTED_VALUE"""),"43")</f>
        <v>43</v>
      </c>
      <c r="Q15" s="208">
        <f>IFERROR(__xludf.DUMMYFUNCTION("""COMPUTED_VALUE"""),13.0)</f>
        <v>13</v>
      </c>
      <c r="R15" s="209">
        <f>IFERROR(__xludf.DUMMYFUNCTION("""COMPUTED_VALUE"""),4.0)</f>
        <v>4</v>
      </c>
      <c r="S15" s="209">
        <f>IFERROR(__xludf.DUMMYFUNCTION("""COMPUTED_VALUE"""),3.0)</f>
        <v>3</v>
      </c>
      <c r="T15" s="223" t="str">
        <f>IFERROR(__xludf.DUMMYFUNCTION("""COMPUTED_VALUE"""),"4º ou plantão")</f>
        <v>4º ou plantão</v>
      </c>
      <c r="U15" s="229"/>
      <c r="V15" s="225">
        <f>IFERROR(__xludf.DUMMYFUNCTION("""COMPUTED_VALUE"""),44494.0)</f>
        <v>44494</v>
      </c>
      <c r="W15" s="225">
        <f>IFERROR(__xludf.DUMMYFUNCTION("""COMPUTED_VALUE"""),44495.0)</f>
        <v>44495</v>
      </c>
      <c r="X15" s="225">
        <f>IFERROR(__xludf.DUMMYFUNCTION("""COMPUTED_VALUE"""),44496.0)</f>
        <v>44496</v>
      </c>
      <c r="Y15" s="225">
        <f>IFERROR(__xludf.DUMMYFUNCTION("""COMPUTED_VALUE"""),44497.0)</f>
        <v>44497</v>
      </c>
      <c r="Z15" s="225">
        <f>IFERROR(__xludf.DUMMYFUNCTION("""COMPUTED_VALUE"""),44498.0)</f>
        <v>44498</v>
      </c>
      <c r="AA15" s="214"/>
      <c r="AB15" s="215" t="str">
        <f>IFERROR(__xludf.DUMMYFUNCTION("""COMPUTED_VALUE"""),"ADS 3B N")</f>
        <v>ADS 3B N</v>
      </c>
      <c r="AC15" s="209" t="str">
        <f>IFERROR(__xludf.DUMMYFUNCTION("""COMPUTED_VALUE"""),"OPE1")</f>
        <v>OPE1</v>
      </c>
      <c r="AD15" s="209" t="str">
        <f>IFERROR(__xludf.DUMMYFUNCTION("""COMPUTED_VALUE"""),"ADS")</f>
        <v>ADS</v>
      </c>
      <c r="AE15" s="209">
        <f>IFERROR(__xludf.DUMMYFUNCTION("""COMPUTED_VALUE"""),3.0)</f>
        <v>3</v>
      </c>
      <c r="AF15" s="209" t="str">
        <f>IFERROR(__xludf.DUMMYFUNCTION("""COMPUTED_VALUE"""),"Noite")</f>
        <v>Noite</v>
      </c>
      <c r="AG15" s="209" t="str">
        <f>IFERROR(__xludf.DUMMYFUNCTION("""COMPUTED_VALUE"""),"B")</f>
        <v>B</v>
      </c>
      <c r="AH15" s="209" t="str">
        <f>IFERROR(__xludf.DUMMYFUNCTION("""COMPUTED_VALUE"""),"-")</f>
        <v>-</v>
      </c>
      <c r="AI15" s="103" t="str">
        <f>IFERROR(__xludf.DUMMYFUNCTION("""COMPUTED_VALUE"""),"-")</f>
        <v>-</v>
      </c>
      <c r="AJ15" s="228"/>
      <c r="AK15" s="217" t="b">
        <f>IFERROR(__xludf.DUMMYFUNCTION("""COMPUTED_VALUE"""),FALSE)</f>
        <v>0</v>
      </c>
      <c r="AL15" s="218" t="b">
        <f>IFERROR(__xludf.DUMMYFUNCTION("""COMPUTED_VALUE"""),FALSE)</f>
        <v>0</v>
      </c>
      <c r="AM15" s="219" t="b">
        <f>IFERROR(__xludf.DUMMYFUNCTION("""COMPUTED_VALUE"""),FALSE)</f>
        <v>0</v>
      </c>
      <c r="AN15" s="218" t="b">
        <f>IFERROR(__xludf.DUMMYFUNCTION("""COMPUTED_VALUE"""),FALSE)</f>
        <v>0</v>
      </c>
      <c r="AO15" s="218" t="b">
        <f>IFERROR(__xludf.DUMMYFUNCTION("""COMPUTED_VALUE"""),FALSE)</f>
        <v>0</v>
      </c>
      <c r="AP15" s="220" t="b">
        <f>IFERROR(__xludf.DUMMYFUNCTION("""COMPUTED_VALUE"""),FALSE)</f>
        <v>0</v>
      </c>
      <c r="AQ15" s="219" t="b">
        <f>IFERROR(__xludf.DUMMYFUNCTION("""COMPUTED_VALUE"""),FALSE)</f>
        <v>0</v>
      </c>
      <c r="AR15" s="218" t="b">
        <f>IFERROR(__xludf.DUMMYFUNCTION("""COMPUTED_VALUE"""),FALSE)</f>
        <v>0</v>
      </c>
      <c r="AS15" s="219" t="b">
        <f>IFERROR(__xludf.DUMMYFUNCTION("""COMPUTED_VALUE"""),FALSE)</f>
        <v>0</v>
      </c>
      <c r="AT15" s="221" t="b">
        <f>IFERROR(__xludf.DUMMYFUNCTION("""COMPUTED_VALUE"""),FALSE)</f>
        <v>0</v>
      </c>
      <c r="AU15" s="80"/>
    </row>
    <row r="16">
      <c r="A16" s="55"/>
      <c r="B16" s="55"/>
      <c r="C16" s="55"/>
      <c r="D16" s="55"/>
      <c r="E16" s="55"/>
      <c r="F16" s="80"/>
      <c r="G16" s="204"/>
      <c r="H16" s="205"/>
      <c r="I16" s="205"/>
      <c r="J16" s="80"/>
      <c r="K16" s="55"/>
      <c r="L16" s="55"/>
      <c r="M16" s="55"/>
      <c r="N16" s="55"/>
      <c r="O16" s="80"/>
      <c r="P16" s="239" t="str">
        <f>IFERROR(__xludf.DUMMYFUNCTION("""COMPUTED_VALUE"""),"")</f>
        <v/>
      </c>
      <c r="Q16" s="208">
        <f>IFERROR(__xludf.DUMMYFUNCTION("""COMPUTED_VALUE"""),14.0)</f>
        <v>14</v>
      </c>
      <c r="R16" s="209"/>
      <c r="S16" s="209"/>
      <c r="T16" s="223" t="str">
        <f>IFERROR(__xludf.DUMMYFUNCTION("""COMPUTED_VALUE"""),"Enade")</f>
        <v>Enade</v>
      </c>
      <c r="U16" s="41" t="str">
        <f>IFERROR(__xludf.DUMMYFUNCTION("""COMPUTED_VALUE"""),"ENADE")</f>
        <v>ENADE</v>
      </c>
      <c r="V16" s="225"/>
      <c r="W16" s="225"/>
      <c r="X16" s="225"/>
      <c r="Y16" s="225"/>
      <c r="Z16" s="225"/>
      <c r="AA16" s="214"/>
      <c r="AB16" s="215" t="str">
        <f>IFERROR(__xludf.DUMMYFUNCTION("""COMPUTED_VALUE"""),"ADS 3C N")</f>
        <v>ADS 3C N</v>
      </c>
      <c r="AC16" s="209" t="str">
        <f>IFERROR(__xludf.DUMMYFUNCTION("""COMPUTED_VALUE"""),"OPE1")</f>
        <v>OPE1</v>
      </c>
      <c r="AD16" s="209" t="str">
        <f>IFERROR(__xludf.DUMMYFUNCTION("""COMPUTED_VALUE"""),"ADS")</f>
        <v>ADS</v>
      </c>
      <c r="AE16" s="209">
        <f>IFERROR(__xludf.DUMMYFUNCTION("""COMPUTED_VALUE"""),3.0)</f>
        <v>3</v>
      </c>
      <c r="AF16" s="209" t="str">
        <f>IFERROR(__xludf.DUMMYFUNCTION("""COMPUTED_VALUE"""),"Noite")</f>
        <v>Noite</v>
      </c>
      <c r="AG16" s="209" t="str">
        <f>IFERROR(__xludf.DUMMYFUNCTION("""COMPUTED_VALUE"""),"C")</f>
        <v>C</v>
      </c>
      <c r="AH16" s="209" t="str">
        <f>IFERROR(__xludf.DUMMYFUNCTION("""COMPUTED_VALUE"""),"-")</f>
        <v>-</v>
      </c>
      <c r="AI16" s="103" t="str">
        <f>IFERROR(__xludf.DUMMYFUNCTION("""COMPUTED_VALUE"""),"-")</f>
        <v>-</v>
      </c>
      <c r="AJ16" s="216"/>
      <c r="AK16" s="217" t="b">
        <f>IFERROR(__xludf.DUMMYFUNCTION("""COMPUTED_VALUE"""),FALSE)</f>
        <v>0</v>
      </c>
      <c r="AL16" s="218" t="b">
        <f>IFERROR(__xludf.DUMMYFUNCTION("""COMPUTED_VALUE"""),FALSE)</f>
        <v>0</v>
      </c>
      <c r="AM16" s="219" t="b">
        <f>IFERROR(__xludf.DUMMYFUNCTION("""COMPUTED_VALUE"""),FALSE)</f>
        <v>0</v>
      </c>
      <c r="AN16" s="218" t="b">
        <f>IFERROR(__xludf.DUMMYFUNCTION("""COMPUTED_VALUE"""),FALSE)</f>
        <v>0</v>
      </c>
      <c r="AO16" s="218" t="b">
        <f>IFERROR(__xludf.DUMMYFUNCTION("""COMPUTED_VALUE"""),FALSE)</f>
        <v>0</v>
      </c>
      <c r="AP16" s="220" t="b">
        <f>IFERROR(__xludf.DUMMYFUNCTION("""COMPUTED_VALUE"""),FALSE)</f>
        <v>0</v>
      </c>
      <c r="AQ16" s="219" t="b">
        <f>IFERROR(__xludf.DUMMYFUNCTION("""COMPUTED_VALUE"""),FALSE)</f>
        <v>0</v>
      </c>
      <c r="AR16" s="218" t="b">
        <f>IFERROR(__xludf.DUMMYFUNCTION("""COMPUTED_VALUE"""),FALSE)</f>
        <v>0</v>
      </c>
      <c r="AS16" s="219" t="b">
        <f>IFERROR(__xludf.DUMMYFUNCTION("""COMPUTED_VALUE"""),FALSE)</f>
        <v>0</v>
      </c>
      <c r="AT16" s="221" t="b">
        <f>IFERROR(__xludf.DUMMYFUNCTION("""COMPUTED_VALUE"""),FALSE)</f>
        <v>0</v>
      </c>
      <c r="AU16" s="80"/>
    </row>
    <row r="17">
      <c r="A17" s="55"/>
      <c r="B17" s="55"/>
      <c r="C17" s="55"/>
      <c r="D17" s="55"/>
      <c r="E17" s="55"/>
      <c r="F17" s="80"/>
      <c r="G17" s="55"/>
      <c r="H17" s="80"/>
      <c r="I17" s="80"/>
      <c r="J17" s="80"/>
      <c r="K17" s="80"/>
      <c r="L17" s="80"/>
      <c r="M17" s="80"/>
      <c r="N17" s="80"/>
      <c r="O17" s="80"/>
      <c r="P17" s="239" t="str">
        <f>IFERROR(__xludf.DUMMYFUNCTION("""COMPUTED_VALUE"""),"")</f>
        <v/>
      </c>
      <c r="Q17" s="208">
        <f>IFERROR(__xludf.DUMMYFUNCTION("""COMPUTED_VALUE"""),15.0)</f>
        <v>15</v>
      </c>
      <c r="R17" s="209"/>
      <c r="S17" s="209"/>
      <c r="T17" s="223" t="str">
        <f>IFERROR(__xludf.DUMMYFUNCTION("""COMPUTED_VALUE"""),"Enade")</f>
        <v>Enade</v>
      </c>
      <c r="U17" s="229"/>
      <c r="V17" s="225"/>
      <c r="W17" s="225"/>
      <c r="X17" s="225"/>
      <c r="Y17" s="240"/>
      <c r="Z17" s="240"/>
      <c r="AA17" s="214"/>
      <c r="AB17" s="215" t="str">
        <f>IFERROR(__xludf.DUMMYFUNCTION("""COMPUTED_VALUE"""),"SI 3B N")</f>
        <v>SI 3B N</v>
      </c>
      <c r="AC17" s="209" t="str">
        <f>IFERROR(__xludf.DUMMYFUNCTION("""COMPUTED_VALUE"""),"OPE1")</f>
        <v>OPE1</v>
      </c>
      <c r="AD17" s="209" t="str">
        <f>IFERROR(__xludf.DUMMYFUNCTION("""COMPUTED_VALUE"""),"SI")</f>
        <v>SI</v>
      </c>
      <c r="AE17" s="209">
        <f>IFERROR(__xludf.DUMMYFUNCTION("""COMPUTED_VALUE"""),3.0)</f>
        <v>3</v>
      </c>
      <c r="AF17" s="209" t="str">
        <f>IFERROR(__xludf.DUMMYFUNCTION("""COMPUTED_VALUE"""),"Noite")</f>
        <v>Noite</v>
      </c>
      <c r="AG17" s="209" t="str">
        <f>IFERROR(__xludf.DUMMYFUNCTION("""COMPUTED_VALUE"""),"B")</f>
        <v>B</v>
      </c>
      <c r="AH17" s="209" t="str">
        <f>IFERROR(__xludf.DUMMYFUNCTION("""COMPUTED_VALUE"""),"-")</f>
        <v>-</v>
      </c>
      <c r="AI17" s="103" t="str">
        <f>IFERROR(__xludf.DUMMYFUNCTION("""COMPUTED_VALUE"""),"-")</f>
        <v>-</v>
      </c>
      <c r="AJ17" s="232"/>
      <c r="AK17" s="217" t="b">
        <f>IFERROR(__xludf.DUMMYFUNCTION("""COMPUTED_VALUE"""),FALSE)</f>
        <v>0</v>
      </c>
      <c r="AL17" s="218" t="b">
        <f>IFERROR(__xludf.DUMMYFUNCTION("""COMPUTED_VALUE"""),FALSE)</f>
        <v>0</v>
      </c>
      <c r="AM17" s="219" t="b">
        <f>IFERROR(__xludf.DUMMYFUNCTION("""COMPUTED_VALUE"""),FALSE)</f>
        <v>0</v>
      </c>
      <c r="AN17" s="218" t="b">
        <f>IFERROR(__xludf.DUMMYFUNCTION("""COMPUTED_VALUE"""),FALSE)</f>
        <v>0</v>
      </c>
      <c r="AO17" s="218" t="b">
        <f>IFERROR(__xludf.DUMMYFUNCTION("""COMPUTED_VALUE"""),TRUE)</f>
        <v>1</v>
      </c>
      <c r="AP17" s="220" t="b">
        <f>IFERROR(__xludf.DUMMYFUNCTION("""COMPUTED_VALUE"""),FALSE)</f>
        <v>0</v>
      </c>
      <c r="AQ17" s="219" t="b">
        <f>IFERROR(__xludf.DUMMYFUNCTION("""COMPUTED_VALUE"""),FALSE)</f>
        <v>0</v>
      </c>
      <c r="AR17" s="218" t="b">
        <f>IFERROR(__xludf.DUMMYFUNCTION("""COMPUTED_VALUE"""),FALSE)</f>
        <v>0</v>
      </c>
      <c r="AS17" s="219" t="b">
        <f>IFERROR(__xludf.DUMMYFUNCTION("""COMPUTED_VALUE"""),FALSE)</f>
        <v>0</v>
      </c>
      <c r="AT17" s="221" t="b">
        <f>IFERROR(__xludf.DUMMYFUNCTION("""COMPUTED_VALUE"""),FALSE)</f>
        <v>0</v>
      </c>
      <c r="AU17" s="80"/>
    </row>
    <row r="18">
      <c r="A18" s="80"/>
      <c r="B18" s="80"/>
      <c r="C18" s="80"/>
      <c r="D18" s="80"/>
      <c r="E18" s="80"/>
      <c r="F18" s="80"/>
      <c r="G18" s="55"/>
      <c r="H18" s="80"/>
      <c r="I18" s="80"/>
      <c r="J18" s="80"/>
      <c r="K18" s="80"/>
      <c r="L18" s="80"/>
      <c r="M18" s="80"/>
      <c r="N18" s="80"/>
      <c r="O18" s="80"/>
      <c r="P18" s="239" t="str">
        <f>IFERROR(__xludf.DUMMYFUNCTION("""COMPUTED_VALUE"""),"51")</f>
        <v>51</v>
      </c>
      <c r="Q18" s="208">
        <f>IFERROR(__xludf.DUMMYFUNCTION("""COMPUTED_VALUE"""),16.0)</f>
        <v>16</v>
      </c>
      <c r="R18" s="209">
        <f>IFERROR(__xludf.DUMMYFUNCTION("""COMPUTED_VALUE"""),5.0)</f>
        <v>5</v>
      </c>
      <c r="S18" s="209">
        <f>IFERROR(__xludf.DUMMYFUNCTION("""COMPUTED_VALUE"""),1.0)</f>
        <v>1</v>
      </c>
      <c r="T18" s="223" t="str">
        <f>IFERROR(__xludf.DUMMYFUNCTION("""COMPUTED_VALUE"""),"4º")</f>
        <v>4º</v>
      </c>
      <c r="U18" s="103" t="str">
        <f>IFERROR(__xludf.DUMMYFUNCTION("""COMPUTED_VALUE"""),"Orientação e Acompanhamento do projeto e dos artefatos")</f>
        <v>Orientação e Acompanhamento do projeto e dos artefatos</v>
      </c>
      <c r="V18" s="241"/>
      <c r="W18" s="241">
        <f>IFERROR(__xludf.DUMMYFUNCTION("""COMPUTED_VALUE"""),44516.0)</f>
        <v>44516</v>
      </c>
      <c r="X18" s="241">
        <f>IFERROR(__xludf.DUMMYFUNCTION("""COMPUTED_VALUE"""),44517.0)</f>
        <v>44517</v>
      </c>
      <c r="Y18" s="242">
        <f>IFERROR(__xludf.DUMMYFUNCTION("""COMPUTED_VALUE"""),44518.0)</f>
        <v>44518</v>
      </c>
      <c r="Z18" s="242">
        <f>IFERROR(__xludf.DUMMYFUNCTION("""COMPUTED_VALUE"""),44519.0)</f>
        <v>44519</v>
      </c>
      <c r="AA18" s="214"/>
      <c r="AB18" s="215" t="str">
        <f>IFERROR(__xludf.DUMMYFUNCTION("""COMPUTED_VALUE"""),"ADS 4A N")</f>
        <v>ADS 4A N</v>
      </c>
      <c r="AC18" s="209" t="str">
        <f>IFERROR(__xludf.DUMMYFUNCTION("""COMPUTED_VALUE"""),"OPE2")</f>
        <v>OPE2</v>
      </c>
      <c r="AD18" s="209" t="str">
        <f>IFERROR(__xludf.DUMMYFUNCTION("""COMPUTED_VALUE"""),"ADS")</f>
        <v>ADS</v>
      </c>
      <c r="AE18" s="209">
        <f>IFERROR(__xludf.DUMMYFUNCTION("""COMPUTED_VALUE"""),4.0)</f>
        <v>4</v>
      </c>
      <c r="AF18" s="209" t="str">
        <f>IFERROR(__xludf.DUMMYFUNCTION("""COMPUTED_VALUE"""),"Noite")</f>
        <v>Noite</v>
      </c>
      <c r="AG18" s="209" t="str">
        <f>IFERROR(__xludf.DUMMYFUNCTION("""COMPUTED_VALUE"""),"A")</f>
        <v>A</v>
      </c>
      <c r="AH18" s="209" t="str">
        <f>IFERROR(__xludf.DUMMYFUNCTION("""COMPUTED_VALUE"""),"5ª")</f>
        <v>5ª</v>
      </c>
      <c r="AI18" s="103" t="str">
        <f>IFERROR(__xludf.DUMMYFUNCTION("""COMPUTED_VALUE"""),"Victor Stafusa")</f>
        <v>Victor Stafusa</v>
      </c>
      <c r="AJ18" s="226"/>
      <c r="AK18" s="217" t="b">
        <f>IFERROR(__xludf.DUMMYFUNCTION("""COMPUTED_VALUE"""),FALSE)</f>
        <v>0</v>
      </c>
      <c r="AL18" s="218" t="b">
        <f>IFERROR(__xludf.DUMMYFUNCTION("""COMPUTED_VALUE"""),TRUE)</f>
        <v>1</v>
      </c>
      <c r="AM18" s="219" t="b">
        <f>IFERROR(__xludf.DUMMYFUNCTION("""COMPUTED_VALUE"""),TRUE)</f>
        <v>1</v>
      </c>
      <c r="AN18" s="218" t="b">
        <f>IFERROR(__xludf.DUMMYFUNCTION("""COMPUTED_VALUE"""),TRUE)</f>
        <v>1</v>
      </c>
      <c r="AO18" s="218" t="b">
        <f>IFERROR(__xludf.DUMMYFUNCTION("""COMPUTED_VALUE"""),TRUE)</f>
        <v>1</v>
      </c>
      <c r="AP18" s="220" t="b">
        <f>IFERROR(__xludf.DUMMYFUNCTION("""COMPUTED_VALUE"""),FALSE)</f>
        <v>0</v>
      </c>
      <c r="AQ18" s="219" t="b">
        <f>IFERROR(__xludf.DUMMYFUNCTION("""COMPUTED_VALUE"""),TRUE)</f>
        <v>1</v>
      </c>
      <c r="AR18" s="218" t="b">
        <f>IFERROR(__xludf.DUMMYFUNCTION("""COMPUTED_VALUE"""),FALSE)</f>
        <v>0</v>
      </c>
      <c r="AS18" s="219" t="b">
        <f>IFERROR(__xludf.DUMMYFUNCTION("""COMPUTED_VALUE"""),FALSE)</f>
        <v>0</v>
      </c>
      <c r="AT18" s="221" t="b">
        <f>IFERROR(__xludf.DUMMYFUNCTION("""COMPUTED_VALUE"""),FALSE)</f>
        <v>0</v>
      </c>
      <c r="AU18" s="80"/>
    </row>
    <row r="19">
      <c r="A19" s="80"/>
      <c r="B19" s="80"/>
      <c r="C19" s="80"/>
      <c r="D19" s="80"/>
      <c r="E19" s="80"/>
      <c r="F19" s="80"/>
      <c r="G19" s="55"/>
      <c r="H19" s="80"/>
      <c r="I19" s="80"/>
      <c r="J19" s="80"/>
      <c r="K19" s="80"/>
      <c r="L19" s="80"/>
      <c r="M19" s="80"/>
      <c r="N19" s="80"/>
      <c r="O19" s="80"/>
      <c r="P19" s="239" t="str">
        <f>IFERROR(__xludf.DUMMYFUNCTION("""COMPUTED_VALUE"""),"52")</f>
        <v>52</v>
      </c>
      <c r="Q19" s="208">
        <f>IFERROR(__xludf.DUMMYFUNCTION("""COMPUTED_VALUE"""),17.0)</f>
        <v>17</v>
      </c>
      <c r="R19" s="209">
        <f>IFERROR(__xludf.DUMMYFUNCTION("""COMPUTED_VALUE"""),5.0)</f>
        <v>5</v>
      </c>
      <c r="S19" s="209">
        <f>IFERROR(__xludf.DUMMYFUNCTION("""COMPUTED_VALUE"""),2.0)</f>
        <v>2</v>
      </c>
      <c r="T19" s="243" t="str">
        <f>IFERROR(__xludf.DUMMYFUNCTION("""COMPUTED_VALUE"""),"4º")</f>
        <v>4º</v>
      </c>
      <c r="U19" s="244"/>
      <c r="V19" s="245">
        <f>IFERROR(__xludf.DUMMYFUNCTION("""COMPUTED_VALUE"""),44522.0)</f>
        <v>44522</v>
      </c>
      <c r="W19" s="245">
        <f>IFERROR(__xludf.DUMMYFUNCTION("""COMPUTED_VALUE"""),44523.0)</f>
        <v>44523</v>
      </c>
      <c r="X19" s="245">
        <f>IFERROR(__xludf.DUMMYFUNCTION("""COMPUTED_VALUE"""),44524.0)</f>
        <v>44524</v>
      </c>
      <c r="Y19" s="246">
        <f>IFERROR(__xludf.DUMMYFUNCTION("""COMPUTED_VALUE"""),44525.0)</f>
        <v>44525</v>
      </c>
      <c r="Z19" s="246">
        <f>IFERROR(__xludf.DUMMYFUNCTION("""COMPUTED_VALUE"""),44526.0)</f>
        <v>44526</v>
      </c>
      <c r="AA19" s="214"/>
      <c r="AB19" s="215" t="str">
        <f>IFERROR(__xludf.DUMMYFUNCTION("""COMPUTED_VALUE"""),"ADS 4B N")</f>
        <v>ADS 4B N</v>
      </c>
      <c r="AC19" s="209" t="str">
        <f>IFERROR(__xludf.DUMMYFUNCTION("""COMPUTED_VALUE"""),"OPE2")</f>
        <v>OPE2</v>
      </c>
      <c r="AD19" s="209" t="str">
        <f>IFERROR(__xludf.DUMMYFUNCTION("""COMPUTED_VALUE"""),"ADS")</f>
        <v>ADS</v>
      </c>
      <c r="AE19" s="209">
        <f>IFERROR(__xludf.DUMMYFUNCTION("""COMPUTED_VALUE"""),4.0)</f>
        <v>4</v>
      </c>
      <c r="AF19" s="209" t="str">
        <f>IFERROR(__xludf.DUMMYFUNCTION("""COMPUTED_VALUE"""),"Noite")</f>
        <v>Noite</v>
      </c>
      <c r="AG19" s="209" t="str">
        <f>IFERROR(__xludf.DUMMYFUNCTION("""COMPUTED_VALUE"""),"B")</f>
        <v>B</v>
      </c>
      <c r="AH19" s="209" t="str">
        <f>IFERROR(__xludf.DUMMYFUNCTION("""COMPUTED_VALUE"""),"6ª")</f>
        <v>6ª</v>
      </c>
      <c r="AI19" s="103" t="str">
        <f>IFERROR(__xludf.DUMMYFUNCTION("""COMPUTED_VALUE"""),"Fernando Sousa")</f>
        <v>Fernando Sousa</v>
      </c>
      <c r="AJ19" s="216"/>
      <c r="AK19" s="217" t="b">
        <f>IFERROR(__xludf.DUMMYFUNCTION("""COMPUTED_VALUE"""),FALSE)</f>
        <v>0</v>
      </c>
      <c r="AL19" s="218" t="b">
        <f>IFERROR(__xludf.DUMMYFUNCTION("""COMPUTED_VALUE"""),TRUE)</f>
        <v>1</v>
      </c>
      <c r="AM19" s="219" t="b">
        <f>IFERROR(__xludf.DUMMYFUNCTION("""COMPUTED_VALUE"""),TRUE)</f>
        <v>1</v>
      </c>
      <c r="AN19" s="218" t="b">
        <f>IFERROR(__xludf.DUMMYFUNCTION("""COMPUTED_VALUE"""),TRUE)</f>
        <v>1</v>
      </c>
      <c r="AO19" s="218" t="b">
        <f>IFERROR(__xludf.DUMMYFUNCTION("""COMPUTED_VALUE"""),TRUE)</f>
        <v>1</v>
      </c>
      <c r="AP19" s="220" t="b">
        <f>IFERROR(__xludf.DUMMYFUNCTION("""COMPUTED_VALUE"""),FALSE)</f>
        <v>0</v>
      </c>
      <c r="AQ19" s="219" t="b">
        <f>IFERROR(__xludf.DUMMYFUNCTION("""COMPUTED_VALUE"""),TRUE)</f>
        <v>1</v>
      </c>
      <c r="AR19" s="218" t="b">
        <f>IFERROR(__xludf.DUMMYFUNCTION("""COMPUTED_VALUE"""),FALSE)</f>
        <v>0</v>
      </c>
      <c r="AS19" s="219" t="b">
        <f>IFERROR(__xludf.DUMMYFUNCTION("""COMPUTED_VALUE"""),FALSE)</f>
        <v>0</v>
      </c>
      <c r="AT19" s="221" t="b">
        <f>IFERROR(__xludf.DUMMYFUNCTION("""COMPUTED_VALUE"""),FALSE)</f>
        <v>0</v>
      </c>
      <c r="AU19" s="80"/>
    </row>
    <row r="20">
      <c r="A20" s="80"/>
      <c r="B20" s="80"/>
      <c r="C20" s="80"/>
      <c r="D20" s="80"/>
      <c r="E20" s="80"/>
      <c r="F20" s="80"/>
      <c r="G20" s="55"/>
      <c r="H20" s="80"/>
      <c r="I20" s="80"/>
      <c r="J20" s="80"/>
      <c r="K20" s="80"/>
      <c r="L20" s="80"/>
      <c r="M20" s="80"/>
      <c r="N20" s="80"/>
      <c r="O20" s="80"/>
      <c r="P20" s="239" t="str">
        <f>IFERROR(__xludf.DUMMYFUNCTION("""COMPUTED_VALUE"""),"53")</f>
        <v>53</v>
      </c>
      <c r="Q20" s="208">
        <f>IFERROR(__xludf.DUMMYFUNCTION("""COMPUTED_VALUE"""),18.0)</f>
        <v>18</v>
      </c>
      <c r="R20" s="209">
        <f>IFERROR(__xludf.DUMMYFUNCTION("""COMPUTED_VALUE"""),5.0)</f>
        <v>5</v>
      </c>
      <c r="S20" s="209">
        <f>IFERROR(__xludf.DUMMYFUNCTION("""COMPUTED_VALUE"""),3.0)</f>
        <v>3</v>
      </c>
      <c r="T20" s="210" t="str">
        <f>IFERROR(__xludf.DUMMYFUNCTION("""COMPUTED_VALUE"""),"4º ou plantão")</f>
        <v>4º ou plantão</v>
      </c>
      <c r="U20" s="211"/>
      <c r="V20" s="212">
        <f>IFERROR(__xludf.DUMMYFUNCTION("""COMPUTED_VALUE"""),44529.0)</f>
        <v>44529</v>
      </c>
      <c r="W20" s="225">
        <f>IFERROR(__xludf.DUMMYFUNCTION("""COMPUTED_VALUE"""),44530.0)</f>
        <v>44530</v>
      </c>
      <c r="X20" s="225">
        <f>IFERROR(__xludf.DUMMYFUNCTION("""COMPUTED_VALUE"""),44531.0)</f>
        <v>44531</v>
      </c>
      <c r="Y20" s="245">
        <f>IFERROR(__xludf.DUMMYFUNCTION("""COMPUTED_VALUE"""),44532.0)</f>
        <v>44532</v>
      </c>
      <c r="Z20" s="245">
        <f>IFERROR(__xludf.DUMMYFUNCTION("""COMPUTED_VALUE"""),44533.0)</f>
        <v>44533</v>
      </c>
      <c r="AA20" s="214"/>
      <c r="AB20" s="215" t="str">
        <f>IFERROR(__xludf.DUMMYFUNCTION("""COMPUTED_VALUE"""),"SI 4A N")</f>
        <v>SI 4A N</v>
      </c>
      <c r="AC20" s="209" t="str">
        <f>IFERROR(__xludf.DUMMYFUNCTION("""COMPUTED_VALUE"""),"OPE2")</f>
        <v>OPE2</v>
      </c>
      <c r="AD20" s="209" t="str">
        <f>IFERROR(__xludf.DUMMYFUNCTION("""COMPUTED_VALUE"""),"SI")</f>
        <v>SI</v>
      </c>
      <c r="AE20" s="209">
        <f>IFERROR(__xludf.DUMMYFUNCTION("""COMPUTED_VALUE"""),4.0)</f>
        <v>4</v>
      </c>
      <c r="AF20" s="209" t="str">
        <f>IFERROR(__xludf.DUMMYFUNCTION("""COMPUTED_VALUE"""),"Noite")</f>
        <v>Noite</v>
      </c>
      <c r="AG20" s="209" t="str">
        <f>IFERROR(__xludf.DUMMYFUNCTION("""COMPUTED_VALUE"""),"B")</f>
        <v>B</v>
      </c>
      <c r="AH20" s="209" t="str">
        <f>IFERROR(__xludf.DUMMYFUNCTION("""COMPUTED_VALUE"""),"4ª")</f>
        <v>4ª</v>
      </c>
      <c r="AI20" s="103" t="str">
        <f>IFERROR(__xludf.DUMMYFUNCTION("""COMPUTED_VALUE"""),"Victor Stafusa")</f>
        <v>Victor Stafusa</v>
      </c>
      <c r="AJ20" s="226"/>
      <c r="AK20" s="217" t="b">
        <f>IFERROR(__xludf.DUMMYFUNCTION("""COMPUTED_VALUE"""),FALSE)</f>
        <v>0</v>
      </c>
      <c r="AL20" s="218" t="b">
        <f>IFERROR(__xludf.DUMMYFUNCTION("""COMPUTED_VALUE"""),TRUE)</f>
        <v>1</v>
      </c>
      <c r="AM20" s="219" t="b">
        <f>IFERROR(__xludf.DUMMYFUNCTION("""COMPUTED_VALUE"""),TRUE)</f>
        <v>1</v>
      </c>
      <c r="AN20" s="218" t="b">
        <f>IFERROR(__xludf.DUMMYFUNCTION("""COMPUTED_VALUE"""),TRUE)</f>
        <v>1</v>
      </c>
      <c r="AO20" s="218" t="b">
        <f>IFERROR(__xludf.DUMMYFUNCTION("""COMPUTED_VALUE"""),TRUE)</f>
        <v>1</v>
      </c>
      <c r="AP20" s="220" t="b">
        <f>IFERROR(__xludf.DUMMYFUNCTION("""COMPUTED_VALUE"""),FALSE)</f>
        <v>0</v>
      </c>
      <c r="AQ20" s="219" t="b">
        <f>IFERROR(__xludf.DUMMYFUNCTION("""COMPUTED_VALUE"""),TRUE)</f>
        <v>1</v>
      </c>
      <c r="AR20" s="218" t="b">
        <f>IFERROR(__xludf.DUMMYFUNCTION("""COMPUTED_VALUE"""),FALSE)</f>
        <v>0</v>
      </c>
      <c r="AS20" s="219" t="b">
        <f>IFERROR(__xludf.DUMMYFUNCTION("""COMPUTED_VALUE"""),FALSE)</f>
        <v>0</v>
      </c>
      <c r="AT20" s="221" t="b">
        <f>IFERROR(__xludf.DUMMYFUNCTION("""COMPUTED_VALUE"""),FALSE)</f>
        <v>0</v>
      </c>
      <c r="AU20" s="80"/>
    </row>
    <row r="2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55"/>
      <c r="O21" s="80"/>
      <c r="P21" s="239"/>
      <c r="Q21" s="208">
        <f>IFERROR(__xludf.DUMMYFUNCTION("""COMPUTED_VALUE"""),19.0)</f>
        <v>19</v>
      </c>
      <c r="R21" s="209"/>
      <c r="S21" s="209"/>
      <c r="T21" s="210"/>
      <c r="U21" s="211"/>
      <c r="V21" s="225">
        <f>IFERROR(__xludf.DUMMYFUNCTION("""COMPUTED_VALUE"""),44536.0)</f>
        <v>44536</v>
      </c>
      <c r="W21" s="225">
        <f>IFERROR(__xludf.DUMMYFUNCTION("""COMPUTED_VALUE"""),44537.0)</f>
        <v>44537</v>
      </c>
      <c r="X21" s="225">
        <f>IFERROR(__xludf.DUMMYFUNCTION("""COMPUTED_VALUE"""),44538.0)</f>
        <v>44538</v>
      </c>
      <c r="Y21" s="225">
        <f>IFERROR(__xludf.DUMMYFUNCTION("""COMPUTED_VALUE"""),44539.0)</f>
        <v>44539</v>
      </c>
      <c r="Z21" s="225">
        <f>IFERROR(__xludf.DUMMYFUNCTION("""COMPUTED_VALUE"""),44540.0)</f>
        <v>44540</v>
      </c>
      <c r="AA21" s="214"/>
      <c r="AB21" s="215" t="str">
        <f>IFERROR(__xludf.DUMMYFUNCTION("""COMPUTED_VALUE"""),"GTI 3A N")</f>
        <v>GTI 3A N</v>
      </c>
      <c r="AC21" s="247" t="str">
        <f>IFERROR(__xludf.DUMMYFUNCTION("""COMPUTED_VALUE"""),"OPE1")</f>
        <v>OPE1</v>
      </c>
      <c r="AD21" s="209" t="str">
        <f>IFERROR(__xludf.DUMMYFUNCTION("""COMPUTED_VALUE"""),"GTI")</f>
        <v>GTI</v>
      </c>
      <c r="AE21" s="209">
        <f>IFERROR(__xludf.DUMMYFUNCTION("""COMPUTED_VALUE"""),3.0)</f>
        <v>3</v>
      </c>
      <c r="AF21" s="209" t="str">
        <f>IFERROR(__xludf.DUMMYFUNCTION("""COMPUTED_VALUE"""),"Noite")</f>
        <v>Noite</v>
      </c>
      <c r="AG21" s="209" t="str">
        <f>IFERROR(__xludf.DUMMYFUNCTION("""COMPUTED_VALUE"""),"A")</f>
        <v>A</v>
      </c>
      <c r="AH21" s="209" t="str">
        <f>IFERROR(__xludf.DUMMYFUNCTION("""COMPUTED_VALUE"""),"-")</f>
        <v>-</v>
      </c>
      <c r="AI21" s="103" t="str">
        <f>IFERROR(__xludf.DUMMYFUNCTION("""COMPUTED_VALUE"""),"-")</f>
        <v>-</v>
      </c>
      <c r="AJ21" s="248"/>
      <c r="AK21" s="217" t="b">
        <f>IFERROR(__xludf.DUMMYFUNCTION("""COMPUTED_VALUE"""),FALSE)</f>
        <v>0</v>
      </c>
      <c r="AL21" s="218" t="b">
        <f>IFERROR(__xludf.DUMMYFUNCTION("""COMPUTED_VALUE"""),FALSE)</f>
        <v>0</v>
      </c>
      <c r="AM21" s="219" t="b">
        <f>IFERROR(__xludf.DUMMYFUNCTION("""COMPUTED_VALUE"""),FALSE)</f>
        <v>0</v>
      </c>
      <c r="AN21" s="218" t="b">
        <f>IFERROR(__xludf.DUMMYFUNCTION("""COMPUTED_VALUE"""),FALSE)</f>
        <v>0</v>
      </c>
      <c r="AO21" s="218" t="b">
        <f>IFERROR(__xludf.DUMMYFUNCTION("""COMPUTED_VALUE"""),FALSE)</f>
        <v>0</v>
      </c>
      <c r="AP21" s="220" t="b">
        <f>IFERROR(__xludf.DUMMYFUNCTION("""COMPUTED_VALUE"""),FALSE)</f>
        <v>0</v>
      </c>
      <c r="AQ21" s="219" t="b">
        <f>IFERROR(__xludf.DUMMYFUNCTION("""COMPUTED_VALUE"""),FALSE)</f>
        <v>0</v>
      </c>
      <c r="AR21" s="218" t="b">
        <f>IFERROR(__xludf.DUMMYFUNCTION("""COMPUTED_VALUE"""),FALSE)</f>
        <v>0</v>
      </c>
      <c r="AS21" s="219" t="b">
        <f>IFERROR(__xludf.DUMMYFUNCTION("""COMPUTED_VALUE"""),FALSE)</f>
        <v>0</v>
      </c>
      <c r="AT21" s="221" t="b">
        <f>IFERROR(__xludf.DUMMYFUNCTION("""COMPUTED_VALUE"""),FALSE)</f>
        <v>0</v>
      </c>
      <c r="AU21" s="80"/>
    </row>
    <row r="22" ht="15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55"/>
      <c r="O22" s="80"/>
      <c r="P22" s="239"/>
      <c r="Q22" s="208">
        <f>IFERROR(__xludf.DUMMYFUNCTION("""COMPUTED_VALUE"""),20.0)</f>
        <v>20</v>
      </c>
      <c r="R22" s="209"/>
      <c r="S22" s="209"/>
      <c r="T22" s="210" t="str">
        <f>IFERROR(__xludf.DUMMYFUNCTION("""COMPUTED_VALUE"""),"Simpacta")</f>
        <v>Simpacta</v>
      </c>
      <c r="U22" s="211"/>
      <c r="V22" s="225">
        <f>IFERROR(__xludf.DUMMYFUNCTION("""COMPUTED_VALUE"""),44543.0)</f>
        <v>44543</v>
      </c>
      <c r="W22" s="225">
        <f>IFERROR(__xludf.DUMMYFUNCTION("""COMPUTED_VALUE"""),44544.0)</f>
        <v>44544</v>
      </c>
      <c r="X22" s="225">
        <f>IFERROR(__xludf.DUMMYFUNCTION("""COMPUTED_VALUE"""),44545.0)</f>
        <v>44545</v>
      </c>
      <c r="Y22" s="225">
        <f>IFERROR(__xludf.DUMMYFUNCTION("""COMPUTED_VALUE"""),44546.0)</f>
        <v>44546</v>
      </c>
      <c r="Z22" s="225">
        <f>IFERROR(__xludf.DUMMYFUNCTION("""COMPUTED_VALUE"""),44547.0)</f>
        <v>44547</v>
      </c>
      <c r="AA22" s="214"/>
      <c r="AB22" s="215" t="str">
        <f>IFERROR(__xludf.DUMMYFUNCTION("""COMPUTED_VALUE"""),"GTI 4A N")</f>
        <v>GTI 4A N</v>
      </c>
      <c r="AC22" s="247" t="str">
        <f>IFERROR(__xludf.DUMMYFUNCTION("""COMPUTED_VALUE"""),"OPE2")</f>
        <v>OPE2</v>
      </c>
      <c r="AD22" s="209" t="str">
        <f>IFERROR(__xludf.DUMMYFUNCTION("""COMPUTED_VALUE"""),"GTI")</f>
        <v>GTI</v>
      </c>
      <c r="AE22" s="209">
        <f>IFERROR(__xludf.DUMMYFUNCTION("""COMPUTED_VALUE"""),4.0)</f>
        <v>4</v>
      </c>
      <c r="AF22" s="209" t="str">
        <f>IFERROR(__xludf.DUMMYFUNCTION("""COMPUTED_VALUE"""),"Noite")</f>
        <v>Noite</v>
      </c>
      <c r="AG22" s="209" t="str">
        <f>IFERROR(__xludf.DUMMYFUNCTION("""COMPUTED_VALUE"""),"A")</f>
        <v>A</v>
      </c>
      <c r="AH22" s="209" t="str">
        <f>IFERROR(__xludf.DUMMYFUNCTION("""COMPUTED_VALUE"""),"2ª")</f>
        <v>2ª</v>
      </c>
      <c r="AI22" s="103" t="str">
        <f>IFERROR(__xludf.DUMMYFUNCTION("""COMPUTED_VALUE"""),"Renato Borba")</f>
        <v>Renato Borba</v>
      </c>
      <c r="AJ22" s="248"/>
      <c r="AK22" s="217" t="b">
        <f>IFERROR(__xludf.DUMMYFUNCTION("""COMPUTED_VALUE"""),FALSE)</f>
        <v>0</v>
      </c>
      <c r="AL22" s="218" t="b">
        <f>IFERROR(__xludf.DUMMYFUNCTION("""COMPUTED_VALUE"""),TRUE)</f>
        <v>1</v>
      </c>
      <c r="AM22" s="219" t="b">
        <f>IFERROR(__xludf.DUMMYFUNCTION("""COMPUTED_VALUE"""),TRUE)</f>
        <v>1</v>
      </c>
      <c r="AN22" s="218" t="b">
        <f>IFERROR(__xludf.DUMMYFUNCTION("""COMPUTED_VALUE"""),TRUE)</f>
        <v>1</v>
      </c>
      <c r="AO22" s="218" t="b">
        <f>IFERROR(__xludf.DUMMYFUNCTION("""COMPUTED_VALUE"""),TRUE)</f>
        <v>1</v>
      </c>
      <c r="AP22" s="220" t="b">
        <f>IFERROR(__xludf.DUMMYFUNCTION("""COMPUTED_VALUE"""),FALSE)</f>
        <v>0</v>
      </c>
      <c r="AQ22" s="219" t="b">
        <f>IFERROR(__xludf.DUMMYFUNCTION("""COMPUTED_VALUE"""),TRUE)</f>
        <v>1</v>
      </c>
      <c r="AR22" s="218" t="b">
        <f>IFERROR(__xludf.DUMMYFUNCTION("""COMPUTED_VALUE"""),TRUE)</f>
        <v>1</v>
      </c>
      <c r="AS22" s="219" t="b">
        <f>IFERROR(__xludf.DUMMYFUNCTION("""COMPUTED_VALUE"""),TRUE)</f>
        <v>1</v>
      </c>
      <c r="AT22" s="221" t="b">
        <f>IFERROR(__xludf.DUMMYFUNCTION("""COMPUTED_VALUE"""),FALSE)</f>
        <v>0</v>
      </c>
      <c r="AU22" s="80"/>
    </row>
    <row r="23" ht="15.75" customHeight="1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55"/>
      <c r="O23" s="80"/>
      <c r="P23" s="249"/>
      <c r="Q23" s="250">
        <f>IFERROR(__xludf.DUMMYFUNCTION("""COMPUTED_VALUE"""),21.0)</f>
        <v>21</v>
      </c>
      <c r="R23" s="250"/>
      <c r="S23" s="250"/>
      <c r="T23" s="250" t="str">
        <f>IFERROR(__xludf.DUMMYFUNCTION("""COMPUTED_VALUE"""),"Encerra")</f>
        <v>Encerra</v>
      </c>
      <c r="U23" s="250"/>
      <c r="V23" s="251">
        <f>IFERROR(__xludf.DUMMYFUNCTION("""COMPUTED_VALUE"""),44550.0)</f>
        <v>44550</v>
      </c>
      <c r="W23" s="251">
        <f>IFERROR(__xludf.DUMMYFUNCTION("""COMPUTED_VALUE"""),44551.0)</f>
        <v>44551</v>
      </c>
      <c r="X23" s="251">
        <f>IFERROR(__xludf.DUMMYFUNCTION("""COMPUTED_VALUE"""),44552.0)</f>
        <v>44552</v>
      </c>
      <c r="Y23" s="250"/>
      <c r="Z23" s="250"/>
      <c r="AA23" s="214"/>
      <c r="AB23" s="215" t="str">
        <f>IFERROR(__xludf.DUMMYFUNCTION("""COMPUTED_VALUE"""),"SI 7A N")</f>
        <v>SI 7A N</v>
      </c>
      <c r="AC23" s="247" t="str">
        <f>IFERROR(__xludf.DUMMYFUNCTION("""COMPUTED_VALUE"""),"TCC1")</f>
        <v>TCC1</v>
      </c>
      <c r="AD23" s="209" t="str">
        <f>IFERROR(__xludf.DUMMYFUNCTION("""COMPUTED_VALUE"""),"SI")</f>
        <v>SI</v>
      </c>
      <c r="AE23" s="209">
        <f>IFERROR(__xludf.DUMMYFUNCTION("""COMPUTED_VALUE"""),7.0)</f>
        <v>7</v>
      </c>
      <c r="AF23" s="209" t="str">
        <f>IFERROR(__xludf.DUMMYFUNCTION("""COMPUTED_VALUE"""),"Noite")</f>
        <v>Noite</v>
      </c>
      <c r="AG23" s="209" t="str">
        <f>IFERROR(__xludf.DUMMYFUNCTION("""COMPUTED_VALUE"""),"A")</f>
        <v>A</v>
      </c>
      <c r="AH23" s="209" t="str">
        <f>IFERROR(__xludf.DUMMYFUNCTION("""COMPUTED_VALUE"""),"4ª")</f>
        <v>4ª</v>
      </c>
      <c r="AI23" s="103" t="str">
        <f>IFERROR(__xludf.DUMMYFUNCTION("""COMPUTED_VALUE"""),"Gilberto Pereira")</f>
        <v>Gilberto Pereira</v>
      </c>
      <c r="AJ23" s="248"/>
      <c r="AK23" s="217" t="b">
        <f>IFERROR(__xludf.DUMMYFUNCTION("""COMPUTED_VALUE"""),FALSE)</f>
        <v>0</v>
      </c>
      <c r="AL23" s="218" t="b">
        <f>IFERROR(__xludf.DUMMYFUNCTION("""COMPUTED_VALUE"""),TRUE)</f>
        <v>1</v>
      </c>
      <c r="AM23" s="219" t="b">
        <f>IFERROR(__xludf.DUMMYFUNCTION("""COMPUTED_VALUE"""),TRUE)</f>
        <v>1</v>
      </c>
      <c r="AN23" s="218" t="b">
        <f>IFERROR(__xludf.DUMMYFUNCTION("""COMPUTED_VALUE"""),TRUE)</f>
        <v>1</v>
      </c>
      <c r="AO23" s="218" t="b">
        <f>IFERROR(__xludf.DUMMYFUNCTION("""COMPUTED_VALUE"""),TRUE)</f>
        <v>1</v>
      </c>
      <c r="AP23" s="220" t="b">
        <f>IFERROR(__xludf.DUMMYFUNCTION("""COMPUTED_VALUE"""),TRUE)</f>
        <v>1</v>
      </c>
      <c r="AQ23" s="219" t="b">
        <f>IFERROR(__xludf.DUMMYFUNCTION("""COMPUTED_VALUE"""),TRUE)</f>
        <v>1</v>
      </c>
      <c r="AR23" s="218" t="b">
        <f>IFERROR(__xludf.DUMMYFUNCTION("""COMPUTED_VALUE"""),TRUE)</f>
        <v>1</v>
      </c>
      <c r="AS23" s="219" t="b">
        <f>IFERROR(__xludf.DUMMYFUNCTION("""COMPUTED_VALUE"""),TRUE)</f>
        <v>1</v>
      </c>
      <c r="AT23" s="221" t="b">
        <f>IFERROR(__xludf.DUMMYFUNCTION("""COMPUTED_VALUE"""),FALSE)</f>
        <v>0</v>
      </c>
      <c r="AU23" s="80"/>
    </row>
    <row r="24" ht="15.7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252"/>
      <c r="R24" s="249"/>
      <c r="U24" s="252"/>
      <c r="V24" s="252"/>
      <c r="W24" s="252"/>
      <c r="X24" s="252"/>
      <c r="Y24" s="252"/>
      <c r="Z24" s="252"/>
      <c r="AA24" s="80"/>
      <c r="AB24" s="215" t="str">
        <f>IFERROR(__xludf.DUMMYFUNCTION("""COMPUTED_VALUE"""),"SI 7B N")</f>
        <v>SI 7B N</v>
      </c>
      <c r="AC24" s="247" t="str">
        <f>IFERROR(__xludf.DUMMYFUNCTION("""COMPUTED_VALUE"""),"TCC1")</f>
        <v>TCC1</v>
      </c>
      <c r="AD24" s="209" t="str">
        <f>IFERROR(__xludf.DUMMYFUNCTION("""COMPUTED_VALUE"""),"SI")</f>
        <v>SI</v>
      </c>
      <c r="AE24" s="209">
        <f>IFERROR(__xludf.DUMMYFUNCTION("""COMPUTED_VALUE"""),7.0)</f>
        <v>7</v>
      </c>
      <c r="AF24" s="209" t="str">
        <f>IFERROR(__xludf.DUMMYFUNCTION("""COMPUTED_VALUE"""),"Noite")</f>
        <v>Noite</v>
      </c>
      <c r="AG24" s="209" t="str">
        <f>IFERROR(__xludf.DUMMYFUNCTION("""COMPUTED_VALUE"""),"B")</f>
        <v>B</v>
      </c>
      <c r="AH24" s="209" t="str">
        <f>IFERROR(__xludf.DUMMYFUNCTION("""COMPUTED_VALUE"""),"-")</f>
        <v>-</v>
      </c>
      <c r="AI24" s="103" t="str">
        <f>IFERROR(__xludf.DUMMYFUNCTION("""COMPUTED_VALUE"""),"-")</f>
        <v>-</v>
      </c>
      <c r="AJ24" s="248"/>
      <c r="AK24" s="217" t="b">
        <f>IFERROR(__xludf.DUMMYFUNCTION("""COMPUTED_VALUE"""),FALSE)</f>
        <v>0</v>
      </c>
      <c r="AL24" s="218" t="b">
        <f>IFERROR(__xludf.DUMMYFUNCTION("""COMPUTED_VALUE"""),TRUE)</f>
        <v>1</v>
      </c>
      <c r="AM24" s="219" t="b">
        <f>IFERROR(__xludf.DUMMYFUNCTION("""COMPUTED_VALUE"""),TRUE)</f>
        <v>1</v>
      </c>
      <c r="AN24" s="218" t="b">
        <f>IFERROR(__xludf.DUMMYFUNCTION("""COMPUTED_VALUE"""),TRUE)</f>
        <v>1</v>
      </c>
      <c r="AO24" s="218" t="b">
        <f>IFERROR(__xludf.DUMMYFUNCTION("""COMPUTED_VALUE"""),TRUE)</f>
        <v>1</v>
      </c>
      <c r="AP24" s="220" t="b">
        <f>IFERROR(__xludf.DUMMYFUNCTION("""COMPUTED_VALUE"""),TRUE)</f>
        <v>1</v>
      </c>
      <c r="AQ24" s="219" t="b">
        <f>IFERROR(__xludf.DUMMYFUNCTION("""COMPUTED_VALUE"""),TRUE)</f>
        <v>1</v>
      </c>
      <c r="AR24" s="218" t="b">
        <f>IFERROR(__xludf.DUMMYFUNCTION("""COMPUTED_VALUE"""),TRUE)</f>
        <v>1</v>
      </c>
      <c r="AS24" s="219" t="b">
        <f>IFERROR(__xludf.DUMMYFUNCTION("""COMPUTED_VALUE"""),TRUE)</f>
        <v>1</v>
      </c>
      <c r="AT24" s="221" t="b">
        <f>IFERROR(__xludf.DUMMYFUNCTION("""COMPUTED_VALUE"""),FALSE)</f>
        <v>0</v>
      </c>
      <c r="AU24" s="80"/>
    </row>
    <row r="25" ht="15.75" customHeight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252"/>
      <c r="R25" s="253" t="str">
        <f>IFERROR(__xludf.DUMMYFUNCTION("""COMPUTED_VALUE"""),"Observações:")</f>
        <v>Observações:</v>
      </c>
      <c r="S25" s="254"/>
      <c r="T25" s="254"/>
      <c r="U25" s="192"/>
      <c r="V25" s="255"/>
      <c r="W25" s="255"/>
      <c r="X25" s="255"/>
      <c r="Y25" s="255"/>
      <c r="Z25" s="256"/>
      <c r="AA25" s="80"/>
      <c r="AB25" s="215" t="str">
        <f>IFERROR(__xludf.DUMMYFUNCTION("""COMPUTED_VALUE"""),"SI 8A N")</f>
        <v>SI 8A N</v>
      </c>
      <c r="AC25" s="247" t="str">
        <f>IFERROR(__xludf.DUMMYFUNCTION("""COMPUTED_VALUE"""),"TCC2")</f>
        <v>TCC2</v>
      </c>
      <c r="AD25" s="209" t="str">
        <f>IFERROR(__xludf.DUMMYFUNCTION("""COMPUTED_VALUE"""),"SI")</f>
        <v>SI</v>
      </c>
      <c r="AE25" s="209">
        <f>IFERROR(__xludf.DUMMYFUNCTION("""COMPUTED_VALUE"""),8.0)</f>
        <v>8</v>
      </c>
      <c r="AF25" s="209" t="str">
        <f>IFERROR(__xludf.DUMMYFUNCTION("""COMPUTED_VALUE"""),"Noite")</f>
        <v>Noite</v>
      </c>
      <c r="AG25" s="209" t="str">
        <f>IFERROR(__xludf.DUMMYFUNCTION("""COMPUTED_VALUE"""),"A")</f>
        <v>A</v>
      </c>
      <c r="AH25" s="209" t="str">
        <f>IFERROR(__xludf.DUMMYFUNCTION("""COMPUTED_VALUE"""),"2ª")</f>
        <v>2ª</v>
      </c>
      <c r="AI25" s="103" t="str">
        <f>IFERROR(__xludf.DUMMYFUNCTION("""COMPUTED_VALUE"""),"Gilberto Pereira")</f>
        <v>Gilberto Pereira</v>
      </c>
      <c r="AJ25" s="248"/>
      <c r="AK25" s="217" t="b">
        <f>IFERROR(__xludf.DUMMYFUNCTION("""COMPUTED_VALUE"""),TRUE)</f>
        <v>1</v>
      </c>
      <c r="AL25" s="218" t="b">
        <f>IFERROR(__xludf.DUMMYFUNCTION("""COMPUTED_VALUE"""),TRUE)</f>
        <v>1</v>
      </c>
      <c r="AM25" s="219" t="b">
        <f>IFERROR(__xludf.DUMMYFUNCTION("""COMPUTED_VALUE"""),TRUE)</f>
        <v>1</v>
      </c>
      <c r="AN25" s="218" t="b">
        <f>IFERROR(__xludf.DUMMYFUNCTION("""COMPUTED_VALUE"""),TRUE)</f>
        <v>1</v>
      </c>
      <c r="AO25" s="218" t="b">
        <f>IFERROR(__xludf.DUMMYFUNCTION("""COMPUTED_VALUE"""),TRUE)</f>
        <v>1</v>
      </c>
      <c r="AP25" s="220" t="b">
        <f>IFERROR(__xludf.DUMMYFUNCTION("""COMPUTED_VALUE"""),FALSE)</f>
        <v>0</v>
      </c>
      <c r="AQ25" s="219" t="b">
        <f>IFERROR(__xludf.DUMMYFUNCTION("""COMPUTED_VALUE"""),FALSE)</f>
        <v>0</v>
      </c>
      <c r="AR25" s="218" t="b">
        <f>IFERROR(__xludf.DUMMYFUNCTION("""COMPUTED_VALUE"""),FALSE)</f>
        <v>0</v>
      </c>
      <c r="AS25" s="219" t="b">
        <f>IFERROR(__xludf.DUMMYFUNCTION("""COMPUTED_VALUE"""),FALSE)</f>
        <v>0</v>
      </c>
      <c r="AT25" s="221" t="b">
        <f>IFERROR(__xludf.DUMMYFUNCTION("""COMPUTED_VALUE"""),FALSE)</f>
        <v>0</v>
      </c>
      <c r="AU25" s="80"/>
    </row>
    <row r="26" ht="15.75" customHeight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252"/>
      <c r="R26" s="257">
        <f>IFERROR(__xludf.DUMMYFUNCTION("""COMPUTED_VALUE"""),1.0)</f>
        <v>1</v>
      </c>
      <c r="S26" s="248"/>
      <c r="T26" s="248" t="str">
        <f>IFERROR(__xludf.DUMMYFUNCTION("""COMPUTED_VALUE"""),"Somente OPE1 e TCC1")</f>
        <v>Somente OPE1 e TCC1</v>
      </c>
      <c r="V26" s="252"/>
      <c r="W26" s="252"/>
      <c r="X26" s="252"/>
      <c r="Y26" s="252"/>
      <c r="Z26" s="256"/>
      <c r="AA26" s="80"/>
      <c r="AB26" s="215" t="str">
        <f>IFERROR(__xludf.DUMMYFUNCTION("""COMPUTED_VALUE"""),"SI 8B N")</f>
        <v>SI 8B N</v>
      </c>
      <c r="AC26" s="247" t="str">
        <f>IFERROR(__xludf.DUMMYFUNCTION("""COMPUTED_VALUE"""),"TCC2")</f>
        <v>TCC2</v>
      </c>
      <c r="AD26" s="209" t="str">
        <f>IFERROR(__xludf.DUMMYFUNCTION("""COMPUTED_VALUE"""),"SI")</f>
        <v>SI</v>
      </c>
      <c r="AE26" s="209">
        <f>IFERROR(__xludf.DUMMYFUNCTION("""COMPUTED_VALUE"""),8.0)</f>
        <v>8</v>
      </c>
      <c r="AF26" s="209" t="str">
        <f>IFERROR(__xludf.DUMMYFUNCTION("""COMPUTED_VALUE"""),"Noite")</f>
        <v>Noite</v>
      </c>
      <c r="AG26" s="209" t="str">
        <f>IFERROR(__xludf.DUMMYFUNCTION("""COMPUTED_VALUE"""),"B")</f>
        <v>B</v>
      </c>
      <c r="AH26" s="209" t="str">
        <f>IFERROR(__xludf.DUMMYFUNCTION("""COMPUTED_VALUE"""),"6ª")</f>
        <v>6ª</v>
      </c>
      <c r="AI26" s="103" t="str">
        <f>IFERROR(__xludf.DUMMYFUNCTION("""COMPUTED_VALUE"""),"Márcia Kondo")</f>
        <v>Márcia Kondo</v>
      </c>
      <c r="AJ26" s="248"/>
      <c r="AK26" s="217" t="b">
        <f>IFERROR(__xludf.DUMMYFUNCTION("""COMPUTED_VALUE"""),TRUE)</f>
        <v>1</v>
      </c>
      <c r="AL26" s="218" t="b">
        <f>IFERROR(__xludf.DUMMYFUNCTION("""COMPUTED_VALUE"""),TRUE)</f>
        <v>1</v>
      </c>
      <c r="AM26" s="219" t="b">
        <f>IFERROR(__xludf.DUMMYFUNCTION("""COMPUTED_VALUE"""),TRUE)</f>
        <v>1</v>
      </c>
      <c r="AN26" s="218" t="b">
        <f>IFERROR(__xludf.DUMMYFUNCTION("""COMPUTED_VALUE"""),TRUE)</f>
        <v>1</v>
      </c>
      <c r="AO26" s="218" t="b">
        <f>IFERROR(__xludf.DUMMYFUNCTION("""COMPUTED_VALUE"""),TRUE)</f>
        <v>1</v>
      </c>
      <c r="AP26" s="220" t="b">
        <f>IFERROR(__xludf.DUMMYFUNCTION("""COMPUTED_VALUE"""),FALSE)</f>
        <v>0</v>
      </c>
      <c r="AQ26" s="219" t="b">
        <f>IFERROR(__xludf.DUMMYFUNCTION("""COMPUTED_VALUE"""),FALSE)</f>
        <v>0</v>
      </c>
      <c r="AR26" s="218" t="b">
        <f>IFERROR(__xludf.DUMMYFUNCTION("""COMPUTED_VALUE"""),FALSE)</f>
        <v>0</v>
      </c>
      <c r="AS26" s="219" t="b">
        <f>IFERROR(__xludf.DUMMYFUNCTION("""COMPUTED_VALUE"""),FALSE)</f>
        <v>0</v>
      </c>
      <c r="AT26" s="221" t="b">
        <f>IFERROR(__xludf.DUMMYFUNCTION("""COMPUTED_VALUE"""),FALSE)</f>
        <v>0</v>
      </c>
      <c r="AU26" s="80"/>
    </row>
    <row r="27" ht="15.75" customHeight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252"/>
      <c r="R27" s="257">
        <f>IFERROR(__xludf.DUMMYFUNCTION("""COMPUTED_VALUE"""),2.0)</f>
        <v>2</v>
      </c>
      <c r="S27" s="248"/>
      <c r="T27" s="248" t="str">
        <f>IFERROR(__xludf.DUMMYFUNCTION("""COMPUTED_VALUE"""),"Somente OPE2 e TCC2")</f>
        <v>Somente OPE2 e TCC2</v>
      </c>
      <c r="W27" s="252"/>
      <c r="X27" s="252"/>
      <c r="Y27" s="252"/>
      <c r="Z27" s="256"/>
      <c r="AA27" s="80"/>
      <c r="AB27" s="80" t="str">
        <f>IFERROR(__xludf.DUMMYFUNCTION("""COMPUTED_VALUE"""),"")</f>
        <v/>
      </c>
      <c r="AC27" s="80">
        <f>IFERROR(__xludf.DUMMYFUNCTION("""COMPUTED_VALUE"""),24.0)</f>
        <v>24</v>
      </c>
      <c r="AD27" s="80"/>
      <c r="AE27" s="80"/>
      <c r="AF27" s="80"/>
      <c r="AG27" s="80"/>
      <c r="AH27" s="80"/>
      <c r="AI27" s="80"/>
      <c r="AJ27" s="80" t="str">
        <f>IFERROR(__xludf.DUMMYFUNCTION("""COMPUTED_VALUE"""),"TOTAL")</f>
        <v>TOTAL</v>
      </c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</row>
    <row r="28" ht="15.75" customHeight="1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252"/>
      <c r="R28" s="258">
        <f>IFERROR(__xludf.DUMMYFUNCTION("""COMPUTED_VALUE"""),3.0)</f>
        <v>3</v>
      </c>
      <c r="S28" s="259"/>
      <c r="T28" s="259" t="str">
        <f>IFERROR(__xludf.DUMMYFUNCTION("""COMPUTED_VALUE"""),"A confirmar para cada turma e disciplina")</f>
        <v>A confirmar para cada turma e disciplina</v>
      </c>
      <c r="U28" s="101"/>
      <c r="V28" s="101"/>
      <c r="W28" s="101"/>
      <c r="X28" s="101"/>
      <c r="Y28" s="101"/>
      <c r="Z28" s="256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</row>
    <row r="29" ht="15.75" customHeight="1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252"/>
      <c r="R29" s="252">
        <f>IFERROR(__xludf.DUMMYFUNCTION("""COMPUTED_VALUE"""),4.0)</f>
        <v>4</v>
      </c>
      <c r="S29" s="252"/>
      <c r="T29" s="252" t="str">
        <f>IFERROR(__xludf.DUMMYFUNCTION("""COMPUTED_VALUE"""),"Entregas previstas: podem ser alteradas pelos orientadores")</f>
        <v>Entregas previstas: podem ser alteradas pelos orientadores</v>
      </c>
      <c r="U29" s="252"/>
      <c r="V29" s="252"/>
      <c r="W29" s="252"/>
      <c r="X29" s="252"/>
      <c r="Y29" s="252"/>
      <c r="Z29" s="252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</row>
    <row r="30" ht="15.75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252"/>
      <c r="R30" s="249" t="str">
        <f>IFERROR(__xludf.DUMMYFUNCTION("""COMPUTED_VALUE"""),"Legenda:")</f>
        <v>Legenda:</v>
      </c>
      <c r="S30" s="252"/>
      <c r="T30" s="252"/>
      <c r="U30" s="252"/>
      <c r="V30" s="252"/>
      <c r="W30" s="252"/>
      <c r="X30" s="252"/>
      <c r="Y30" s="252"/>
      <c r="Z30" s="252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</row>
    <row r="31" ht="15.75" customHeight="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252"/>
      <c r="R31" s="213"/>
      <c r="S31" s="260" t="str">
        <f>IFERROR(__xludf.DUMMYFUNCTION("""COMPUTED_VALUE"""),"Feriado ou Aplicação de PAI ou Feira de carreiras: compensação sem plantão")</f>
        <v>Feriado ou Aplicação de PAI ou Feira de carreiras: compensação sem plantão</v>
      </c>
      <c r="T31" s="254"/>
      <c r="U31" s="192"/>
      <c r="V31" s="192"/>
      <c r="W31" s="192"/>
      <c r="X31" s="192"/>
      <c r="Y31" s="193"/>
      <c r="Z31" s="252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</row>
    <row r="32" ht="15.75" customHeight="1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252"/>
      <c r="R32" s="242"/>
      <c r="S32" s="261" t="str">
        <f>IFERROR(__xludf.DUMMYFUNCTION("""COMPUTED_VALUE"""),"(Semana de provas das outras disciplinas) Subida de vídeo para não formandos: prova de OPE1")</f>
        <v>(Semana de provas das outras disciplinas) Subida de vídeo para não formandos: prova de OPE1</v>
      </c>
      <c r="T32" s="248"/>
      <c r="Y32" s="262"/>
      <c r="Z32" s="252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</row>
    <row r="33" ht="15.75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252"/>
      <c r="R33" s="246"/>
      <c r="S33" s="259" t="str">
        <f>IFERROR(__xludf.DUMMYFUNCTION("""COMPUTED_VALUE"""),"Semana do VI Simpacta (e de vista de provas das outras disicplinas): prova para formandos")</f>
        <v>Semana do VI Simpacta (e de vista de provas das outras disicplinas): prova para formandos</v>
      </c>
      <c r="T33" s="259"/>
      <c r="U33" s="101"/>
      <c r="V33" s="263"/>
      <c r="W33" s="263"/>
      <c r="X33" s="263"/>
      <c r="Y33" s="264"/>
      <c r="Z33" s="252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</row>
    <row r="34" ht="15.75" customHeight="1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</row>
    <row r="35" ht="15.75" customHeight="1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</row>
    <row r="36" ht="15.75" customHeight="1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</row>
    <row r="37" ht="15.75" customHeight="1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</row>
    <row r="38" ht="15.75" customHeight="1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</row>
    <row r="39" ht="15.75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</row>
    <row r="40" ht="15.75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</row>
    <row r="41" ht="15.7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</row>
    <row r="42" ht="15.7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</row>
    <row r="43" ht="15.7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</row>
    <row r="44" ht="15.7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</row>
    <row r="45" ht="15.7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</row>
    <row r="46" ht="15.7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</row>
    <row r="47" ht="15.75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</row>
    <row r="48" ht="15.7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</row>
    <row r="49" ht="15.75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</row>
    <row r="50" ht="15.7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</row>
    <row r="51" ht="15.75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</row>
    <row r="52" ht="15.75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</row>
    <row r="53" ht="15.7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</row>
    <row r="54" ht="15.7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</row>
    <row r="55" ht="15.7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</row>
    <row r="56" ht="15.7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</row>
    <row r="57" ht="15.7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</row>
    <row r="58" ht="15.7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</row>
    <row r="59" ht="15.7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</row>
    <row r="60" ht="15.7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</row>
    <row r="61" ht="15.7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</row>
    <row r="62" ht="15.7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</row>
    <row r="63" ht="15.7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</row>
    <row r="64" ht="15.7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</row>
    <row r="65" ht="15.7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</row>
    <row r="66" ht="15.7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</row>
    <row r="67" ht="15.7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</row>
    <row r="68" ht="15.7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</row>
    <row r="69" ht="15.7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</row>
    <row r="70" ht="15.7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</row>
    <row r="71" ht="15.7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</row>
    <row r="72" ht="15.7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</row>
    <row r="73" ht="15.7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</row>
    <row r="74" ht="15.7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</row>
    <row r="75" ht="15.7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</row>
    <row r="76" ht="15.7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</row>
    <row r="77" ht="15.7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</row>
    <row r="78" ht="15.7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</row>
    <row r="79" ht="15.7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</row>
    <row r="80" ht="15.7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</row>
    <row r="81" ht="15.7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</row>
    <row r="82" ht="15.7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</row>
    <row r="83" ht="15.7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</row>
    <row r="84" ht="15.7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</row>
    <row r="85" ht="15.7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</row>
    <row r="86" ht="15.7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</row>
    <row r="87" ht="15.7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</row>
    <row r="88" ht="15.7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</row>
    <row r="89" ht="15.7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</row>
    <row r="90" ht="15.7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</row>
    <row r="91" ht="15.7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</row>
    <row r="92" ht="15.7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</row>
    <row r="93" ht="15.7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</row>
    <row r="94" ht="15.7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</row>
    <row r="95" ht="15.7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</row>
    <row r="96" ht="15.7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</row>
    <row r="97" ht="15.7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</row>
    <row r="98" ht="15.7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</row>
    <row r="99" ht="15.7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</row>
    <row r="100" ht="15.7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</row>
    <row r="101" ht="15.7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</row>
    <row r="102" ht="15.7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</row>
    <row r="103" ht="15.7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</row>
    <row r="104" ht="15.7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</row>
    <row r="105" ht="15.7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</row>
    <row r="106" ht="15.7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</row>
    <row r="107" ht="15.7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</row>
    <row r="108" ht="15.7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</row>
    <row r="109" ht="15.7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</row>
    <row r="110" ht="15.7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</row>
    <row r="111" ht="15.7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</row>
    <row r="112" ht="15.7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</row>
    <row r="113" ht="15.7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</row>
    <row r="114" ht="15.7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</row>
    <row r="115" ht="15.7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</row>
    <row r="116" ht="15.7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</row>
    <row r="117" ht="15.7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</row>
    <row r="118" ht="15.7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</row>
    <row r="119" ht="15.7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</row>
    <row r="120" ht="15.7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</row>
    <row r="121" ht="15.7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</row>
    <row r="122" ht="15.7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</row>
    <row r="123" ht="15.7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</row>
    <row r="124" ht="15.7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</row>
    <row r="125" ht="15.7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</row>
    <row r="126" ht="15.7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</row>
    <row r="127" ht="15.7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</row>
    <row r="128" ht="15.7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</row>
    <row r="129" ht="15.7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</row>
    <row r="130" ht="15.7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</row>
    <row r="131" ht="15.7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</row>
    <row r="132" ht="15.7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</row>
    <row r="133" ht="15.7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</row>
    <row r="134" ht="15.7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</row>
    <row r="135" ht="15.7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</row>
    <row r="136" ht="15.7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</row>
    <row r="137" ht="15.7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</row>
    <row r="138" ht="15.7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</row>
    <row r="139" ht="15.7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</row>
    <row r="140" ht="15.7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</row>
    <row r="141" ht="15.7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</row>
    <row r="142" ht="15.7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</row>
    <row r="143" ht="15.7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</row>
    <row r="144" ht="15.7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</row>
    <row r="145" ht="15.7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</row>
    <row r="146" ht="15.7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</row>
    <row r="147" ht="15.7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</row>
    <row r="148" ht="15.7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</row>
    <row r="149" ht="15.7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</row>
    <row r="150" ht="15.7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</row>
    <row r="151" ht="15.7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</row>
    <row r="152" ht="15.7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</row>
    <row r="153" ht="15.7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</row>
    <row r="154" ht="15.7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</row>
    <row r="155" ht="15.7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</row>
    <row r="156" ht="15.7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</row>
    <row r="157" ht="15.7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</row>
    <row r="158" ht="15.7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</row>
    <row r="159" ht="15.7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</row>
    <row r="160" ht="15.7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</row>
    <row r="161" ht="15.7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</row>
    <row r="162" ht="15.7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</row>
    <row r="163" ht="15.7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</row>
    <row r="164" ht="15.7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</row>
    <row r="165" ht="15.7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</row>
    <row r="166" ht="15.7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</row>
    <row r="167" ht="15.7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</row>
    <row r="168" ht="15.7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</row>
    <row r="169" ht="15.7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</row>
    <row r="170" ht="15.7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</row>
    <row r="171" ht="15.7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</row>
    <row r="172" ht="15.7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</row>
    <row r="173" ht="15.7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</row>
    <row r="174" ht="15.7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</row>
    <row r="175" ht="15.7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</row>
    <row r="176" ht="15.7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</row>
    <row r="177" ht="15.7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</row>
    <row r="178" ht="15.7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</row>
    <row r="179" ht="15.7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</row>
    <row r="180" ht="15.7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</row>
    <row r="181" ht="15.7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</row>
    <row r="182" ht="15.7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</row>
    <row r="183" ht="15.7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</row>
    <row r="184" ht="15.7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</row>
    <row r="185" ht="15.7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</row>
    <row r="186" ht="15.7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</row>
    <row r="187" ht="15.7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</row>
    <row r="188" ht="15.7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</row>
    <row r="189" ht="15.7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</row>
    <row r="190" ht="15.7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</row>
    <row r="191" ht="15.7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</row>
    <row r="192" ht="15.7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</row>
    <row r="193" ht="15.7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</row>
    <row r="194" ht="15.7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</row>
    <row r="195" ht="15.7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</row>
    <row r="196" ht="15.7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</row>
    <row r="197" ht="15.7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</row>
    <row r="198" ht="15.7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</row>
    <row r="199" ht="15.7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</row>
    <row r="200" ht="15.7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</row>
    <row r="201" ht="15.7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</row>
    <row r="202" ht="15.7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</row>
    <row r="203" ht="15.7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</row>
    <row r="204" ht="15.7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</row>
    <row r="205" ht="15.7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</row>
    <row r="206" ht="15.7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</row>
    <row r="207" ht="15.7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</row>
    <row r="208" ht="15.7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</row>
    <row r="209" ht="15.7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</row>
    <row r="210" ht="15.7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</row>
    <row r="211" ht="15.7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</row>
    <row r="212" ht="15.7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</row>
    <row r="213" ht="15.7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</row>
    <row r="214" ht="15.7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</row>
    <row r="215" ht="15.7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</row>
    <row r="216" ht="15.7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</row>
    <row r="217" ht="15.7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</row>
    <row r="218" ht="15.7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</row>
    <row r="219" ht="15.7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</row>
    <row r="220" ht="15.7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</row>
    <row r="221" ht="15.7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</row>
    <row r="222" ht="15.7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</row>
    <row r="223" ht="15.7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</row>
    <row r="224" ht="15.7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</row>
    <row r="225" ht="15.7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</row>
    <row r="226" ht="15.7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</row>
    <row r="227" ht="15.7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</row>
    <row r="228" ht="15.7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</row>
    <row r="229" ht="15.7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</row>
    <row r="230" ht="15.7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</row>
    <row r="231" ht="15.75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</row>
    <row r="232" ht="15.75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</row>
    <row r="233" ht="15.75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</row>
    <row r="234" ht="15.75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</row>
    <row r="235" ht="15.75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</row>
    <row r="236" ht="15.75" customHeigh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</row>
    <row r="237" ht="15.75" customHeigh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</row>
    <row r="238" ht="15.75" customHeigh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</row>
    <row r="239" ht="15.75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</row>
    <row r="240" ht="15.75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</row>
    <row r="241" ht="15.75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</row>
    <row r="242" ht="15.75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</row>
    <row r="243" ht="15.75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</row>
    <row r="244" ht="15.75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</row>
    <row r="245" ht="15.75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</row>
    <row r="246" ht="15.75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</row>
    <row r="247" ht="15.75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</row>
    <row r="248" ht="15.75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</row>
    <row r="249" ht="15.75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</row>
    <row r="250" ht="15.75" customHeigh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</row>
    <row r="251" ht="15.75" customHeigh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</row>
    <row r="252" ht="15.75" customHeigh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</row>
    <row r="253" ht="15.75" customHeight="1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</row>
    <row r="254" ht="15.75" customHeight="1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</row>
    <row r="255" ht="15.75" customHeight="1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</row>
    <row r="256" ht="15.75" customHeight="1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</row>
    <row r="257" ht="15.75" customHeight="1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</row>
    <row r="258" ht="15.75" customHeight="1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</row>
    <row r="259" ht="15.75" customHeight="1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</row>
    <row r="260" ht="15.75" customHeight="1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</row>
    <row r="261" ht="15.75" customHeight="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</row>
    <row r="262" ht="15.75" customHeight="1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</row>
    <row r="263" ht="15.75" customHeight="1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</row>
    <row r="264" ht="15.75" customHeigh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</row>
    <row r="265" ht="15.75" customHeight="1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</row>
    <row r="266" ht="15.75" customHeight="1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</row>
    <row r="267" ht="15.75" customHeight="1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</row>
    <row r="268" ht="15.75" customHeight="1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</row>
    <row r="269" ht="15.75" customHeight="1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</row>
    <row r="270" ht="15.75" customHeight="1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</row>
    <row r="271" ht="15.75" customHeight="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</row>
    <row r="272" ht="15.75" customHeight="1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</row>
    <row r="273" ht="15.75" customHeight="1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</row>
    <row r="274" ht="15.75" customHeight="1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</row>
    <row r="275" ht="15.75" customHeight="1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</row>
    <row r="276" ht="15.75" customHeight="1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</row>
    <row r="277" ht="15.75" customHeight="1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</row>
    <row r="278" ht="15.75" customHeight="1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</row>
    <row r="279" ht="15.75" customHeight="1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</row>
    <row r="280" ht="15.75" customHeight="1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</row>
    <row r="281" ht="15.75" customHeight="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</row>
    <row r="282" ht="15.75" customHeight="1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</row>
    <row r="283" ht="15.75" customHeight="1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</row>
    <row r="284" ht="15.75" customHeight="1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</row>
    <row r="285" ht="15.75" customHeight="1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</row>
    <row r="286" ht="15.75" customHeight="1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</row>
    <row r="287" ht="15.75" customHeight="1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</row>
    <row r="288" ht="15.75" customHeight="1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</row>
    <row r="289" ht="15.75" customHeight="1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</row>
    <row r="290" ht="15.75" customHeight="1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</row>
    <row r="291" ht="15.75" customHeight="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</row>
    <row r="292" ht="15.75" customHeight="1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</row>
    <row r="293" ht="15.75" customHeight="1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</row>
    <row r="294" ht="15.75" customHeight="1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</row>
    <row r="295" ht="15.75" customHeight="1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</row>
    <row r="296" ht="15.75" customHeight="1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</row>
    <row r="297" ht="15.75" customHeight="1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</row>
    <row r="298" ht="15.75" customHeight="1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</row>
    <row r="299" ht="15.75" customHeight="1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</row>
    <row r="300" ht="15.75" customHeight="1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</row>
    <row r="301" ht="15.75" customHeight="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</row>
    <row r="302" ht="15.75" customHeight="1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</row>
    <row r="303" ht="15.75" customHeight="1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</row>
    <row r="304" ht="15.75" customHeight="1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</row>
    <row r="305" ht="15.75" customHeight="1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</row>
    <row r="306" ht="15.75" customHeight="1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</row>
    <row r="307" ht="15.75" customHeight="1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</row>
    <row r="308" ht="15.75" customHeight="1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</row>
    <row r="309" ht="15.75" customHeight="1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</row>
    <row r="310" ht="15.75" customHeight="1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</row>
    <row r="311" ht="15.75" customHeigh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</row>
    <row r="312" ht="15.75" customHeight="1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</row>
    <row r="313" ht="15.75" customHeight="1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</row>
    <row r="314" ht="15.75" customHeight="1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</row>
    <row r="315" ht="15.75" customHeight="1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</row>
    <row r="316" ht="15.75" customHeight="1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</row>
    <row r="317" ht="15.75" customHeight="1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</row>
    <row r="318" ht="15.75" customHeight="1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</row>
    <row r="319" ht="15.75" customHeight="1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</row>
    <row r="320" ht="15.75" customHeight="1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</row>
    <row r="321" ht="15.75" customHeight="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</row>
    <row r="322" ht="15.75" customHeight="1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</row>
    <row r="323" ht="15.75" customHeight="1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</row>
    <row r="324" ht="15.75" customHeight="1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</row>
    <row r="325" ht="15.75" customHeight="1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</row>
    <row r="326" ht="15.75" customHeight="1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</row>
    <row r="327" ht="15.75" customHeight="1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</row>
    <row r="328" ht="15.75" customHeight="1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</row>
    <row r="329" ht="15.75" customHeight="1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</row>
    <row r="330" ht="15.75" customHeight="1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</row>
    <row r="331" ht="15.75" customHeight="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</row>
    <row r="332" ht="15.75" customHeight="1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</row>
    <row r="333" ht="15.75" customHeight="1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</row>
    <row r="334" ht="15.75" customHeight="1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</row>
    <row r="335" ht="15.75" customHeight="1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</row>
    <row r="336" ht="15.75" customHeight="1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</row>
    <row r="337" ht="15.75" customHeight="1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</row>
    <row r="338" ht="15.75" customHeight="1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</row>
    <row r="339" ht="15.75" customHeight="1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</row>
    <row r="340" ht="15.75" customHeight="1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</row>
    <row r="341" ht="15.75" customHeight="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</row>
    <row r="342" ht="15.75" customHeight="1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</row>
    <row r="343" ht="15.75" customHeight="1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</row>
    <row r="344" ht="15.75" customHeight="1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</row>
    <row r="345" ht="15.75" customHeight="1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</row>
    <row r="346" ht="15.75" customHeight="1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</row>
    <row r="347" ht="15.75" customHeight="1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</row>
    <row r="348" ht="15.75" customHeight="1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</row>
    <row r="349" ht="15.75" customHeight="1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</row>
    <row r="350" ht="15.75" customHeight="1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</row>
    <row r="351" ht="15.75" customHeight="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</row>
    <row r="352" ht="15.75" customHeight="1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</row>
    <row r="353" ht="15.75" customHeight="1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</row>
    <row r="354" ht="15.75" customHeight="1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</row>
    <row r="355" ht="15.75" customHeight="1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</row>
    <row r="356" ht="15.75" customHeight="1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</row>
    <row r="357" ht="15.75" customHeight="1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</row>
    <row r="358" ht="15.75" customHeight="1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</row>
    <row r="359" ht="15.75" customHeight="1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</row>
    <row r="360" ht="15.75" customHeight="1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</row>
    <row r="361" ht="15.75" customHeight="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</row>
    <row r="362" ht="15.75" customHeight="1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</row>
    <row r="363" ht="15.75" customHeight="1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</row>
    <row r="364" ht="15.75" customHeight="1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</row>
    <row r="365" ht="15.75" customHeight="1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</row>
    <row r="366" ht="15.75" customHeight="1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</row>
    <row r="367" ht="15.75" customHeight="1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</row>
    <row r="368" ht="15.75" customHeight="1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</row>
    <row r="369" ht="15.75" customHeight="1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</row>
    <row r="370" ht="15.75" customHeight="1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</row>
    <row r="371" ht="15.75" customHeight="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</row>
    <row r="372" ht="15.75" customHeight="1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</row>
    <row r="373" ht="15.75" customHeight="1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</row>
    <row r="374" ht="15.75" customHeight="1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</row>
    <row r="375" ht="15.75" customHeight="1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</row>
    <row r="376" ht="15.75" customHeight="1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</row>
    <row r="377" ht="15.75" customHeight="1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</row>
    <row r="378" ht="15.75" customHeight="1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</row>
    <row r="379" ht="15.75" customHeight="1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</row>
    <row r="380" ht="15.75" customHeight="1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</row>
    <row r="381" ht="15.75" customHeight="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</row>
    <row r="382" ht="15.75" customHeight="1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</row>
    <row r="383" ht="15.75" customHeight="1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</row>
    <row r="384" ht="15.75" customHeight="1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</row>
    <row r="385" ht="15.75" customHeight="1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</row>
    <row r="386" ht="15.75" customHeight="1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</row>
    <row r="387" ht="15.75" customHeight="1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</row>
    <row r="388" ht="15.75" customHeight="1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</row>
    <row r="389" ht="15.75" customHeight="1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</row>
    <row r="390" ht="15.75" customHeight="1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</row>
    <row r="391" ht="15.75" customHeight="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</row>
    <row r="392" ht="15.75" customHeight="1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</row>
    <row r="393" ht="15.75" customHeight="1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</row>
    <row r="394" ht="15.75" customHeight="1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</row>
    <row r="395" ht="15.75" customHeight="1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</row>
    <row r="396" ht="15.75" customHeight="1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</row>
    <row r="397" ht="15.75" customHeight="1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</row>
    <row r="398" ht="15.75" customHeight="1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</row>
    <row r="399" ht="15.75" customHeight="1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</row>
    <row r="400" ht="15.75" customHeight="1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</row>
    <row r="401" ht="15.75" customHeight="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</row>
    <row r="402" ht="15.75" customHeight="1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</row>
    <row r="403" ht="15.75" customHeight="1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</row>
    <row r="404" ht="15.75" customHeight="1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</row>
    <row r="405" ht="15.75" customHeight="1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</row>
    <row r="406" ht="15.75" customHeight="1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</row>
    <row r="407" ht="15.75" customHeight="1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</row>
    <row r="408" ht="15.75" customHeight="1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</row>
    <row r="409" ht="15.75" customHeight="1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</row>
    <row r="410" ht="15.75" customHeight="1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</row>
    <row r="411" ht="15.75" customHeight="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</row>
    <row r="412" ht="15.75" customHeight="1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</row>
    <row r="413" ht="15.75" customHeight="1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</row>
    <row r="414" ht="15.75" customHeight="1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</row>
    <row r="415" ht="15.75" customHeight="1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</row>
    <row r="416" ht="15.75" customHeight="1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</row>
    <row r="417" ht="15.75" customHeight="1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</row>
    <row r="418" ht="15.75" customHeight="1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</row>
    <row r="419" ht="15.75" customHeight="1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</row>
    <row r="420" ht="15.75" customHeight="1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</row>
    <row r="421" ht="15.75" customHeight="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</row>
    <row r="422" ht="15.75" customHeight="1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</row>
    <row r="423" ht="15.75" customHeight="1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</row>
    <row r="424" ht="15.75" customHeight="1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</row>
    <row r="425" ht="15.75" customHeight="1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</row>
    <row r="426" ht="15.75" customHeight="1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</row>
    <row r="427" ht="15.75" customHeight="1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</row>
    <row r="428" ht="15.75" customHeight="1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</row>
    <row r="429" ht="15.75" customHeight="1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</row>
    <row r="430" ht="15.75" customHeight="1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</row>
    <row r="431" ht="15.75" customHeight="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</row>
    <row r="432" ht="15.75" customHeight="1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</row>
    <row r="433" ht="15.75" customHeight="1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</row>
    <row r="434" ht="15.75" customHeight="1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</row>
    <row r="435" ht="15.75" customHeight="1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</row>
    <row r="436" ht="15.75" customHeight="1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</row>
    <row r="437" ht="15.75" customHeight="1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</row>
    <row r="438" ht="15.75" customHeight="1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</row>
    <row r="439" ht="15.75" customHeight="1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</row>
    <row r="440" ht="15.75" customHeight="1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</row>
    <row r="441" ht="15.75" customHeight="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</row>
    <row r="442" ht="15.75" customHeight="1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</row>
    <row r="443" ht="15.75" customHeight="1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</row>
    <row r="444" ht="15.75" customHeight="1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</row>
    <row r="445" ht="15.75" customHeight="1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</row>
    <row r="446" ht="15.75" customHeight="1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</row>
    <row r="447" ht="15.75" customHeight="1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</row>
    <row r="448" ht="15.75" customHeight="1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</row>
    <row r="449" ht="15.75" customHeight="1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</row>
    <row r="450" ht="15.75" customHeight="1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</row>
    <row r="451" ht="15.75" customHeight="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</row>
    <row r="452" ht="15.75" customHeight="1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</row>
    <row r="453" ht="15.75" customHeight="1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</row>
    <row r="454" ht="15.75" customHeight="1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</row>
    <row r="455" ht="15.75" customHeight="1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</row>
    <row r="456" ht="15.75" customHeight="1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</row>
    <row r="457" ht="15.75" customHeight="1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</row>
    <row r="458" ht="15.75" customHeight="1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</row>
    <row r="459" ht="15.75" customHeight="1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</row>
    <row r="460" ht="15.75" customHeight="1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</row>
    <row r="461" ht="15.75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</row>
    <row r="462" ht="15.75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</row>
    <row r="463" ht="15.75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</row>
    <row r="464" ht="15.75" customHeight="1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</row>
    <row r="465" ht="15.75" customHeight="1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</row>
    <row r="466" ht="15.75" customHeight="1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</row>
    <row r="467" ht="15.75" customHeight="1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</row>
    <row r="468" ht="15.75" customHeight="1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</row>
    <row r="469" ht="15.75" customHeight="1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</row>
    <row r="470" ht="15.75" customHeight="1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  <c r="AU470" s="80"/>
    </row>
    <row r="471" ht="15.75" customHeight="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0"/>
      <c r="AU471" s="80"/>
    </row>
    <row r="472" ht="15.75" customHeight="1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0"/>
      <c r="AU472" s="80"/>
    </row>
    <row r="473" ht="15.75" customHeight="1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0"/>
      <c r="AU473" s="80"/>
    </row>
    <row r="474" ht="15.75" customHeight="1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  <c r="AU474" s="80"/>
    </row>
    <row r="475" ht="15.75" customHeight="1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</row>
    <row r="476" ht="15.75" customHeight="1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</row>
    <row r="477" ht="15.75" customHeight="1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</row>
    <row r="478" ht="15.75" customHeight="1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</row>
    <row r="479" ht="15.75" customHeight="1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</row>
    <row r="480" ht="15.75" customHeight="1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</row>
    <row r="481" ht="15.75" customHeight="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</row>
    <row r="482" ht="15.75" customHeight="1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</row>
    <row r="483" ht="15.75" customHeight="1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</row>
    <row r="484" ht="15.75" customHeight="1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</row>
    <row r="485" ht="15.75" customHeight="1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  <c r="AU485" s="80"/>
    </row>
    <row r="486" ht="15.75" customHeight="1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</row>
    <row r="487" ht="15.75" customHeight="1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  <c r="AU487" s="80"/>
    </row>
    <row r="488" ht="15.75" customHeight="1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0"/>
      <c r="AU488" s="80"/>
    </row>
    <row r="489" ht="15.75" customHeight="1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  <c r="AU489" s="80"/>
    </row>
    <row r="490" ht="15.75" customHeight="1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</row>
    <row r="491" ht="15.75" customHeight="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</row>
    <row r="492" ht="15.75" customHeight="1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</row>
    <row r="493" ht="15.75" customHeight="1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  <c r="AU493" s="80"/>
    </row>
    <row r="494" ht="15.75" customHeight="1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  <c r="AU494" s="80"/>
    </row>
    <row r="495" ht="15.75" customHeight="1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  <c r="AU495" s="80"/>
    </row>
    <row r="496" ht="15.75" customHeight="1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  <c r="AU496" s="80"/>
    </row>
    <row r="497" ht="15.75" customHeight="1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</row>
    <row r="498" ht="15.75" customHeight="1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  <c r="AU498" s="80"/>
    </row>
    <row r="499" ht="15.75" customHeight="1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  <c r="AU499" s="80"/>
    </row>
    <row r="500" ht="15.75" customHeight="1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  <c r="AU500" s="80"/>
    </row>
    <row r="501" ht="15.75" customHeight="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  <c r="AN501" s="80"/>
      <c r="AO501" s="80"/>
      <c r="AP501" s="80"/>
      <c r="AQ501" s="80"/>
      <c r="AR501" s="80"/>
      <c r="AS501" s="80"/>
      <c r="AT501" s="80"/>
      <c r="AU501" s="80"/>
    </row>
    <row r="502" ht="15.75" customHeight="1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  <c r="AJ502" s="80"/>
      <c r="AK502" s="80"/>
      <c r="AL502" s="80"/>
      <c r="AM502" s="80"/>
      <c r="AN502" s="80"/>
      <c r="AO502" s="80"/>
      <c r="AP502" s="80"/>
      <c r="AQ502" s="80"/>
      <c r="AR502" s="80"/>
      <c r="AS502" s="80"/>
      <c r="AT502" s="80"/>
      <c r="AU502" s="80"/>
    </row>
    <row r="503" ht="15.75" customHeight="1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  <c r="AN503" s="80"/>
      <c r="AO503" s="80"/>
      <c r="AP503" s="80"/>
      <c r="AQ503" s="80"/>
      <c r="AR503" s="80"/>
      <c r="AS503" s="80"/>
      <c r="AT503" s="80"/>
      <c r="AU503" s="80"/>
    </row>
    <row r="504" ht="15.75" customHeight="1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  <c r="AJ504" s="80"/>
      <c r="AK504" s="80"/>
      <c r="AL504" s="80"/>
      <c r="AM504" s="80"/>
      <c r="AN504" s="80"/>
      <c r="AO504" s="80"/>
      <c r="AP504" s="80"/>
      <c r="AQ504" s="80"/>
      <c r="AR504" s="80"/>
      <c r="AS504" s="80"/>
      <c r="AT504" s="80"/>
      <c r="AU504" s="80"/>
    </row>
    <row r="505" ht="15.75" customHeight="1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  <c r="AN505" s="80"/>
      <c r="AO505" s="80"/>
      <c r="AP505" s="80"/>
      <c r="AQ505" s="80"/>
      <c r="AR505" s="80"/>
      <c r="AS505" s="80"/>
      <c r="AT505" s="80"/>
      <c r="AU505" s="80"/>
    </row>
    <row r="506" ht="15.75" customHeight="1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  <c r="AJ506" s="80"/>
      <c r="AK506" s="80"/>
      <c r="AL506" s="80"/>
      <c r="AM506" s="80"/>
      <c r="AN506" s="80"/>
      <c r="AO506" s="80"/>
      <c r="AP506" s="80"/>
      <c r="AQ506" s="80"/>
      <c r="AR506" s="80"/>
      <c r="AS506" s="80"/>
      <c r="AT506" s="80"/>
      <c r="AU506" s="80"/>
    </row>
    <row r="507" ht="15.75" customHeight="1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  <c r="AN507" s="80"/>
      <c r="AO507" s="80"/>
      <c r="AP507" s="80"/>
      <c r="AQ507" s="80"/>
      <c r="AR507" s="80"/>
      <c r="AS507" s="80"/>
      <c r="AT507" s="80"/>
      <c r="AU507" s="80"/>
    </row>
    <row r="508" ht="15.75" customHeight="1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  <c r="AN508" s="80"/>
      <c r="AO508" s="80"/>
      <c r="AP508" s="80"/>
      <c r="AQ508" s="80"/>
      <c r="AR508" s="80"/>
      <c r="AS508" s="80"/>
      <c r="AT508" s="80"/>
      <c r="AU508" s="80"/>
    </row>
    <row r="509" ht="15.75" customHeight="1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80"/>
      <c r="AM509" s="80"/>
      <c r="AN509" s="80"/>
      <c r="AO509" s="80"/>
      <c r="AP509" s="80"/>
      <c r="AQ509" s="80"/>
      <c r="AR509" s="80"/>
      <c r="AS509" s="80"/>
      <c r="AT509" s="80"/>
      <c r="AU509" s="80"/>
    </row>
    <row r="510" ht="15.75" customHeight="1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  <c r="AJ510" s="80"/>
      <c r="AK510" s="80"/>
      <c r="AL510" s="80"/>
      <c r="AM510" s="80"/>
      <c r="AN510" s="80"/>
      <c r="AO510" s="80"/>
      <c r="AP510" s="80"/>
      <c r="AQ510" s="80"/>
      <c r="AR510" s="80"/>
      <c r="AS510" s="80"/>
      <c r="AT510" s="80"/>
      <c r="AU510" s="80"/>
    </row>
    <row r="511" ht="15.75" customHeight="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  <c r="AJ511" s="80"/>
      <c r="AK511" s="80"/>
      <c r="AL511" s="80"/>
      <c r="AM511" s="80"/>
      <c r="AN511" s="80"/>
      <c r="AO511" s="80"/>
      <c r="AP511" s="80"/>
      <c r="AQ511" s="80"/>
      <c r="AR511" s="80"/>
      <c r="AS511" s="80"/>
      <c r="AT511" s="80"/>
      <c r="AU511" s="80"/>
    </row>
    <row r="512" ht="15.75" customHeight="1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  <c r="AN512" s="80"/>
      <c r="AO512" s="80"/>
      <c r="AP512" s="80"/>
      <c r="AQ512" s="80"/>
      <c r="AR512" s="80"/>
      <c r="AS512" s="80"/>
      <c r="AT512" s="80"/>
      <c r="AU512" s="80"/>
    </row>
    <row r="513" ht="15.75" customHeight="1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0"/>
      <c r="AO513" s="80"/>
      <c r="AP513" s="80"/>
      <c r="AQ513" s="80"/>
      <c r="AR513" s="80"/>
      <c r="AS513" s="80"/>
      <c r="AT513" s="80"/>
      <c r="AU513" s="80"/>
    </row>
    <row r="514" ht="15.75" customHeight="1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0"/>
      <c r="AO514" s="80"/>
      <c r="AP514" s="80"/>
      <c r="AQ514" s="80"/>
      <c r="AR514" s="80"/>
      <c r="AS514" s="80"/>
      <c r="AT514" s="80"/>
      <c r="AU514" s="80"/>
    </row>
    <row r="515" ht="15.75" customHeight="1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0"/>
      <c r="AO515" s="80"/>
      <c r="AP515" s="80"/>
      <c r="AQ515" s="80"/>
      <c r="AR515" s="80"/>
      <c r="AS515" s="80"/>
      <c r="AT515" s="80"/>
      <c r="AU515" s="80"/>
    </row>
    <row r="516" ht="15.75" customHeight="1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0"/>
      <c r="AO516" s="80"/>
      <c r="AP516" s="80"/>
      <c r="AQ516" s="80"/>
      <c r="AR516" s="80"/>
      <c r="AS516" s="80"/>
      <c r="AT516" s="80"/>
      <c r="AU516" s="80"/>
    </row>
    <row r="517" ht="15.75" customHeight="1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0"/>
      <c r="AO517" s="80"/>
      <c r="AP517" s="80"/>
      <c r="AQ517" s="80"/>
      <c r="AR517" s="80"/>
      <c r="AS517" s="80"/>
      <c r="AT517" s="80"/>
      <c r="AU517" s="80"/>
    </row>
    <row r="518" ht="15.75" customHeight="1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0"/>
      <c r="AO518" s="80"/>
      <c r="AP518" s="80"/>
      <c r="AQ518" s="80"/>
      <c r="AR518" s="80"/>
      <c r="AS518" s="80"/>
      <c r="AT518" s="80"/>
      <c r="AU518" s="80"/>
    </row>
    <row r="519" ht="15.75" customHeight="1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0"/>
      <c r="AO519" s="80"/>
      <c r="AP519" s="80"/>
      <c r="AQ519" s="80"/>
      <c r="AR519" s="80"/>
      <c r="AS519" s="80"/>
      <c r="AT519" s="80"/>
      <c r="AU519" s="80"/>
    </row>
    <row r="520" ht="15.75" customHeight="1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0"/>
      <c r="AO520" s="80"/>
      <c r="AP520" s="80"/>
      <c r="AQ520" s="80"/>
      <c r="AR520" s="80"/>
      <c r="AS520" s="80"/>
      <c r="AT520" s="80"/>
      <c r="AU520" s="80"/>
    </row>
    <row r="521" ht="15.75" customHeight="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  <c r="AJ521" s="80"/>
      <c r="AK521" s="80"/>
      <c r="AL521" s="80"/>
      <c r="AM521" s="80"/>
      <c r="AN521" s="80"/>
      <c r="AO521" s="80"/>
      <c r="AP521" s="80"/>
      <c r="AQ521" s="80"/>
      <c r="AR521" s="80"/>
      <c r="AS521" s="80"/>
      <c r="AT521" s="80"/>
      <c r="AU521" s="80"/>
    </row>
    <row r="522" ht="15.75" customHeight="1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  <c r="AJ522" s="80"/>
      <c r="AK522" s="80"/>
      <c r="AL522" s="80"/>
      <c r="AM522" s="80"/>
      <c r="AN522" s="80"/>
      <c r="AO522" s="80"/>
      <c r="AP522" s="80"/>
      <c r="AQ522" s="80"/>
      <c r="AR522" s="80"/>
      <c r="AS522" s="80"/>
      <c r="AT522" s="80"/>
      <c r="AU522" s="80"/>
    </row>
    <row r="523" ht="15.75" customHeight="1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  <c r="AJ523" s="80"/>
      <c r="AK523" s="80"/>
      <c r="AL523" s="80"/>
      <c r="AM523" s="80"/>
      <c r="AN523" s="80"/>
      <c r="AO523" s="80"/>
      <c r="AP523" s="80"/>
      <c r="AQ523" s="80"/>
      <c r="AR523" s="80"/>
      <c r="AS523" s="80"/>
      <c r="AT523" s="80"/>
      <c r="AU523" s="80"/>
    </row>
    <row r="524" ht="15.75" customHeight="1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  <c r="AJ524" s="80"/>
      <c r="AK524" s="80"/>
      <c r="AL524" s="80"/>
      <c r="AM524" s="80"/>
      <c r="AN524" s="80"/>
      <c r="AO524" s="80"/>
      <c r="AP524" s="80"/>
      <c r="AQ524" s="80"/>
      <c r="AR524" s="80"/>
      <c r="AS524" s="80"/>
      <c r="AT524" s="80"/>
      <c r="AU524" s="80"/>
    </row>
    <row r="525" ht="15.75" customHeight="1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0"/>
      <c r="AO525" s="80"/>
      <c r="AP525" s="80"/>
      <c r="AQ525" s="80"/>
      <c r="AR525" s="80"/>
      <c r="AS525" s="80"/>
      <c r="AT525" s="80"/>
      <c r="AU525" s="80"/>
    </row>
    <row r="526" ht="15.75" customHeight="1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0"/>
      <c r="AO526" s="80"/>
      <c r="AP526" s="80"/>
      <c r="AQ526" s="80"/>
      <c r="AR526" s="80"/>
      <c r="AS526" s="80"/>
      <c r="AT526" s="80"/>
      <c r="AU526" s="80"/>
    </row>
    <row r="527" ht="15.75" customHeight="1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0"/>
      <c r="AO527" s="80"/>
      <c r="AP527" s="80"/>
      <c r="AQ527" s="80"/>
      <c r="AR527" s="80"/>
      <c r="AS527" s="80"/>
      <c r="AT527" s="80"/>
      <c r="AU527" s="80"/>
    </row>
    <row r="528" ht="15.75" customHeight="1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0"/>
      <c r="AO528" s="80"/>
      <c r="AP528" s="80"/>
      <c r="AQ528" s="80"/>
      <c r="AR528" s="80"/>
      <c r="AS528" s="80"/>
      <c r="AT528" s="80"/>
      <c r="AU528" s="80"/>
    </row>
    <row r="529" ht="15.75" customHeight="1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80"/>
      <c r="AM529" s="80"/>
      <c r="AN529" s="80"/>
      <c r="AO529" s="80"/>
      <c r="AP529" s="80"/>
      <c r="AQ529" s="80"/>
      <c r="AR529" s="80"/>
      <c r="AS529" s="80"/>
      <c r="AT529" s="80"/>
      <c r="AU529" s="80"/>
    </row>
    <row r="530" ht="15.75" customHeight="1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  <c r="AJ530" s="80"/>
      <c r="AK530" s="80"/>
      <c r="AL530" s="80"/>
      <c r="AM530" s="80"/>
      <c r="AN530" s="80"/>
      <c r="AO530" s="80"/>
      <c r="AP530" s="80"/>
      <c r="AQ530" s="80"/>
      <c r="AR530" s="80"/>
      <c r="AS530" s="80"/>
      <c r="AT530" s="80"/>
      <c r="AU530" s="80"/>
    </row>
    <row r="531" ht="15.75" customHeight="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0"/>
      <c r="AO531" s="80"/>
      <c r="AP531" s="80"/>
      <c r="AQ531" s="80"/>
      <c r="AR531" s="80"/>
      <c r="AS531" s="80"/>
      <c r="AT531" s="80"/>
      <c r="AU531" s="80"/>
    </row>
    <row r="532" ht="15.75" customHeight="1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0"/>
      <c r="AO532" s="80"/>
      <c r="AP532" s="80"/>
      <c r="AQ532" s="80"/>
      <c r="AR532" s="80"/>
      <c r="AS532" s="80"/>
      <c r="AT532" s="80"/>
      <c r="AU532" s="80"/>
    </row>
    <row r="533" ht="15.75" customHeight="1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0"/>
      <c r="AO533" s="80"/>
      <c r="AP533" s="80"/>
      <c r="AQ533" s="80"/>
      <c r="AR533" s="80"/>
      <c r="AS533" s="80"/>
      <c r="AT533" s="80"/>
      <c r="AU533" s="80"/>
    </row>
    <row r="534" ht="15.75" customHeight="1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0"/>
      <c r="AO534" s="80"/>
      <c r="AP534" s="80"/>
      <c r="AQ534" s="80"/>
      <c r="AR534" s="80"/>
      <c r="AS534" s="80"/>
      <c r="AT534" s="80"/>
      <c r="AU534" s="80"/>
    </row>
    <row r="535" ht="15.75" customHeight="1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0"/>
      <c r="AO535" s="80"/>
      <c r="AP535" s="80"/>
      <c r="AQ535" s="80"/>
      <c r="AR535" s="80"/>
      <c r="AS535" s="80"/>
      <c r="AT535" s="80"/>
      <c r="AU535" s="80"/>
    </row>
    <row r="536" ht="15.75" customHeight="1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/>
      <c r="AO536" s="80"/>
      <c r="AP536" s="80"/>
      <c r="AQ536" s="80"/>
      <c r="AR536" s="80"/>
      <c r="AS536" s="80"/>
      <c r="AT536" s="80"/>
      <c r="AU536" s="80"/>
    </row>
    <row r="537" ht="15.75" customHeight="1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0"/>
      <c r="AO537" s="80"/>
      <c r="AP537" s="80"/>
      <c r="AQ537" s="80"/>
      <c r="AR537" s="80"/>
      <c r="AS537" s="80"/>
      <c r="AT537" s="80"/>
      <c r="AU537" s="80"/>
    </row>
    <row r="538" ht="15.75" customHeight="1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0"/>
      <c r="AO538" s="80"/>
      <c r="AP538" s="80"/>
      <c r="AQ538" s="80"/>
      <c r="AR538" s="80"/>
      <c r="AS538" s="80"/>
      <c r="AT538" s="80"/>
      <c r="AU538" s="80"/>
    </row>
    <row r="539" ht="15.75" customHeight="1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0"/>
      <c r="AO539" s="80"/>
      <c r="AP539" s="80"/>
      <c r="AQ539" s="80"/>
      <c r="AR539" s="80"/>
      <c r="AS539" s="80"/>
      <c r="AT539" s="80"/>
      <c r="AU539" s="80"/>
    </row>
    <row r="540" ht="15.75" customHeight="1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0"/>
      <c r="AT540" s="80"/>
      <c r="AU540" s="80"/>
    </row>
    <row r="541" ht="15.75" customHeight="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0"/>
      <c r="AP541" s="80"/>
      <c r="AQ541" s="80"/>
      <c r="AR541" s="80"/>
      <c r="AS541" s="80"/>
      <c r="AT541" s="80"/>
      <c r="AU541" s="80"/>
    </row>
    <row r="542" ht="15.75" customHeight="1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  <c r="AJ542" s="80"/>
      <c r="AK542" s="80"/>
      <c r="AL542" s="80"/>
      <c r="AM542" s="80"/>
      <c r="AN542" s="80"/>
      <c r="AO542" s="80"/>
      <c r="AP542" s="80"/>
      <c r="AQ542" s="80"/>
      <c r="AR542" s="80"/>
      <c r="AS542" s="80"/>
      <c r="AT542" s="80"/>
      <c r="AU542" s="80"/>
    </row>
    <row r="543" ht="15.75" customHeight="1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  <c r="AJ543" s="80"/>
      <c r="AK543" s="80"/>
      <c r="AL543" s="80"/>
      <c r="AM543" s="80"/>
      <c r="AN543" s="80"/>
      <c r="AO543" s="80"/>
      <c r="AP543" s="80"/>
      <c r="AQ543" s="80"/>
      <c r="AR543" s="80"/>
      <c r="AS543" s="80"/>
      <c r="AT543" s="80"/>
      <c r="AU543" s="80"/>
    </row>
    <row r="544" ht="15.75" customHeight="1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  <c r="AJ544" s="80"/>
      <c r="AK544" s="80"/>
      <c r="AL544" s="80"/>
      <c r="AM544" s="80"/>
      <c r="AN544" s="80"/>
      <c r="AO544" s="80"/>
      <c r="AP544" s="80"/>
      <c r="AQ544" s="80"/>
      <c r="AR544" s="80"/>
      <c r="AS544" s="80"/>
      <c r="AT544" s="80"/>
      <c r="AU544" s="80"/>
    </row>
    <row r="545" ht="15.75" customHeight="1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  <c r="AJ545" s="80"/>
      <c r="AK545" s="80"/>
      <c r="AL545" s="80"/>
      <c r="AM545" s="80"/>
      <c r="AN545" s="80"/>
      <c r="AO545" s="80"/>
      <c r="AP545" s="80"/>
      <c r="AQ545" s="80"/>
      <c r="AR545" s="80"/>
      <c r="AS545" s="80"/>
      <c r="AT545" s="80"/>
      <c r="AU545" s="80"/>
    </row>
    <row r="546" ht="15.75" customHeight="1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80"/>
      <c r="AM546" s="80"/>
      <c r="AN546" s="80"/>
      <c r="AO546" s="80"/>
      <c r="AP546" s="80"/>
      <c r="AQ546" s="80"/>
      <c r="AR546" s="80"/>
      <c r="AS546" s="80"/>
      <c r="AT546" s="80"/>
      <c r="AU546" s="80"/>
    </row>
    <row r="547" ht="15.75" customHeight="1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  <c r="AJ547" s="80"/>
      <c r="AK547" s="80"/>
      <c r="AL547" s="80"/>
      <c r="AM547" s="80"/>
      <c r="AN547" s="80"/>
      <c r="AO547" s="80"/>
      <c r="AP547" s="80"/>
      <c r="AQ547" s="80"/>
      <c r="AR547" s="80"/>
      <c r="AS547" s="80"/>
      <c r="AT547" s="80"/>
      <c r="AU547" s="80"/>
    </row>
    <row r="548" ht="15.75" customHeight="1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  <c r="AJ548" s="80"/>
      <c r="AK548" s="80"/>
      <c r="AL548" s="80"/>
      <c r="AM548" s="80"/>
      <c r="AN548" s="80"/>
      <c r="AO548" s="80"/>
      <c r="AP548" s="80"/>
      <c r="AQ548" s="80"/>
      <c r="AR548" s="80"/>
      <c r="AS548" s="80"/>
      <c r="AT548" s="80"/>
      <c r="AU548" s="80"/>
    </row>
    <row r="549" ht="15.75" customHeight="1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  <c r="AJ549" s="80"/>
      <c r="AK549" s="80"/>
      <c r="AL549" s="80"/>
      <c r="AM549" s="80"/>
      <c r="AN549" s="80"/>
      <c r="AO549" s="80"/>
      <c r="AP549" s="80"/>
      <c r="AQ549" s="80"/>
      <c r="AR549" s="80"/>
      <c r="AS549" s="80"/>
      <c r="AT549" s="80"/>
      <c r="AU549" s="80"/>
    </row>
    <row r="550" ht="15.75" customHeight="1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0"/>
      <c r="AO550" s="80"/>
      <c r="AP550" s="80"/>
      <c r="AQ550" s="80"/>
      <c r="AR550" s="80"/>
      <c r="AS550" s="80"/>
      <c r="AT550" s="80"/>
      <c r="AU550" s="80"/>
    </row>
    <row r="551" ht="15.75" customHeight="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0"/>
      <c r="AO551" s="80"/>
      <c r="AP551" s="80"/>
      <c r="AQ551" s="80"/>
      <c r="AR551" s="80"/>
      <c r="AS551" s="80"/>
      <c r="AT551" s="80"/>
      <c r="AU551" s="80"/>
    </row>
    <row r="552" ht="15.75" customHeight="1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0"/>
      <c r="AO552" s="80"/>
      <c r="AP552" s="80"/>
      <c r="AQ552" s="80"/>
      <c r="AR552" s="80"/>
      <c r="AS552" s="80"/>
      <c r="AT552" s="80"/>
      <c r="AU552" s="80"/>
    </row>
    <row r="553" ht="15.75" customHeight="1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0"/>
      <c r="AO553" s="80"/>
      <c r="AP553" s="80"/>
      <c r="AQ553" s="80"/>
      <c r="AR553" s="80"/>
      <c r="AS553" s="80"/>
      <c r="AT553" s="80"/>
      <c r="AU553" s="80"/>
    </row>
    <row r="554" ht="15.75" customHeight="1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0"/>
      <c r="AO554" s="80"/>
      <c r="AP554" s="80"/>
      <c r="AQ554" s="80"/>
      <c r="AR554" s="80"/>
      <c r="AS554" s="80"/>
      <c r="AT554" s="80"/>
      <c r="AU554" s="80"/>
    </row>
    <row r="555" ht="15.75" customHeight="1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0"/>
      <c r="AO555" s="80"/>
      <c r="AP555" s="80"/>
      <c r="AQ555" s="80"/>
      <c r="AR555" s="80"/>
      <c r="AS555" s="80"/>
      <c r="AT555" s="80"/>
      <c r="AU555" s="80"/>
    </row>
    <row r="556" ht="15.75" customHeight="1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0"/>
      <c r="AO556" s="80"/>
      <c r="AP556" s="80"/>
      <c r="AQ556" s="80"/>
      <c r="AR556" s="80"/>
      <c r="AS556" s="80"/>
      <c r="AT556" s="80"/>
      <c r="AU556" s="80"/>
    </row>
    <row r="557" ht="15.75" customHeight="1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0"/>
      <c r="AO557" s="80"/>
      <c r="AP557" s="80"/>
      <c r="AQ557" s="80"/>
      <c r="AR557" s="80"/>
      <c r="AS557" s="80"/>
      <c r="AT557" s="80"/>
      <c r="AU557" s="80"/>
    </row>
    <row r="558" ht="15.75" customHeight="1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0"/>
      <c r="AT558" s="80"/>
      <c r="AU558" s="80"/>
    </row>
    <row r="559" ht="15.75" customHeight="1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0"/>
      <c r="AQ559" s="80"/>
      <c r="AR559" s="80"/>
      <c r="AS559" s="80"/>
      <c r="AT559" s="80"/>
      <c r="AU559" s="80"/>
    </row>
    <row r="560" ht="15.75" customHeight="1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0"/>
      <c r="AQ560" s="80"/>
      <c r="AR560" s="80"/>
      <c r="AS560" s="80"/>
      <c r="AT560" s="80"/>
      <c r="AU560" s="80"/>
    </row>
    <row r="561" ht="15.75" customHeight="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0"/>
      <c r="AQ561" s="80"/>
      <c r="AR561" s="80"/>
      <c r="AS561" s="80"/>
      <c r="AT561" s="80"/>
      <c r="AU561" s="80"/>
    </row>
    <row r="562" ht="15.75" customHeight="1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0"/>
      <c r="AQ562" s="80"/>
      <c r="AR562" s="80"/>
      <c r="AS562" s="80"/>
      <c r="AT562" s="80"/>
      <c r="AU562" s="80"/>
    </row>
    <row r="563" ht="15.75" customHeight="1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0"/>
      <c r="AQ563" s="80"/>
      <c r="AR563" s="80"/>
      <c r="AS563" s="80"/>
      <c r="AT563" s="80"/>
      <c r="AU563" s="80"/>
    </row>
    <row r="564" ht="15.75" customHeight="1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R564" s="80"/>
      <c r="AS564" s="80"/>
      <c r="AT564" s="80"/>
      <c r="AU564" s="80"/>
    </row>
    <row r="565" ht="15.75" customHeight="1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0"/>
      <c r="AQ565" s="80"/>
      <c r="AR565" s="80"/>
      <c r="AS565" s="80"/>
      <c r="AT565" s="80"/>
      <c r="AU565" s="80"/>
    </row>
    <row r="566" ht="15.75" customHeight="1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0"/>
      <c r="AO566" s="80"/>
      <c r="AP566" s="80"/>
      <c r="AQ566" s="80"/>
      <c r="AR566" s="80"/>
      <c r="AS566" s="80"/>
      <c r="AT566" s="80"/>
      <c r="AU566" s="80"/>
    </row>
    <row r="567" ht="15.75" customHeight="1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0"/>
      <c r="AQ567" s="80"/>
      <c r="AR567" s="80"/>
      <c r="AS567" s="80"/>
      <c r="AT567" s="80"/>
      <c r="AU567" s="80"/>
    </row>
    <row r="568" ht="15.75" customHeight="1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0"/>
      <c r="AO568" s="80"/>
      <c r="AP568" s="80"/>
      <c r="AQ568" s="80"/>
      <c r="AR568" s="80"/>
      <c r="AS568" s="80"/>
      <c r="AT568" s="80"/>
      <c r="AU568" s="80"/>
    </row>
    <row r="569" ht="15.75" customHeight="1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0"/>
      <c r="AO569" s="80"/>
      <c r="AP569" s="80"/>
      <c r="AQ569" s="80"/>
      <c r="AR569" s="80"/>
      <c r="AS569" s="80"/>
      <c r="AT569" s="80"/>
      <c r="AU569" s="80"/>
    </row>
    <row r="570" ht="15.75" customHeight="1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0"/>
      <c r="AO570" s="80"/>
      <c r="AP570" s="80"/>
      <c r="AQ570" s="80"/>
      <c r="AR570" s="80"/>
      <c r="AS570" s="80"/>
      <c r="AT570" s="80"/>
      <c r="AU570" s="80"/>
    </row>
    <row r="571" ht="15.75" customHeight="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0"/>
      <c r="AO571" s="80"/>
      <c r="AP571" s="80"/>
      <c r="AQ571" s="80"/>
      <c r="AR571" s="80"/>
      <c r="AS571" s="80"/>
      <c r="AT571" s="80"/>
      <c r="AU571" s="80"/>
    </row>
    <row r="572" ht="15.75" customHeight="1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0"/>
      <c r="AO572" s="80"/>
      <c r="AP572" s="80"/>
      <c r="AQ572" s="80"/>
      <c r="AR572" s="80"/>
      <c r="AS572" s="80"/>
      <c r="AT572" s="80"/>
      <c r="AU572" s="80"/>
    </row>
    <row r="573" ht="15.75" customHeight="1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0"/>
      <c r="AO573" s="80"/>
      <c r="AP573" s="80"/>
      <c r="AQ573" s="80"/>
      <c r="AR573" s="80"/>
      <c r="AS573" s="80"/>
      <c r="AT573" s="80"/>
      <c r="AU573" s="80"/>
    </row>
    <row r="574" ht="15.75" customHeight="1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0"/>
      <c r="AO574" s="80"/>
      <c r="AP574" s="80"/>
      <c r="AQ574" s="80"/>
      <c r="AR574" s="80"/>
      <c r="AS574" s="80"/>
      <c r="AT574" s="80"/>
      <c r="AU574" s="80"/>
    </row>
    <row r="575" ht="15.75" customHeight="1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0"/>
      <c r="AO575" s="80"/>
      <c r="AP575" s="80"/>
      <c r="AQ575" s="80"/>
      <c r="AR575" s="80"/>
      <c r="AS575" s="80"/>
      <c r="AT575" s="80"/>
      <c r="AU575" s="80"/>
    </row>
    <row r="576" ht="15.75" customHeight="1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0"/>
      <c r="AO576" s="80"/>
      <c r="AP576" s="80"/>
      <c r="AQ576" s="80"/>
      <c r="AR576" s="80"/>
      <c r="AS576" s="80"/>
      <c r="AT576" s="80"/>
      <c r="AU576" s="80"/>
    </row>
    <row r="577" ht="15.75" customHeight="1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0"/>
      <c r="AQ577" s="80"/>
      <c r="AR577" s="80"/>
      <c r="AS577" s="80"/>
      <c r="AT577" s="80"/>
      <c r="AU577" s="80"/>
    </row>
    <row r="578" ht="15.75" customHeight="1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0"/>
      <c r="AQ578" s="80"/>
      <c r="AR578" s="80"/>
      <c r="AS578" s="80"/>
      <c r="AT578" s="80"/>
      <c r="AU578" s="80"/>
    </row>
    <row r="579" ht="15.75" customHeight="1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0"/>
      <c r="AQ579" s="80"/>
      <c r="AR579" s="80"/>
      <c r="AS579" s="80"/>
      <c r="AT579" s="80"/>
      <c r="AU579" s="80"/>
    </row>
    <row r="580" ht="15.75" customHeight="1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0"/>
      <c r="AQ580" s="80"/>
      <c r="AR580" s="80"/>
      <c r="AS580" s="80"/>
      <c r="AT580" s="80"/>
      <c r="AU580" s="80"/>
    </row>
    <row r="581" ht="15.75" customHeight="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0"/>
      <c r="AQ581" s="80"/>
      <c r="AR581" s="80"/>
      <c r="AS581" s="80"/>
      <c r="AT581" s="80"/>
      <c r="AU581" s="80"/>
    </row>
    <row r="582" ht="15.75" customHeight="1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0"/>
      <c r="AQ582" s="80"/>
      <c r="AR582" s="80"/>
      <c r="AS582" s="80"/>
      <c r="AT582" s="80"/>
      <c r="AU582" s="80"/>
    </row>
    <row r="583" ht="15.75" customHeight="1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0"/>
      <c r="AO583" s="80"/>
      <c r="AP583" s="80"/>
      <c r="AQ583" s="80"/>
      <c r="AR583" s="80"/>
      <c r="AS583" s="80"/>
      <c r="AT583" s="80"/>
      <c r="AU583" s="80"/>
    </row>
    <row r="584" ht="15.75" customHeight="1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0"/>
      <c r="AO584" s="80"/>
      <c r="AP584" s="80"/>
      <c r="AQ584" s="80"/>
      <c r="AR584" s="80"/>
      <c r="AS584" s="80"/>
      <c r="AT584" s="80"/>
      <c r="AU584" s="80"/>
    </row>
    <row r="585" ht="15.75" customHeight="1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0"/>
      <c r="AO585" s="80"/>
      <c r="AP585" s="80"/>
      <c r="AQ585" s="80"/>
      <c r="AR585" s="80"/>
      <c r="AS585" s="80"/>
      <c r="AT585" s="80"/>
      <c r="AU585" s="80"/>
    </row>
    <row r="586" ht="15.75" customHeight="1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0"/>
      <c r="AO586" s="80"/>
      <c r="AP586" s="80"/>
      <c r="AQ586" s="80"/>
      <c r="AR586" s="80"/>
      <c r="AS586" s="80"/>
      <c r="AT586" s="80"/>
      <c r="AU586" s="80"/>
    </row>
    <row r="587" ht="15.75" customHeight="1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0"/>
      <c r="AO587" s="80"/>
      <c r="AP587" s="80"/>
      <c r="AQ587" s="80"/>
      <c r="AR587" s="80"/>
      <c r="AS587" s="80"/>
      <c r="AT587" s="80"/>
      <c r="AU587" s="80"/>
    </row>
    <row r="588" ht="15.75" customHeight="1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0"/>
      <c r="AO588" s="80"/>
      <c r="AP588" s="80"/>
      <c r="AQ588" s="80"/>
      <c r="AR588" s="80"/>
      <c r="AS588" s="80"/>
      <c r="AT588" s="80"/>
      <c r="AU588" s="80"/>
    </row>
    <row r="589" ht="15.75" customHeight="1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0"/>
      <c r="AO589" s="80"/>
      <c r="AP589" s="80"/>
      <c r="AQ589" s="80"/>
      <c r="AR589" s="80"/>
      <c r="AS589" s="80"/>
      <c r="AT589" s="80"/>
      <c r="AU589" s="80"/>
    </row>
    <row r="590" ht="15.75" customHeight="1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0"/>
      <c r="AO590" s="80"/>
      <c r="AP590" s="80"/>
      <c r="AQ590" s="80"/>
      <c r="AR590" s="80"/>
      <c r="AS590" s="80"/>
      <c r="AT590" s="80"/>
      <c r="AU590" s="80"/>
    </row>
    <row r="591" ht="15.75" customHeight="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0"/>
      <c r="AO591" s="80"/>
      <c r="AP591" s="80"/>
      <c r="AQ591" s="80"/>
      <c r="AR591" s="80"/>
      <c r="AS591" s="80"/>
      <c r="AT591" s="80"/>
      <c r="AU591" s="80"/>
    </row>
    <row r="592" ht="15.75" customHeight="1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0"/>
      <c r="AO592" s="80"/>
      <c r="AP592" s="80"/>
      <c r="AQ592" s="80"/>
      <c r="AR592" s="80"/>
      <c r="AS592" s="80"/>
      <c r="AT592" s="80"/>
      <c r="AU592" s="80"/>
    </row>
    <row r="593" ht="15.75" customHeight="1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0"/>
      <c r="AO593" s="80"/>
      <c r="AP593" s="80"/>
      <c r="AQ593" s="80"/>
      <c r="AR593" s="80"/>
      <c r="AS593" s="80"/>
      <c r="AT593" s="80"/>
      <c r="AU593" s="80"/>
    </row>
    <row r="594" ht="15.75" customHeight="1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0"/>
      <c r="AO594" s="80"/>
      <c r="AP594" s="80"/>
      <c r="AQ594" s="80"/>
      <c r="AR594" s="80"/>
      <c r="AS594" s="80"/>
      <c r="AT594" s="80"/>
      <c r="AU594" s="80"/>
    </row>
    <row r="595" ht="15.75" customHeight="1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0"/>
      <c r="AO595" s="80"/>
      <c r="AP595" s="80"/>
      <c r="AQ595" s="80"/>
      <c r="AR595" s="80"/>
      <c r="AS595" s="80"/>
      <c r="AT595" s="80"/>
      <c r="AU595" s="80"/>
    </row>
    <row r="596" ht="15.75" customHeight="1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0"/>
      <c r="AO596" s="80"/>
      <c r="AP596" s="80"/>
      <c r="AQ596" s="80"/>
      <c r="AR596" s="80"/>
      <c r="AS596" s="80"/>
      <c r="AT596" s="80"/>
      <c r="AU596" s="80"/>
    </row>
    <row r="597" ht="15.75" customHeight="1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0"/>
      <c r="AO597" s="80"/>
      <c r="AP597" s="80"/>
      <c r="AQ597" s="80"/>
      <c r="AR597" s="80"/>
      <c r="AS597" s="80"/>
      <c r="AT597" s="80"/>
      <c r="AU597" s="80"/>
    </row>
    <row r="598" ht="15.75" customHeight="1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0"/>
      <c r="AO598" s="80"/>
      <c r="AP598" s="80"/>
      <c r="AQ598" s="80"/>
      <c r="AR598" s="80"/>
      <c r="AS598" s="80"/>
      <c r="AT598" s="80"/>
      <c r="AU598" s="80"/>
    </row>
    <row r="599" ht="15.75" customHeight="1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0"/>
      <c r="AQ599" s="80"/>
      <c r="AR599" s="80"/>
      <c r="AS599" s="80"/>
      <c r="AT599" s="80"/>
      <c r="AU599" s="80"/>
    </row>
    <row r="600" ht="15.75" customHeight="1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0"/>
      <c r="AO600" s="80"/>
      <c r="AP600" s="80"/>
      <c r="AQ600" s="80"/>
      <c r="AR600" s="80"/>
      <c r="AS600" s="80"/>
      <c r="AT600" s="80"/>
      <c r="AU600" s="80"/>
    </row>
    <row r="601" ht="15.75" customHeight="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0"/>
      <c r="AO601" s="80"/>
      <c r="AP601" s="80"/>
      <c r="AQ601" s="80"/>
      <c r="AR601" s="80"/>
      <c r="AS601" s="80"/>
      <c r="AT601" s="80"/>
      <c r="AU601" s="80"/>
    </row>
    <row r="602" ht="15.75" customHeight="1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0"/>
      <c r="AO602" s="80"/>
      <c r="AP602" s="80"/>
      <c r="AQ602" s="80"/>
      <c r="AR602" s="80"/>
      <c r="AS602" s="80"/>
      <c r="AT602" s="80"/>
      <c r="AU602" s="80"/>
    </row>
    <row r="603" ht="15.75" customHeight="1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0"/>
      <c r="AQ603" s="80"/>
      <c r="AR603" s="80"/>
      <c r="AS603" s="80"/>
      <c r="AT603" s="80"/>
      <c r="AU603" s="80"/>
    </row>
    <row r="604" ht="15.75" customHeight="1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0"/>
      <c r="AQ604" s="80"/>
      <c r="AR604" s="80"/>
      <c r="AS604" s="80"/>
      <c r="AT604" s="80"/>
      <c r="AU604" s="80"/>
    </row>
    <row r="605" ht="15.75" customHeight="1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0"/>
      <c r="AQ605" s="80"/>
      <c r="AR605" s="80"/>
      <c r="AS605" s="80"/>
      <c r="AT605" s="80"/>
      <c r="AU605" s="80"/>
    </row>
    <row r="606" ht="15.75" customHeight="1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0"/>
      <c r="AQ606" s="80"/>
      <c r="AR606" s="80"/>
      <c r="AS606" s="80"/>
      <c r="AT606" s="80"/>
      <c r="AU606" s="80"/>
    </row>
    <row r="607" ht="15.75" customHeight="1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0"/>
      <c r="AQ607" s="80"/>
      <c r="AR607" s="80"/>
      <c r="AS607" s="80"/>
      <c r="AT607" s="80"/>
      <c r="AU607" s="80"/>
    </row>
    <row r="608" ht="15.75" customHeight="1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0"/>
      <c r="AQ608" s="80"/>
      <c r="AR608" s="80"/>
      <c r="AS608" s="80"/>
      <c r="AT608" s="80"/>
      <c r="AU608" s="80"/>
    </row>
    <row r="609" ht="15.75" customHeight="1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0"/>
      <c r="AQ609" s="80"/>
      <c r="AR609" s="80"/>
      <c r="AS609" s="80"/>
      <c r="AT609" s="80"/>
      <c r="AU609" s="80"/>
    </row>
    <row r="610" ht="15.75" customHeight="1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0"/>
      <c r="AQ610" s="80"/>
      <c r="AR610" s="80"/>
      <c r="AS610" s="80"/>
      <c r="AT610" s="80"/>
      <c r="AU610" s="80"/>
    </row>
    <row r="611" ht="15.75" customHeight="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0"/>
      <c r="AO611" s="80"/>
      <c r="AP611" s="80"/>
      <c r="AQ611" s="80"/>
      <c r="AR611" s="80"/>
      <c r="AS611" s="80"/>
      <c r="AT611" s="80"/>
      <c r="AU611" s="80"/>
    </row>
    <row r="612" ht="15.75" customHeight="1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0"/>
      <c r="AO612" s="80"/>
      <c r="AP612" s="80"/>
      <c r="AQ612" s="80"/>
      <c r="AR612" s="80"/>
      <c r="AS612" s="80"/>
      <c r="AT612" s="80"/>
      <c r="AU612" s="80"/>
    </row>
    <row r="613" ht="15.75" customHeight="1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0"/>
      <c r="AO613" s="80"/>
      <c r="AP613" s="80"/>
      <c r="AQ613" s="80"/>
      <c r="AR613" s="80"/>
      <c r="AS613" s="80"/>
      <c r="AT613" s="80"/>
      <c r="AU613" s="80"/>
    </row>
    <row r="614" ht="15.75" customHeight="1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0"/>
      <c r="AO614" s="80"/>
      <c r="AP614" s="80"/>
      <c r="AQ614" s="80"/>
      <c r="AR614" s="80"/>
      <c r="AS614" s="80"/>
      <c r="AT614" s="80"/>
      <c r="AU614" s="80"/>
    </row>
    <row r="615" ht="15.75" customHeight="1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0"/>
      <c r="AO615" s="80"/>
      <c r="AP615" s="80"/>
      <c r="AQ615" s="80"/>
      <c r="AR615" s="80"/>
      <c r="AS615" s="80"/>
      <c r="AT615" s="80"/>
      <c r="AU615" s="80"/>
    </row>
    <row r="616" ht="15.75" customHeight="1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0"/>
      <c r="AO616" s="80"/>
      <c r="AP616" s="80"/>
      <c r="AQ616" s="80"/>
      <c r="AR616" s="80"/>
      <c r="AS616" s="80"/>
      <c r="AT616" s="80"/>
      <c r="AU616" s="80"/>
    </row>
    <row r="617" ht="15.75" customHeight="1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0"/>
      <c r="AO617" s="80"/>
      <c r="AP617" s="80"/>
      <c r="AQ617" s="80"/>
      <c r="AR617" s="80"/>
      <c r="AS617" s="80"/>
      <c r="AT617" s="80"/>
      <c r="AU617" s="80"/>
    </row>
    <row r="618" ht="15.75" customHeight="1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0"/>
      <c r="AO618" s="80"/>
      <c r="AP618" s="80"/>
      <c r="AQ618" s="80"/>
      <c r="AR618" s="80"/>
      <c r="AS618" s="80"/>
      <c r="AT618" s="80"/>
      <c r="AU618" s="80"/>
    </row>
    <row r="619" ht="15.75" customHeight="1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0"/>
      <c r="AO619" s="80"/>
      <c r="AP619" s="80"/>
      <c r="AQ619" s="80"/>
      <c r="AR619" s="80"/>
      <c r="AS619" s="80"/>
      <c r="AT619" s="80"/>
      <c r="AU619" s="80"/>
    </row>
    <row r="620" ht="15.75" customHeight="1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0"/>
      <c r="AO620" s="80"/>
      <c r="AP620" s="80"/>
      <c r="AQ620" s="80"/>
      <c r="AR620" s="80"/>
      <c r="AS620" s="80"/>
      <c r="AT620" s="80"/>
      <c r="AU620" s="80"/>
    </row>
    <row r="621" ht="15.75" customHeight="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0"/>
      <c r="AO621" s="80"/>
      <c r="AP621" s="80"/>
      <c r="AQ621" s="80"/>
      <c r="AR621" s="80"/>
      <c r="AS621" s="80"/>
      <c r="AT621" s="80"/>
      <c r="AU621" s="80"/>
    </row>
    <row r="622" ht="15.75" customHeight="1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0"/>
      <c r="AO622" s="80"/>
      <c r="AP622" s="80"/>
      <c r="AQ622" s="80"/>
      <c r="AR622" s="80"/>
      <c r="AS622" s="80"/>
      <c r="AT622" s="80"/>
      <c r="AU622" s="80"/>
    </row>
    <row r="623" ht="15.75" customHeight="1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0"/>
      <c r="AO623" s="80"/>
      <c r="AP623" s="80"/>
      <c r="AQ623" s="80"/>
      <c r="AR623" s="80"/>
      <c r="AS623" s="80"/>
      <c r="AT623" s="80"/>
      <c r="AU623" s="80"/>
    </row>
    <row r="624" ht="15.75" customHeight="1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0"/>
      <c r="AO624" s="80"/>
      <c r="AP624" s="80"/>
      <c r="AQ624" s="80"/>
      <c r="AR624" s="80"/>
      <c r="AS624" s="80"/>
      <c r="AT624" s="80"/>
      <c r="AU624" s="80"/>
    </row>
    <row r="625" ht="15.75" customHeight="1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0"/>
      <c r="AO625" s="80"/>
      <c r="AP625" s="80"/>
      <c r="AQ625" s="80"/>
      <c r="AR625" s="80"/>
      <c r="AS625" s="80"/>
      <c r="AT625" s="80"/>
      <c r="AU625" s="80"/>
    </row>
    <row r="626" ht="15.75" customHeight="1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0"/>
      <c r="AO626" s="80"/>
      <c r="AP626" s="80"/>
      <c r="AQ626" s="80"/>
      <c r="AR626" s="80"/>
      <c r="AS626" s="80"/>
      <c r="AT626" s="80"/>
      <c r="AU626" s="80"/>
    </row>
    <row r="627" ht="15.75" customHeight="1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0"/>
      <c r="AO627" s="80"/>
      <c r="AP627" s="80"/>
      <c r="AQ627" s="80"/>
      <c r="AR627" s="80"/>
      <c r="AS627" s="80"/>
      <c r="AT627" s="80"/>
      <c r="AU627" s="80"/>
    </row>
    <row r="628" ht="15.75" customHeight="1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0"/>
      <c r="AQ628" s="80"/>
      <c r="AR628" s="80"/>
      <c r="AS628" s="80"/>
      <c r="AT628" s="80"/>
      <c r="AU628" s="80"/>
    </row>
    <row r="629" ht="15.75" customHeight="1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0"/>
      <c r="AQ629" s="80"/>
      <c r="AR629" s="80"/>
      <c r="AS629" s="80"/>
      <c r="AT629" s="80"/>
      <c r="AU629" s="80"/>
    </row>
    <row r="630" ht="15.75" customHeight="1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0"/>
      <c r="AT630" s="80"/>
      <c r="AU630" s="80"/>
    </row>
    <row r="631" ht="15.75" customHeight="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0"/>
      <c r="AQ631" s="80"/>
      <c r="AR631" s="80"/>
      <c r="AS631" s="80"/>
      <c r="AT631" s="80"/>
      <c r="AU631" s="80"/>
    </row>
    <row r="632" ht="15.75" customHeight="1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0"/>
      <c r="AQ632" s="80"/>
      <c r="AR632" s="80"/>
      <c r="AS632" s="80"/>
      <c r="AT632" s="80"/>
      <c r="AU632" s="80"/>
    </row>
    <row r="633" ht="15.75" customHeight="1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0"/>
      <c r="AQ633" s="80"/>
      <c r="AR633" s="80"/>
      <c r="AS633" s="80"/>
      <c r="AT633" s="80"/>
      <c r="AU633" s="80"/>
    </row>
    <row r="634" ht="15.75" customHeight="1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0"/>
      <c r="AQ634" s="80"/>
      <c r="AR634" s="80"/>
      <c r="AS634" s="80"/>
      <c r="AT634" s="80"/>
      <c r="AU634" s="80"/>
    </row>
    <row r="635" ht="15.75" customHeight="1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0"/>
      <c r="AQ635" s="80"/>
      <c r="AR635" s="80"/>
      <c r="AS635" s="80"/>
      <c r="AT635" s="80"/>
      <c r="AU635" s="80"/>
    </row>
    <row r="636" ht="15.75" customHeight="1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0"/>
      <c r="AQ636" s="80"/>
      <c r="AR636" s="80"/>
      <c r="AS636" s="80"/>
      <c r="AT636" s="80"/>
      <c r="AU636" s="80"/>
    </row>
    <row r="637" ht="15.75" customHeight="1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0"/>
      <c r="AQ637" s="80"/>
      <c r="AR637" s="80"/>
      <c r="AS637" s="80"/>
      <c r="AT637" s="80"/>
      <c r="AU637" s="80"/>
    </row>
    <row r="638" ht="15.75" customHeight="1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0"/>
      <c r="AQ638" s="80"/>
      <c r="AR638" s="80"/>
      <c r="AS638" s="80"/>
      <c r="AT638" s="80"/>
      <c r="AU638" s="80"/>
    </row>
    <row r="639" ht="15.75" customHeight="1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0"/>
      <c r="AQ639" s="80"/>
      <c r="AR639" s="80"/>
      <c r="AS639" s="80"/>
      <c r="AT639" s="80"/>
      <c r="AU639" s="80"/>
    </row>
    <row r="640" ht="15.75" customHeight="1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0"/>
      <c r="AQ640" s="80"/>
      <c r="AR640" s="80"/>
      <c r="AS640" s="80"/>
      <c r="AT640" s="80"/>
      <c r="AU640" s="80"/>
    </row>
    <row r="641" ht="15.75" customHeight="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0"/>
      <c r="AQ641" s="80"/>
      <c r="AR641" s="80"/>
      <c r="AS641" s="80"/>
      <c r="AT641" s="80"/>
      <c r="AU641" s="80"/>
    </row>
    <row r="642" ht="15.75" customHeight="1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0"/>
      <c r="AO642" s="80"/>
      <c r="AP642" s="80"/>
      <c r="AQ642" s="80"/>
      <c r="AR642" s="80"/>
      <c r="AS642" s="80"/>
      <c r="AT642" s="80"/>
      <c r="AU642" s="80"/>
    </row>
    <row r="643" ht="15.75" customHeight="1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0"/>
      <c r="AO643" s="80"/>
      <c r="AP643" s="80"/>
      <c r="AQ643" s="80"/>
      <c r="AR643" s="80"/>
      <c r="AS643" s="80"/>
      <c r="AT643" s="80"/>
      <c r="AU643" s="80"/>
    </row>
    <row r="644" ht="15.75" customHeight="1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0"/>
      <c r="AO644" s="80"/>
      <c r="AP644" s="80"/>
      <c r="AQ644" s="80"/>
      <c r="AR644" s="80"/>
      <c r="AS644" s="80"/>
      <c r="AT644" s="80"/>
      <c r="AU644" s="80"/>
    </row>
    <row r="645" ht="15.75" customHeight="1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0"/>
      <c r="AO645" s="80"/>
      <c r="AP645" s="80"/>
      <c r="AQ645" s="80"/>
      <c r="AR645" s="80"/>
      <c r="AS645" s="80"/>
      <c r="AT645" s="80"/>
      <c r="AU645" s="80"/>
    </row>
    <row r="646" ht="15.75" customHeight="1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0"/>
      <c r="AO646" s="80"/>
      <c r="AP646" s="80"/>
      <c r="AQ646" s="80"/>
      <c r="AR646" s="80"/>
      <c r="AS646" s="80"/>
      <c r="AT646" s="80"/>
      <c r="AU646" s="80"/>
    </row>
    <row r="647" ht="15.75" customHeight="1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0"/>
      <c r="AO647" s="80"/>
      <c r="AP647" s="80"/>
      <c r="AQ647" s="80"/>
      <c r="AR647" s="80"/>
      <c r="AS647" s="80"/>
      <c r="AT647" s="80"/>
      <c r="AU647" s="80"/>
    </row>
    <row r="648" ht="15.75" customHeight="1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  <c r="AR648" s="80"/>
      <c r="AS648" s="80"/>
      <c r="AT648" s="80"/>
      <c r="AU648" s="80"/>
    </row>
    <row r="649" ht="15.75" customHeight="1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0"/>
      <c r="AQ649" s="80"/>
      <c r="AR649" s="80"/>
      <c r="AS649" s="80"/>
      <c r="AT649" s="80"/>
      <c r="AU649" s="80"/>
    </row>
    <row r="650" ht="15.75" customHeight="1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  <c r="AR650" s="80"/>
      <c r="AS650" s="80"/>
      <c r="AT650" s="80"/>
      <c r="AU650" s="80"/>
    </row>
    <row r="651" ht="15.75" customHeight="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0"/>
      <c r="AQ651" s="80"/>
      <c r="AR651" s="80"/>
      <c r="AS651" s="80"/>
      <c r="AT651" s="80"/>
      <c r="AU651" s="80"/>
    </row>
    <row r="652" ht="15.75" customHeight="1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0"/>
      <c r="AQ652" s="80"/>
      <c r="AR652" s="80"/>
      <c r="AS652" s="80"/>
      <c r="AT652" s="80"/>
      <c r="AU652" s="80"/>
    </row>
    <row r="653" ht="15.75" customHeight="1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0"/>
      <c r="AQ653" s="80"/>
      <c r="AR653" s="80"/>
      <c r="AS653" s="80"/>
      <c r="AT653" s="80"/>
      <c r="AU653" s="80"/>
    </row>
    <row r="654" ht="15.75" customHeight="1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0"/>
      <c r="AQ654" s="80"/>
      <c r="AR654" s="80"/>
      <c r="AS654" s="80"/>
      <c r="AT654" s="80"/>
      <c r="AU654" s="80"/>
    </row>
    <row r="655" ht="15.75" customHeight="1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  <c r="AR655" s="80"/>
      <c r="AS655" s="80"/>
      <c r="AT655" s="80"/>
      <c r="AU655" s="80"/>
    </row>
    <row r="656" ht="15.75" customHeight="1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0"/>
      <c r="AO656" s="80"/>
      <c r="AP656" s="80"/>
      <c r="AQ656" s="80"/>
      <c r="AR656" s="80"/>
      <c r="AS656" s="80"/>
      <c r="AT656" s="80"/>
      <c r="AU656" s="80"/>
    </row>
    <row r="657" ht="15.75" customHeight="1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0"/>
      <c r="AO657" s="80"/>
      <c r="AP657" s="80"/>
      <c r="AQ657" s="80"/>
      <c r="AR657" s="80"/>
      <c r="AS657" s="80"/>
      <c r="AT657" s="80"/>
      <c r="AU657" s="80"/>
    </row>
    <row r="658" ht="15.75" customHeight="1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0"/>
      <c r="AO658" s="80"/>
      <c r="AP658" s="80"/>
      <c r="AQ658" s="80"/>
      <c r="AR658" s="80"/>
      <c r="AS658" s="80"/>
      <c r="AT658" s="80"/>
      <c r="AU658" s="80"/>
    </row>
    <row r="659" ht="15.75" customHeight="1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0"/>
      <c r="AO659" s="80"/>
      <c r="AP659" s="80"/>
      <c r="AQ659" s="80"/>
      <c r="AR659" s="80"/>
      <c r="AS659" s="80"/>
      <c r="AT659" s="80"/>
      <c r="AU659" s="80"/>
    </row>
    <row r="660" ht="15.75" customHeight="1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0"/>
      <c r="AO660" s="80"/>
      <c r="AP660" s="80"/>
      <c r="AQ660" s="80"/>
      <c r="AR660" s="80"/>
      <c r="AS660" s="80"/>
      <c r="AT660" s="80"/>
      <c r="AU660" s="80"/>
    </row>
    <row r="661" ht="15.75" customHeight="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0"/>
      <c r="AO661" s="80"/>
      <c r="AP661" s="80"/>
      <c r="AQ661" s="80"/>
      <c r="AR661" s="80"/>
      <c r="AS661" s="80"/>
      <c r="AT661" s="80"/>
      <c r="AU661" s="80"/>
    </row>
    <row r="662" ht="15.75" customHeight="1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0"/>
      <c r="AO662" s="80"/>
      <c r="AP662" s="80"/>
      <c r="AQ662" s="80"/>
      <c r="AR662" s="80"/>
      <c r="AS662" s="80"/>
      <c r="AT662" s="80"/>
      <c r="AU662" s="80"/>
    </row>
    <row r="663" ht="15.75" customHeight="1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0"/>
      <c r="AQ663" s="80"/>
      <c r="AR663" s="80"/>
      <c r="AS663" s="80"/>
      <c r="AT663" s="80"/>
      <c r="AU663" s="80"/>
    </row>
    <row r="664" ht="15.75" customHeight="1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0"/>
      <c r="AO664" s="80"/>
      <c r="AP664" s="80"/>
      <c r="AQ664" s="80"/>
      <c r="AR664" s="80"/>
      <c r="AS664" s="80"/>
      <c r="AT664" s="80"/>
      <c r="AU664" s="80"/>
    </row>
    <row r="665" ht="15.75" customHeight="1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0"/>
      <c r="AO665" s="80"/>
      <c r="AP665" s="80"/>
      <c r="AQ665" s="80"/>
      <c r="AR665" s="80"/>
      <c r="AS665" s="80"/>
      <c r="AT665" s="80"/>
      <c r="AU665" s="80"/>
    </row>
    <row r="666" ht="15.75" customHeight="1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0"/>
      <c r="AO666" s="80"/>
      <c r="AP666" s="80"/>
      <c r="AQ666" s="80"/>
      <c r="AR666" s="80"/>
      <c r="AS666" s="80"/>
      <c r="AT666" s="80"/>
      <c r="AU666" s="80"/>
    </row>
    <row r="667" ht="15.75" customHeight="1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0"/>
      <c r="AO667" s="80"/>
      <c r="AP667" s="80"/>
      <c r="AQ667" s="80"/>
      <c r="AR667" s="80"/>
      <c r="AS667" s="80"/>
      <c r="AT667" s="80"/>
      <c r="AU667" s="80"/>
    </row>
    <row r="668" ht="15.75" customHeight="1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0"/>
      <c r="AO668" s="80"/>
      <c r="AP668" s="80"/>
      <c r="AQ668" s="80"/>
      <c r="AR668" s="80"/>
      <c r="AS668" s="80"/>
      <c r="AT668" s="80"/>
      <c r="AU668" s="80"/>
    </row>
    <row r="669" ht="15.75" customHeight="1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0"/>
      <c r="AO669" s="80"/>
      <c r="AP669" s="80"/>
      <c r="AQ669" s="80"/>
      <c r="AR669" s="80"/>
      <c r="AS669" s="80"/>
      <c r="AT669" s="80"/>
      <c r="AU669" s="80"/>
    </row>
    <row r="670" ht="15.75" customHeight="1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0"/>
      <c r="AO670" s="80"/>
      <c r="AP670" s="80"/>
      <c r="AQ670" s="80"/>
      <c r="AR670" s="80"/>
      <c r="AS670" s="80"/>
      <c r="AT670" s="80"/>
      <c r="AU670" s="80"/>
    </row>
    <row r="671" ht="15.75" customHeight="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0"/>
      <c r="AO671" s="80"/>
      <c r="AP671" s="80"/>
      <c r="AQ671" s="80"/>
      <c r="AR671" s="80"/>
      <c r="AS671" s="80"/>
      <c r="AT671" s="80"/>
      <c r="AU671" s="80"/>
    </row>
    <row r="672" ht="15.75" customHeight="1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0"/>
      <c r="AO672" s="80"/>
      <c r="AP672" s="80"/>
      <c r="AQ672" s="80"/>
      <c r="AR672" s="80"/>
      <c r="AS672" s="80"/>
      <c r="AT672" s="80"/>
      <c r="AU672" s="80"/>
    </row>
    <row r="673" ht="15.75" customHeight="1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0"/>
      <c r="AO673" s="80"/>
      <c r="AP673" s="80"/>
      <c r="AQ673" s="80"/>
      <c r="AR673" s="80"/>
      <c r="AS673" s="80"/>
      <c r="AT673" s="80"/>
      <c r="AU673" s="80"/>
    </row>
    <row r="674" ht="15.75" customHeight="1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0"/>
      <c r="AO674" s="80"/>
      <c r="AP674" s="80"/>
      <c r="AQ674" s="80"/>
      <c r="AR674" s="80"/>
      <c r="AS674" s="80"/>
      <c r="AT674" s="80"/>
      <c r="AU674" s="80"/>
    </row>
    <row r="675" ht="15.75" customHeight="1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0"/>
      <c r="AO675" s="80"/>
      <c r="AP675" s="80"/>
      <c r="AQ675" s="80"/>
      <c r="AR675" s="80"/>
      <c r="AS675" s="80"/>
      <c r="AT675" s="80"/>
      <c r="AU675" s="80"/>
    </row>
    <row r="676" ht="15.75" customHeight="1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0"/>
      <c r="AO676" s="80"/>
      <c r="AP676" s="80"/>
      <c r="AQ676" s="80"/>
      <c r="AR676" s="80"/>
      <c r="AS676" s="80"/>
      <c r="AT676" s="80"/>
      <c r="AU676" s="80"/>
    </row>
    <row r="677" ht="15.75" customHeight="1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0"/>
      <c r="AO677" s="80"/>
      <c r="AP677" s="80"/>
      <c r="AQ677" s="80"/>
      <c r="AR677" s="80"/>
      <c r="AS677" s="80"/>
      <c r="AT677" s="80"/>
      <c r="AU677" s="80"/>
    </row>
    <row r="678" ht="15.75" customHeight="1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0"/>
      <c r="AO678" s="80"/>
      <c r="AP678" s="80"/>
      <c r="AQ678" s="80"/>
      <c r="AR678" s="80"/>
      <c r="AS678" s="80"/>
      <c r="AT678" s="80"/>
      <c r="AU678" s="80"/>
    </row>
    <row r="679" ht="15.75" customHeight="1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0"/>
      <c r="AO679" s="80"/>
      <c r="AP679" s="80"/>
      <c r="AQ679" s="80"/>
      <c r="AR679" s="80"/>
      <c r="AS679" s="80"/>
      <c r="AT679" s="80"/>
      <c r="AU679" s="80"/>
    </row>
    <row r="680" ht="15.75" customHeight="1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0"/>
      <c r="AO680" s="80"/>
      <c r="AP680" s="80"/>
      <c r="AQ680" s="80"/>
      <c r="AR680" s="80"/>
      <c r="AS680" s="80"/>
      <c r="AT680" s="80"/>
      <c r="AU680" s="80"/>
    </row>
    <row r="681" ht="15.75" customHeight="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0"/>
      <c r="AO681" s="80"/>
      <c r="AP681" s="80"/>
      <c r="AQ681" s="80"/>
      <c r="AR681" s="80"/>
      <c r="AS681" s="80"/>
      <c r="AT681" s="80"/>
      <c r="AU681" s="80"/>
    </row>
    <row r="682" ht="15.75" customHeight="1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0"/>
      <c r="AO682" s="80"/>
      <c r="AP682" s="80"/>
      <c r="AQ682" s="80"/>
      <c r="AR682" s="80"/>
      <c r="AS682" s="80"/>
      <c r="AT682" s="80"/>
      <c r="AU682" s="80"/>
    </row>
    <row r="683" ht="15.75" customHeight="1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0"/>
      <c r="AQ683" s="80"/>
      <c r="AR683" s="80"/>
      <c r="AS683" s="80"/>
      <c r="AT683" s="80"/>
      <c r="AU683" s="80"/>
    </row>
    <row r="684" ht="15.75" customHeight="1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0"/>
      <c r="AO684" s="80"/>
      <c r="AP684" s="80"/>
      <c r="AQ684" s="80"/>
      <c r="AR684" s="80"/>
      <c r="AS684" s="80"/>
      <c r="AT684" s="80"/>
      <c r="AU684" s="80"/>
    </row>
    <row r="685" ht="15.75" customHeight="1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0"/>
      <c r="AO685" s="80"/>
      <c r="AP685" s="80"/>
      <c r="AQ685" s="80"/>
      <c r="AR685" s="80"/>
      <c r="AS685" s="80"/>
      <c r="AT685" s="80"/>
      <c r="AU685" s="80"/>
    </row>
    <row r="686" ht="15.75" customHeight="1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0"/>
      <c r="AO686" s="80"/>
      <c r="AP686" s="80"/>
      <c r="AQ686" s="80"/>
      <c r="AR686" s="80"/>
      <c r="AS686" s="80"/>
      <c r="AT686" s="80"/>
      <c r="AU686" s="80"/>
    </row>
    <row r="687" ht="15.75" customHeight="1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0"/>
      <c r="AO687" s="80"/>
      <c r="AP687" s="80"/>
      <c r="AQ687" s="80"/>
      <c r="AR687" s="80"/>
      <c r="AS687" s="80"/>
      <c r="AT687" s="80"/>
      <c r="AU687" s="80"/>
    </row>
    <row r="688" ht="15.75" customHeight="1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0"/>
      <c r="AO688" s="80"/>
      <c r="AP688" s="80"/>
      <c r="AQ688" s="80"/>
      <c r="AR688" s="80"/>
      <c r="AS688" s="80"/>
      <c r="AT688" s="80"/>
      <c r="AU688" s="80"/>
    </row>
    <row r="689" ht="15.75" customHeight="1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0"/>
      <c r="AO689" s="80"/>
      <c r="AP689" s="80"/>
      <c r="AQ689" s="80"/>
      <c r="AR689" s="80"/>
      <c r="AS689" s="80"/>
      <c r="AT689" s="80"/>
      <c r="AU689" s="80"/>
    </row>
    <row r="690" ht="15.75" customHeight="1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0"/>
      <c r="AO690" s="80"/>
      <c r="AP690" s="80"/>
      <c r="AQ690" s="80"/>
      <c r="AR690" s="80"/>
      <c r="AS690" s="80"/>
      <c r="AT690" s="80"/>
      <c r="AU690" s="80"/>
    </row>
    <row r="691" ht="15.75" customHeight="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0"/>
      <c r="AO691" s="80"/>
      <c r="AP691" s="80"/>
      <c r="AQ691" s="80"/>
      <c r="AR691" s="80"/>
      <c r="AS691" s="80"/>
      <c r="AT691" s="80"/>
      <c r="AU691" s="80"/>
    </row>
    <row r="692" ht="15.75" customHeight="1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0"/>
      <c r="AO692" s="80"/>
      <c r="AP692" s="80"/>
      <c r="AQ692" s="80"/>
      <c r="AR692" s="80"/>
      <c r="AS692" s="80"/>
      <c r="AT692" s="80"/>
      <c r="AU692" s="80"/>
    </row>
    <row r="693" ht="15.75" customHeight="1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0"/>
      <c r="AQ693" s="80"/>
      <c r="AR693" s="80"/>
      <c r="AS693" s="80"/>
      <c r="AT693" s="80"/>
      <c r="AU693" s="80"/>
    </row>
    <row r="694" ht="15.75" customHeight="1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0"/>
      <c r="AQ694" s="80"/>
      <c r="AR694" s="80"/>
      <c r="AS694" s="80"/>
      <c r="AT694" s="80"/>
      <c r="AU694" s="80"/>
    </row>
    <row r="695" ht="15.75" customHeight="1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0"/>
      <c r="AQ695" s="80"/>
      <c r="AR695" s="80"/>
      <c r="AS695" s="80"/>
      <c r="AT695" s="80"/>
      <c r="AU695" s="80"/>
    </row>
    <row r="696" ht="15.75" customHeight="1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0"/>
      <c r="AQ696" s="80"/>
      <c r="AR696" s="80"/>
      <c r="AS696" s="80"/>
      <c r="AT696" s="80"/>
      <c r="AU696" s="80"/>
    </row>
    <row r="697" ht="15.75" customHeight="1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0"/>
      <c r="AQ697" s="80"/>
      <c r="AR697" s="80"/>
      <c r="AS697" s="80"/>
      <c r="AT697" s="80"/>
      <c r="AU697" s="80"/>
    </row>
    <row r="698" ht="15.75" customHeight="1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0"/>
      <c r="AQ698" s="80"/>
      <c r="AR698" s="80"/>
      <c r="AS698" s="80"/>
      <c r="AT698" s="80"/>
      <c r="AU698" s="80"/>
    </row>
    <row r="699" ht="15.75" customHeight="1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0"/>
      <c r="AQ699" s="80"/>
      <c r="AR699" s="80"/>
      <c r="AS699" s="80"/>
      <c r="AT699" s="80"/>
      <c r="AU699" s="80"/>
    </row>
    <row r="700" ht="15.75" customHeight="1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0"/>
      <c r="AQ700" s="80"/>
      <c r="AR700" s="80"/>
      <c r="AS700" s="80"/>
      <c r="AT700" s="80"/>
      <c r="AU700" s="80"/>
    </row>
    <row r="701" ht="15.75" customHeight="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0"/>
      <c r="AO701" s="80"/>
      <c r="AP701" s="80"/>
      <c r="AQ701" s="80"/>
      <c r="AR701" s="80"/>
      <c r="AS701" s="80"/>
      <c r="AT701" s="80"/>
      <c r="AU701" s="80"/>
    </row>
    <row r="702" ht="15.75" customHeight="1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0"/>
      <c r="AO702" s="80"/>
      <c r="AP702" s="80"/>
      <c r="AQ702" s="80"/>
      <c r="AR702" s="80"/>
      <c r="AS702" s="80"/>
      <c r="AT702" s="80"/>
      <c r="AU702" s="80"/>
    </row>
    <row r="703" ht="15.75" customHeight="1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0"/>
      <c r="AO703" s="80"/>
      <c r="AP703" s="80"/>
      <c r="AQ703" s="80"/>
      <c r="AR703" s="80"/>
      <c r="AS703" s="80"/>
      <c r="AT703" s="80"/>
      <c r="AU703" s="80"/>
    </row>
    <row r="704" ht="15.75" customHeight="1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/>
      <c r="AP704" s="80"/>
      <c r="AQ704" s="80"/>
      <c r="AR704" s="80"/>
      <c r="AS704" s="80"/>
      <c r="AT704" s="80"/>
      <c r="AU704" s="80"/>
    </row>
    <row r="705" ht="15.75" customHeight="1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0"/>
      <c r="AO705" s="80"/>
      <c r="AP705" s="80"/>
      <c r="AQ705" s="80"/>
      <c r="AR705" s="80"/>
      <c r="AS705" s="80"/>
      <c r="AT705" s="80"/>
      <c r="AU705" s="80"/>
    </row>
    <row r="706" ht="15.75" customHeight="1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0"/>
      <c r="AO706" s="80"/>
      <c r="AP706" s="80"/>
      <c r="AQ706" s="80"/>
      <c r="AR706" s="80"/>
      <c r="AS706" s="80"/>
      <c r="AT706" s="80"/>
      <c r="AU706" s="80"/>
    </row>
    <row r="707" ht="15.75" customHeight="1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0"/>
      <c r="AO707" s="80"/>
      <c r="AP707" s="80"/>
      <c r="AQ707" s="80"/>
      <c r="AR707" s="80"/>
      <c r="AS707" s="80"/>
      <c r="AT707" s="80"/>
      <c r="AU707" s="80"/>
    </row>
    <row r="708" ht="15.75" customHeight="1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0"/>
      <c r="AO708" s="80"/>
      <c r="AP708" s="80"/>
      <c r="AQ708" s="80"/>
      <c r="AR708" s="80"/>
      <c r="AS708" s="80"/>
      <c r="AT708" s="80"/>
      <c r="AU708" s="80"/>
    </row>
    <row r="709" ht="15.75" customHeight="1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0"/>
      <c r="AO709" s="80"/>
      <c r="AP709" s="80"/>
      <c r="AQ709" s="80"/>
      <c r="AR709" s="80"/>
      <c r="AS709" s="80"/>
      <c r="AT709" s="80"/>
      <c r="AU709" s="80"/>
    </row>
    <row r="710" ht="15.75" customHeight="1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0"/>
      <c r="AO710" s="80"/>
      <c r="AP710" s="80"/>
      <c r="AQ710" s="80"/>
      <c r="AR710" s="80"/>
      <c r="AS710" s="80"/>
      <c r="AT710" s="80"/>
      <c r="AU710" s="80"/>
    </row>
    <row r="711" ht="15.75" customHeight="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0"/>
      <c r="AO711" s="80"/>
      <c r="AP711" s="80"/>
      <c r="AQ711" s="80"/>
      <c r="AR711" s="80"/>
      <c r="AS711" s="80"/>
      <c r="AT711" s="80"/>
      <c r="AU711" s="80"/>
    </row>
    <row r="712" ht="15.75" customHeight="1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  <c r="AR712" s="80"/>
      <c r="AS712" s="80"/>
      <c r="AT712" s="80"/>
      <c r="AU712" s="80"/>
    </row>
    <row r="713" ht="15.75" customHeight="1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0"/>
      <c r="AO713" s="80"/>
      <c r="AP713" s="80"/>
      <c r="AQ713" s="80"/>
      <c r="AR713" s="80"/>
      <c r="AS713" s="80"/>
      <c r="AT713" s="80"/>
      <c r="AU713" s="80"/>
    </row>
    <row r="714" ht="15.75" customHeight="1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0"/>
      <c r="AO714" s="80"/>
      <c r="AP714" s="80"/>
      <c r="AQ714" s="80"/>
      <c r="AR714" s="80"/>
      <c r="AS714" s="80"/>
      <c r="AT714" s="80"/>
      <c r="AU714" s="80"/>
    </row>
    <row r="715" ht="15.75" customHeight="1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0"/>
      <c r="AO715" s="80"/>
      <c r="AP715" s="80"/>
      <c r="AQ715" s="80"/>
      <c r="AR715" s="80"/>
      <c r="AS715" s="80"/>
      <c r="AT715" s="80"/>
      <c r="AU715" s="80"/>
    </row>
    <row r="716" ht="15.75" customHeight="1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0"/>
      <c r="AO716" s="80"/>
      <c r="AP716" s="80"/>
      <c r="AQ716" s="80"/>
      <c r="AR716" s="80"/>
      <c r="AS716" s="80"/>
      <c r="AT716" s="80"/>
      <c r="AU716" s="80"/>
    </row>
    <row r="717" ht="15.75" customHeight="1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0"/>
      <c r="AO717" s="80"/>
      <c r="AP717" s="80"/>
      <c r="AQ717" s="80"/>
      <c r="AR717" s="80"/>
      <c r="AS717" s="80"/>
      <c r="AT717" s="80"/>
      <c r="AU717" s="80"/>
    </row>
    <row r="718" ht="15.75" customHeight="1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0"/>
      <c r="AO718" s="80"/>
      <c r="AP718" s="80"/>
      <c r="AQ718" s="80"/>
      <c r="AR718" s="80"/>
      <c r="AS718" s="80"/>
      <c r="AT718" s="80"/>
      <c r="AU718" s="80"/>
    </row>
    <row r="719" ht="15.75" customHeight="1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0"/>
      <c r="AO719" s="80"/>
      <c r="AP719" s="80"/>
      <c r="AQ719" s="80"/>
      <c r="AR719" s="80"/>
      <c r="AS719" s="80"/>
      <c r="AT719" s="80"/>
      <c r="AU719" s="80"/>
    </row>
    <row r="720" ht="15.75" customHeight="1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0"/>
      <c r="AO720" s="80"/>
      <c r="AP720" s="80"/>
      <c r="AQ720" s="80"/>
      <c r="AR720" s="80"/>
      <c r="AS720" s="80"/>
      <c r="AT720" s="80"/>
      <c r="AU720" s="80"/>
    </row>
    <row r="721" ht="15.75" customHeight="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0"/>
      <c r="AO721" s="80"/>
      <c r="AP721" s="80"/>
      <c r="AQ721" s="80"/>
      <c r="AR721" s="80"/>
      <c r="AS721" s="80"/>
      <c r="AT721" s="80"/>
      <c r="AU721" s="80"/>
    </row>
    <row r="722" ht="15.75" customHeight="1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0"/>
      <c r="AO722" s="80"/>
      <c r="AP722" s="80"/>
      <c r="AQ722" s="80"/>
      <c r="AR722" s="80"/>
      <c r="AS722" s="80"/>
      <c r="AT722" s="80"/>
      <c r="AU722" s="80"/>
    </row>
    <row r="723" ht="15.75" customHeight="1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0"/>
      <c r="AO723" s="80"/>
      <c r="AP723" s="80"/>
      <c r="AQ723" s="80"/>
      <c r="AR723" s="80"/>
      <c r="AS723" s="80"/>
      <c r="AT723" s="80"/>
      <c r="AU723" s="80"/>
    </row>
    <row r="724" ht="15.75" customHeight="1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0"/>
      <c r="AO724" s="80"/>
      <c r="AP724" s="80"/>
      <c r="AQ724" s="80"/>
      <c r="AR724" s="80"/>
      <c r="AS724" s="80"/>
      <c r="AT724" s="80"/>
      <c r="AU724" s="80"/>
    </row>
    <row r="725" ht="15.75" customHeight="1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0"/>
      <c r="AO725" s="80"/>
      <c r="AP725" s="80"/>
      <c r="AQ725" s="80"/>
      <c r="AR725" s="80"/>
      <c r="AS725" s="80"/>
      <c r="AT725" s="80"/>
      <c r="AU725" s="80"/>
    </row>
    <row r="726" ht="15.75" customHeight="1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0"/>
      <c r="AO726" s="80"/>
      <c r="AP726" s="80"/>
      <c r="AQ726" s="80"/>
      <c r="AR726" s="80"/>
      <c r="AS726" s="80"/>
      <c r="AT726" s="80"/>
      <c r="AU726" s="80"/>
    </row>
    <row r="727" ht="15.75" customHeight="1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0"/>
      <c r="AO727" s="80"/>
      <c r="AP727" s="80"/>
      <c r="AQ727" s="80"/>
      <c r="AR727" s="80"/>
      <c r="AS727" s="80"/>
      <c r="AT727" s="80"/>
      <c r="AU727" s="80"/>
    </row>
    <row r="728" ht="15.75" customHeight="1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0"/>
      <c r="AO728" s="80"/>
      <c r="AP728" s="80"/>
      <c r="AQ728" s="80"/>
      <c r="AR728" s="80"/>
      <c r="AS728" s="80"/>
      <c r="AT728" s="80"/>
      <c r="AU728" s="80"/>
    </row>
    <row r="729" ht="15.75" customHeight="1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0"/>
      <c r="AO729" s="80"/>
      <c r="AP729" s="80"/>
      <c r="AQ729" s="80"/>
      <c r="AR729" s="80"/>
      <c r="AS729" s="80"/>
      <c r="AT729" s="80"/>
      <c r="AU729" s="80"/>
    </row>
    <row r="730" ht="15.75" customHeight="1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0"/>
      <c r="AO730" s="80"/>
      <c r="AP730" s="80"/>
      <c r="AQ730" s="80"/>
      <c r="AR730" s="80"/>
      <c r="AS730" s="80"/>
      <c r="AT730" s="80"/>
      <c r="AU730" s="80"/>
    </row>
    <row r="731" ht="15.75" customHeight="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0"/>
      <c r="AO731" s="80"/>
      <c r="AP731" s="80"/>
      <c r="AQ731" s="80"/>
      <c r="AR731" s="80"/>
      <c r="AS731" s="80"/>
      <c r="AT731" s="80"/>
      <c r="AU731" s="80"/>
    </row>
    <row r="732" ht="15.75" customHeight="1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0"/>
      <c r="AO732" s="80"/>
      <c r="AP732" s="80"/>
      <c r="AQ732" s="80"/>
      <c r="AR732" s="80"/>
      <c r="AS732" s="80"/>
      <c r="AT732" s="80"/>
      <c r="AU732" s="80"/>
    </row>
    <row r="733" ht="15.75" customHeight="1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0"/>
      <c r="AO733" s="80"/>
      <c r="AP733" s="80"/>
      <c r="AQ733" s="80"/>
      <c r="AR733" s="80"/>
      <c r="AS733" s="80"/>
      <c r="AT733" s="80"/>
      <c r="AU733" s="80"/>
    </row>
    <row r="734" ht="15.75" customHeight="1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0"/>
      <c r="AO734" s="80"/>
      <c r="AP734" s="80"/>
      <c r="AQ734" s="80"/>
      <c r="AR734" s="80"/>
      <c r="AS734" s="80"/>
      <c r="AT734" s="80"/>
      <c r="AU734" s="80"/>
    </row>
    <row r="735" ht="15.75" customHeight="1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0"/>
      <c r="AO735" s="80"/>
      <c r="AP735" s="80"/>
      <c r="AQ735" s="80"/>
      <c r="AR735" s="80"/>
      <c r="AS735" s="80"/>
      <c r="AT735" s="80"/>
      <c r="AU735" s="80"/>
    </row>
    <row r="736" ht="15.75" customHeight="1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0"/>
      <c r="AO736" s="80"/>
      <c r="AP736" s="80"/>
      <c r="AQ736" s="80"/>
      <c r="AR736" s="80"/>
      <c r="AS736" s="80"/>
      <c r="AT736" s="80"/>
      <c r="AU736" s="80"/>
    </row>
    <row r="737" ht="15.75" customHeight="1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0"/>
      <c r="AO737" s="80"/>
      <c r="AP737" s="80"/>
      <c r="AQ737" s="80"/>
      <c r="AR737" s="80"/>
      <c r="AS737" s="80"/>
      <c r="AT737" s="80"/>
      <c r="AU737" s="80"/>
    </row>
    <row r="738" ht="15.75" customHeight="1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0"/>
      <c r="AQ738" s="80"/>
      <c r="AR738" s="80"/>
      <c r="AS738" s="80"/>
      <c r="AT738" s="80"/>
      <c r="AU738" s="80"/>
    </row>
    <row r="739" ht="15.75" customHeight="1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0"/>
      <c r="AQ739" s="80"/>
      <c r="AR739" s="80"/>
      <c r="AS739" s="80"/>
      <c r="AT739" s="80"/>
      <c r="AU739" s="80"/>
    </row>
    <row r="740" ht="15.75" customHeight="1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0"/>
      <c r="AQ740" s="80"/>
      <c r="AR740" s="80"/>
      <c r="AS740" s="80"/>
      <c r="AT740" s="80"/>
      <c r="AU740" s="80"/>
    </row>
    <row r="741" ht="15.75" customHeight="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0"/>
      <c r="AQ741" s="80"/>
      <c r="AR741" s="80"/>
      <c r="AS741" s="80"/>
      <c r="AT741" s="80"/>
      <c r="AU741" s="80"/>
    </row>
    <row r="742" ht="15.75" customHeight="1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0"/>
      <c r="AQ742" s="80"/>
      <c r="AR742" s="80"/>
      <c r="AS742" s="80"/>
      <c r="AT742" s="80"/>
      <c r="AU742" s="80"/>
    </row>
    <row r="743" ht="15.75" customHeight="1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0"/>
      <c r="AQ743" s="80"/>
      <c r="AR743" s="80"/>
      <c r="AS743" s="80"/>
      <c r="AT743" s="80"/>
      <c r="AU743" s="80"/>
    </row>
    <row r="744" ht="15.75" customHeight="1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0"/>
      <c r="AQ744" s="80"/>
      <c r="AR744" s="80"/>
      <c r="AS744" s="80"/>
      <c r="AT744" s="80"/>
      <c r="AU744" s="80"/>
    </row>
    <row r="745" ht="15.75" customHeight="1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0"/>
      <c r="AQ745" s="80"/>
      <c r="AR745" s="80"/>
      <c r="AS745" s="80"/>
      <c r="AT745" s="80"/>
      <c r="AU745" s="80"/>
    </row>
    <row r="746" ht="15.75" customHeight="1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0"/>
      <c r="AO746" s="80"/>
      <c r="AP746" s="80"/>
      <c r="AQ746" s="80"/>
      <c r="AR746" s="80"/>
      <c r="AS746" s="80"/>
      <c r="AT746" s="80"/>
      <c r="AU746" s="80"/>
    </row>
    <row r="747" ht="15.75" customHeight="1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0"/>
      <c r="AO747" s="80"/>
      <c r="AP747" s="80"/>
      <c r="AQ747" s="80"/>
      <c r="AR747" s="80"/>
      <c r="AS747" s="80"/>
      <c r="AT747" s="80"/>
      <c r="AU747" s="80"/>
    </row>
    <row r="748" ht="15.75" customHeight="1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0"/>
      <c r="AO748" s="80"/>
      <c r="AP748" s="80"/>
      <c r="AQ748" s="80"/>
      <c r="AR748" s="80"/>
      <c r="AS748" s="80"/>
      <c r="AT748" s="80"/>
      <c r="AU748" s="80"/>
    </row>
    <row r="749" ht="15.75" customHeight="1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0"/>
      <c r="AO749" s="80"/>
      <c r="AP749" s="80"/>
      <c r="AQ749" s="80"/>
      <c r="AR749" s="80"/>
      <c r="AS749" s="80"/>
      <c r="AT749" s="80"/>
      <c r="AU749" s="80"/>
    </row>
    <row r="750" ht="15.75" customHeight="1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0"/>
      <c r="AO750" s="80"/>
      <c r="AP750" s="80"/>
      <c r="AQ750" s="80"/>
      <c r="AR750" s="80"/>
      <c r="AS750" s="80"/>
      <c r="AT750" s="80"/>
      <c r="AU750" s="80"/>
    </row>
    <row r="751" ht="15.75" customHeight="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0"/>
      <c r="AO751" s="80"/>
      <c r="AP751" s="80"/>
      <c r="AQ751" s="80"/>
      <c r="AR751" s="80"/>
      <c r="AS751" s="80"/>
      <c r="AT751" s="80"/>
      <c r="AU751" s="80"/>
    </row>
    <row r="752" ht="15.75" customHeight="1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0"/>
      <c r="AO752" s="80"/>
      <c r="AP752" s="80"/>
      <c r="AQ752" s="80"/>
      <c r="AR752" s="80"/>
      <c r="AS752" s="80"/>
      <c r="AT752" s="80"/>
      <c r="AU752" s="80"/>
    </row>
    <row r="753" ht="15.75" customHeight="1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0"/>
      <c r="AO753" s="80"/>
      <c r="AP753" s="80"/>
      <c r="AQ753" s="80"/>
      <c r="AR753" s="80"/>
      <c r="AS753" s="80"/>
      <c r="AT753" s="80"/>
      <c r="AU753" s="80"/>
    </row>
    <row r="754" ht="15.75" customHeight="1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0"/>
      <c r="AO754" s="80"/>
      <c r="AP754" s="80"/>
      <c r="AQ754" s="80"/>
      <c r="AR754" s="80"/>
      <c r="AS754" s="80"/>
      <c r="AT754" s="80"/>
      <c r="AU754" s="80"/>
    </row>
    <row r="755" ht="15.75" customHeight="1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0"/>
      <c r="AO755" s="80"/>
      <c r="AP755" s="80"/>
      <c r="AQ755" s="80"/>
      <c r="AR755" s="80"/>
      <c r="AS755" s="80"/>
      <c r="AT755" s="80"/>
      <c r="AU755" s="80"/>
    </row>
    <row r="756" ht="15.75" customHeight="1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0"/>
      <c r="AO756" s="80"/>
      <c r="AP756" s="80"/>
      <c r="AQ756" s="80"/>
      <c r="AR756" s="80"/>
      <c r="AS756" s="80"/>
      <c r="AT756" s="80"/>
      <c r="AU756" s="80"/>
    </row>
    <row r="757" ht="15.75" customHeight="1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0"/>
      <c r="AO757" s="80"/>
      <c r="AP757" s="80"/>
      <c r="AQ757" s="80"/>
      <c r="AR757" s="80"/>
      <c r="AS757" s="80"/>
      <c r="AT757" s="80"/>
      <c r="AU757" s="80"/>
    </row>
    <row r="758" ht="15.75" customHeight="1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0"/>
      <c r="AO758" s="80"/>
      <c r="AP758" s="80"/>
      <c r="AQ758" s="80"/>
      <c r="AR758" s="80"/>
      <c r="AS758" s="80"/>
      <c r="AT758" s="80"/>
      <c r="AU758" s="80"/>
    </row>
    <row r="759" ht="15.75" customHeight="1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0"/>
      <c r="AO759" s="80"/>
      <c r="AP759" s="80"/>
      <c r="AQ759" s="80"/>
      <c r="AR759" s="80"/>
      <c r="AS759" s="80"/>
      <c r="AT759" s="80"/>
      <c r="AU759" s="80"/>
    </row>
    <row r="760" ht="15.75" customHeight="1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0"/>
      <c r="AO760" s="80"/>
      <c r="AP760" s="80"/>
      <c r="AQ760" s="80"/>
      <c r="AR760" s="80"/>
      <c r="AS760" s="80"/>
      <c r="AT760" s="80"/>
      <c r="AU760" s="80"/>
    </row>
    <row r="761" ht="15.75" customHeight="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0"/>
      <c r="AO761" s="80"/>
      <c r="AP761" s="80"/>
      <c r="AQ761" s="80"/>
      <c r="AR761" s="80"/>
      <c r="AS761" s="80"/>
      <c r="AT761" s="80"/>
      <c r="AU761" s="80"/>
    </row>
    <row r="762" ht="15.75" customHeight="1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0"/>
      <c r="AO762" s="80"/>
      <c r="AP762" s="80"/>
      <c r="AQ762" s="80"/>
      <c r="AR762" s="80"/>
      <c r="AS762" s="80"/>
      <c r="AT762" s="80"/>
      <c r="AU762" s="80"/>
    </row>
    <row r="763" ht="15.75" customHeight="1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0"/>
      <c r="AO763" s="80"/>
      <c r="AP763" s="80"/>
      <c r="AQ763" s="80"/>
      <c r="AR763" s="80"/>
      <c r="AS763" s="80"/>
      <c r="AT763" s="80"/>
      <c r="AU763" s="80"/>
    </row>
    <row r="764" ht="15.75" customHeight="1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0"/>
      <c r="AO764" s="80"/>
      <c r="AP764" s="80"/>
      <c r="AQ764" s="80"/>
      <c r="AR764" s="80"/>
      <c r="AS764" s="80"/>
      <c r="AT764" s="80"/>
      <c r="AU764" s="80"/>
    </row>
    <row r="765" ht="15.75" customHeight="1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0"/>
      <c r="AO765" s="80"/>
      <c r="AP765" s="80"/>
      <c r="AQ765" s="80"/>
      <c r="AR765" s="80"/>
      <c r="AS765" s="80"/>
      <c r="AT765" s="80"/>
      <c r="AU765" s="80"/>
    </row>
    <row r="766" ht="15.75" customHeight="1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0"/>
      <c r="AO766" s="80"/>
      <c r="AP766" s="80"/>
      <c r="AQ766" s="80"/>
      <c r="AR766" s="80"/>
      <c r="AS766" s="80"/>
      <c r="AT766" s="80"/>
      <c r="AU766" s="80"/>
    </row>
    <row r="767" ht="15.75" customHeight="1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0"/>
      <c r="AO767" s="80"/>
      <c r="AP767" s="80"/>
      <c r="AQ767" s="80"/>
      <c r="AR767" s="80"/>
      <c r="AS767" s="80"/>
      <c r="AT767" s="80"/>
      <c r="AU767" s="80"/>
    </row>
    <row r="768" ht="15.75" customHeight="1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0"/>
      <c r="AO768" s="80"/>
      <c r="AP768" s="80"/>
      <c r="AQ768" s="80"/>
      <c r="AR768" s="80"/>
      <c r="AS768" s="80"/>
      <c r="AT768" s="80"/>
      <c r="AU768" s="80"/>
    </row>
    <row r="769" ht="15.75" customHeight="1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0"/>
      <c r="AO769" s="80"/>
      <c r="AP769" s="80"/>
      <c r="AQ769" s="80"/>
      <c r="AR769" s="80"/>
      <c r="AS769" s="80"/>
      <c r="AT769" s="80"/>
      <c r="AU769" s="80"/>
    </row>
    <row r="770" ht="15.75" customHeight="1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0"/>
      <c r="AO770" s="80"/>
      <c r="AP770" s="80"/>
      <c r="AQ770" s="80"/>
      <c r="AR770" s="80"/>
      <c r="AS770" s="80"/>
      <c r="AT770" s="80"/>
      <c r="AU770" s="80"/>
    </row>
    <row r="771" ht="15.75" customHeight="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0"/>
      <c r="AO771" s="80"/>
      <c r="AP771" s="80"/>
      <c r="AQ771" s="80"/>
      <c r="AR771" s="80"/>
      <c r="AS771" s="80"/>
      <c r="AT771" s="80"/>
      <c r="AU771" s="80"/>
    </row>
    <row r="772" ht="15.75" customHeight="1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0"/>
      <c r="AO772" s="80"/>
      <c r="AP772" s="80"/>
      <c r="AQ772" s="80"/>
      <c r="AR772" s="80"/>
      <c r="AS772" s="80"/>
      <c r="AT772" s="80"/>
      <c r="AU772" s="80"/>
    </row>
    <row r="773" ht="15.75" customHeight="1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0"/>
      <c r="AO773" s="80"/>
      <c r="AP773" s="80"/>
      <c r="AQ773" s="80"/>
      <c r="AR773" s="80"/>
      <c r="AS773" s="80"/>
      <c r="AT773" s="80"/>
      <c r="AU773" s="80"/>
    </row>
    <row r="774" ht="15.75" customHeight="1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0"/>
      <c r="AO774" s="80"/>
      <c r="AP774" s="80"/>
      <c r="AQ774" s="80"/>
      <c r="AR774" s="80"/>
      <c r="AS774" s="80"/>
      <c r="AT774" s="80"/>
      <c r="AU774" s="80"/>
    </row>
    <row r="775" ht="15.75" customHeight="1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0"/>
      <c r="AO775" s="80"/>
      <c r="AP775" s="80"/>
      <c r="AQ775" s="80"/>
      <c r="AR775" s="80"/>
      <c r="AS775" s="80"/>
      <c r="AT775" s="80"/>
      <c r="AU775" s="80"/>
    </row>
    <row r="776" ht="15.75" customHeight="1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0"/>
      <c r="AO776" s="80"/>
      <c r="AP776" s="80"/>
      <c r="AQ776" s="80"/>
      <c r="AR776" s="80"/>
      <c r="AS776" s="80"/>
      <c r="AT776" s="80"/>
      <c r="AU776" s="80"/>
    </row>
    <row r="777" ht="15.75" customHeight="1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0"/>
      <c r="AO777" s="80"/>
      <c r="AP777" s="80"/>
      <c r="AQ777" s="80"/>
      <c r="AR777" s="80"/>
      <c r="AS777" s="80"/>
      <c r="AT777" s="80"/>
      <c r="AU777" s="80"/>
    </row>
    <row r="778" ht="15.75" customHeight="1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0"/>
      <c r="AO778" s="80"/>
      <c r="AP778" s="80"/>
      <c r="AQ778" s="80"/>
      <c r="AR778" s="80"/>
      <c r="AS778" s="80"/>
      <c r="AT778" s="80"/>
      <c r="AU778" s="80"/>
    </row>
    <row r="779" ht="15.75" customHeight="1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0"/>
      <c r="AO779" s="80"/>
      <c r="AP779" s="80"/>
      <c r="AQ779" s="80"/>
      <c r="AR779" s="80"/>
      <c r="AS779" s="80"/>
      <c r="AT779" s="80"/>
      <c r="AU779" s="80"/>
    </row>
    <row r="780" ht="15.75" customHeight="1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0"/>
      <c r="AO780" s="80"/>
      <c r="AP780" s="80"/>
      <c r="AQ780" s="80"/>
      <c r="AR780" s="80"/>
      <c r="AS780" s="80"/>
      <c r="AT780" s="80"/>
      <c r="AU780" s="80"/>
    </row>
    <row r="781" ht="15.75" customHeight="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0"/>
      <c r="AO781" s="80"/>
      <c r="AP781" s="80"/>
      <c r="AQ781" s="80"/>
      <c r="AR781" s="80"/>
      <c r="AS781" s="80"/>
      <c r="AT781" s="80"/>
      <c r="AU781" s="80"/>
    </row>
    <row r="782" ht="15.75" customHeight="1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0"/>
      <c r="AO782" s="80"/>
      <c r="AP782" s="80"/>
      <c r="AQ782" s="80"/>
      <c r="AR782" s="80"/>
      <c r="AS782" s="80"/>
      <c r="AT782" s="80"/>
      <c r="AU782" s="80"/>
    </row>
    <row r="783" ht="15.75" customHeight="1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80"/>
      <c r="AP783" s="80"/>
      <c r="AQ783" s="80"/>
      <c r="AR783" s="80"/>
      <c r="AS783" s="80"/>
      <c r="AT783" s="80"/>
      <c r="AU783" s="80"/>
    </row>
    <row r="784" ht="15.75" customHeight="1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80"/>
      <c r="AP784" s="80"/>
      <c r="AQ784" s="80"/>
      <c r="AR784" s="80"/>
      <c r="AS784" s="80"/>
      <c r="AT784" s="80"/>
      <c r="AU784" s="80"/>
    </row>
    <row r="785" ht="15.75" customHeight="1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80"/>
      <c r="AP785" s="80"/>
      <c r="AQ785" s="80"/>
      <c r="AR785" s="80"/>
      <c r="AS785" s="80"/>
      <c r="AT785" s="80"/>
      <c r="AU785" s="80"/>
    </row>
    <row r="786" ht="15.75" customHeight="1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80"/>
      <c r="AP786" s="80"/>
      <c r="AQ786" s="80"/>
      <c r="AR786" s="80"/>
      <c r="AS786" s="80"/>
      <c r="AT786" s="80"/>
      <c r="AU786" s="80"/>
    </row>
    <row r="787" ht="15.75" customHeight="1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80"/>
      <c r="AP787" s="80"/>
      <c r="AQ787" s="80"/>
      <c r="AR787" s="80"/>
      <c r="AS787" s="80"/>
      <c r="AT787" s="80"/>
      <c r="AU787" s="80"/>
    </row>
    <row r="788" ht="15.75" customHeight="1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80"/>
      <c r="AP788" s="80"/>
      <c r="AQ788" s="80"/>
      <c r="AR788" s="80"/>
      <c r="AS788" s="80"/>
      <c r="AT788" s="80"/>
      <c r="AU788" s="80"/>
    </row>
    <row r="789" ht="15.75" customHeight="1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80"/>
      <c r="AP789" s="80"/>
      <c r="AQ789" s="80"/>
      <c r="AR789" s="80"/>
      <c r="AS789" s="80"/>
      <c r="AT789" s="80"/>
      <c r="AU789" s="80"/>
    </row>
    <row r="790" ht="15.75" customHeight="1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80"/>
      <c r="AP790" s="80"/>
      <c r="AQ790" s="80"/>
      <c r="AR790" s="80"/>
      <c r="AS790" s="80"/>
      <c r="AT790" s="80"/>
      <c r="AU790" s="80"/>
    </row>
    <row r="791" ht="15.75" customHeight="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0"/>
      <c r="AO791" s="80"/>
      <c r="AP791" s="80"/>
      <c r="AQ791" s="80"/>
      <c r="AR791" s="80"/>
      <c r="AS791" s="80"/>
      <c r="AT791" s="80"/>
      <c r="AU791" s="80"/>
    </row>
    <row r="792" ht="15.75" customHeight="1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0"/>
      <c r="AP792" s="80"/>
      <c r="AQ792" s="80"/>
      <c r="AR792" s="80"/>
      <c r="AS792" s="80"/>
      <c r="AT792" s="80"/>
      <c r="AU792" s="80"/>
    </row>
    <row r="793" ht="15.75" customHeight="1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0"/>
      <c r="AO793" s="80"/>
      <c r="AP793" s="80"/>
      <c r="AQ793" s="80"/>
      <c r="AR793" s="80"/>
      <c r="AS793" s="80"/>
      <c r="AT793" s="80"/>
      <c r="AU793" s="80"/>
    </row>
    <row r="794" ht="15.75" customHeight="1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0"/>
      <c r="AO794" s="80"/>
      <c r="AP794" s="80"/>
      <c r="AQ794" s="80"/>
      <c r="AR794" s="80"/>
      <c r="AS794" s="80"/>
      <c r="AT794" s="80"/>
      <c r="AU794" s="80"/>
    </row>
    <row r="795" ht="15.75" customHeight="1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0"/>
      <c r="AO795" s="80"/>
      <c r="AP795" s="80"/>
      <c r="AQ795" s="80"/>
      <c r="AR795" s="80"/>
      <c r="AS795" s="80"/>
      <c r="AT795" s="80"/>
      <c r="AU795" s="80"/>
    </row>
    <row r="796" ht="15.75" customHeight="1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0"/>
      <c r="AO796" s="80"/>
      <c r="AP796" s="80"/>
      <c r="AQ796" s="80"/>
      <c r="AR796" s="80"/>
      <c r="AS796" s="80"/>
      <c r="AT796" s="80"/>
      <c r="AU796" s="80"/>
    </row>
    <row r="797" ht="15.75" customHeight="1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0"/>
      <c r="AO797" s="80"/>
      <c r="AP797" s="80"/>
      <c r="AQ797" s="80"/>
      <c r="AR797" s="80"/>
      <c r="AS797" s="80"/>
      <c r="AT797" s="80"/>
      <c r="AU797" s="80"/>
    </row>
    <row r="798" ht="15.75" customHeight="1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0"/>
      <c r="AO798" s="80"/>
      <c r="AP798" s="80"/>
      <c r="AQ798" s="80"/>
      <c r="AR798" s="80"/>
      <c r="AS798" s="80"/>
      <c r="AT798" s="80"/>
      <c r="AU798" s="80"/>
    </row>
    <row r="799" ht="15.75" customHeight="1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0"/>
      <c r="AO799" s="80"/>
      <c r="AP799" s="80"/>
      <c r="AQ799" s="80"/>
      <c r="AR799" s="80"/>
      <c r="AS799" s="80"/>
      <c r="AT799" s="80"/>
      <c r="AU799" s="80"/>
    </row>
    <row r="800" ht="15.75" customHeight="1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0"/>
      <c r="AO800" s="80"/>
      <c r="AP800" s="80"/>
      <c r="AQ800" s="80"/>
      <c r="AR800" s="80"/>
      <c r="AS800" s="80"/>
      <c r="AT800" s="80"/>
      <c r="AU800" s="80"/>
    </row>
    <row r="801" ht="15.75" customHeight="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0"/>
      <c r="AO801" s="80"/>
      <c r="AP801" s="80"/>
      <c r="AQ801" s="80"/>
      <c r="AR801" s="80"/>
      <c r="AS801" s="80"/>
      <c r="AT801" s="80"/>
      <c r="AU801" s="80"/>
    </row>
    <row r="802" ht="15.75" customHeight="1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0"/>
      <c r="AO802" s="80"/>
      <c r="AP802" s="80"/>
      <c r="AQ802" s="80"/>
      <c r="AR802" s="80"/>
      <c r="AS802" s="80"/>
      <c r="AT802" s="80"/>
      <c r="AU802" s="80"/>
    </row>
    <row r="803" ht="15.75" customHeight="1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0"/>
      <c r="AO803" s="80"/>
      <c r="AP803" s="80"/>
      <c r="AQ803" s="80"/>
      <c r="AR803" s="80"/>
      <c r="AS803" s="80"/>
      <c r="AT803" s="80"/>
      <c r="AU803" s="80"/>
    </row>
    <row r="804" ht="15.75" customHeight="1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0"/>
      <c r="AO804" s="80"/>
      <c r="AP804" s="80"/>
      <c r="AQ804" s="80"/>
      <c r="AR804" s="80"/>
      <c r="AS804" s="80"/>
      <c r="AT804" s="80"/>
      <c r="AU804" s="80"/>
    </row>
    <row r="805" ht="15.75" customHeight="1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0"/>
      <c r="AO805" s="80"/>
      <c r="AP805" s="80"/>
      <c r="AQ805" s="80"/>
      <c r="AR805" s="80"/>
      <c r="AS805" s="80"/>
      <c r="AT805" s="80"/>
      <c r="AU805" s="80"/>
    </row>
    <row r="806" ht="15.75" customHeight="1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0"/>
      <c r="AO806" s="80"/>
      <c r="AP806" s="80"/>
      <c r="AQ806" s="80"/>
      <c r="AR806" s="80"/>
      <c r="AS806" s="80"/>
      <c r="AT806" s="80"/>
      <c r="AU806" s="80"/>
    </row>
    <row r="807" ht="15.75" customHeight="1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0"/>
      <c r="AO807" s="80"/>
      <c r="AP807" s="80"/>
      <c r="AQ807" s="80"/>
      <c r="AR807" s="80"/>
      <c r="AS807" s="80"/>
      <c r="AT807" s="80"/>
      <c r="AU807" s="80"/>
    </row>
    <row r="808" ht="15.75" customHeight="1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0"/>
      <c r="AO808" s="80"/>
      <c r="AP808" s="80"/>
      <c r="AQ808" s="80"/>
      <c r="AR808" s="80"/>
      <c r="AS808" s="80"/>
      <c r="AT808" s="80"/>
      <c r="AU808" s="80"/>
    </row>
    <row r="809" ht="15.75" customHeight="1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0"/>
      <c r="AO809" s="80"/>
      <c r="AP809" s="80"/>
      <c r="AQ809" s="80"/>
      <c r="AR809" s="80"/>
      <c r="AS809" s="80"/>
      <c r="AT809" s="80"/>
      <c r="AU809" s="80"/>
    </row>
    <row r="810" ht="15.75" customHeight="1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0"/>
      <c r="AO810" s="80"/>
      <c r="AP810" s="80"/>
      <c r="AQ810" s="80"/>
      <c r="AR810" s="80"/>
      <c r="AS810" s="80"/>
      <c r="AT810" s="80"/>
      <c r="AU810" s="80"/>
    </row>
    <row r="811" ht="15.75" customHeight="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0"/>
      <c r="AO811" s="80"/>
      <c r="AP811" s="80"/>
      <c r="AQ811" s="80"/>
      <c r="AR811" s="80"/>
      <c r="AS811" s="80"/>
      <c r="AT811" s="80"/>
      <c r="AU811" s="80"/>
    </row>
    <row r="812" ht="15.75" customHeight="1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0"/>
      <c r="AO812" s="80"/>
      <c r="AP812" s="80"/>
      <c r="AQ812" s="80"/>
      <c r="AR812" s="80"/>
      <c r="AS812" s="80"/>
      <c r="AT812" s="80"/>
      <c r="AU812" s="80"/>
    </row>
    <row r="813" ht="15.75" customHeight="1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0"/>
      <c r="AO813" s="80"/>
      <c r="AP813" s="80"/>
      <c r="AQ813" s="80"/>
      <c r="AR813" s="80"/>
      <c r="AS813" s="80"/>
      <c r="AT813" s="80"/>
      <c r="AU813" s="80"/>
    </row>
    <row r="814" ht="15.75" customHeight="1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0"/>
      <c r="AO814" s="80"/>
      <c r="AP814" s="80"/>
      <c r="AQ814" s="80"/>
      <c r="AR814" s="80"/>
      <c r="AS814" s="80"/>
      <c r="AT814" s="80"/>
      <c r="AU814" s="80"/>
    </row>
    <row r="815" ht="15.75" customHeight="1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0"/>
      <c r="AO815" s="80"/>
      <c r="AP815" s="80"/>
      <c r="AQ815" s="80"/>
      <c r="AR815" s="80"/>
      <c r="AS815" s="80"/>
      <c r="AT815" s="80"/>
      <c r="AU815" s="80"/>
    </row>
    <row r="816" ht="15.75" customHeight="1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0"/>
      <c r="AO816" s="80"/>
      <c r="AP816" s="80"/>
      <c r="AQ816" s="80"/>
      <c r="AR816" s="80"/>
      <c r="AS816" s="80"/>
      <c r="AT816" s="80"/>
      <c r="AU816" s="80"/>
    </row>
    <row r="817" ht="15.75" customHeight="1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0"/>
      <c r="AO817" s="80"/>
      <c r="AP817" s="80"/>
      <c r="AQ817" s="80"/>
      <c r="AR817" s="80"/>
      <c r="AS817" s="80"/>
      <c r="AT817" s="80"/>
      <c r="AU817" s="80"/>
    </row>
    <row r="818" ht="15.75" customHeight="1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0"/>
      <c r="AO818" s="80"/>
      <c r="AP818" s="80"/>
      <c r="AQ818" s="80"/>
      <c r="AR818" s="80"/>
      <c r="AS818" s="80"/>
      <c r="AT818" s="80"/>
      <c r="AU818" s="80"/>
    </row>
    <row r="819" ht="15.75" customHeight="1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0"/>
      <c r="AO819" s="80"/>
      <c r="AP819" s="80"/>
      <c r="AQ819" s="80"/>
      <c r="AR819" s="80"/>
      <c r="AS819" s="80"/>
      <c r="AT819" s="80"/>
      <c r="AU819" s="80"/>
    </row>
    <row r="820" ht="15.75" customHeight="1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0"/>
      <c r="AO820" s="80"/>
      <c r="AP820" s="80"/>
      <c r="AQ820" s="80"/>
      <c r="AR820" s="80"/>
      <c r="AS820" s="80"/>
      <c r="AT820" s="80"/>
      <c r="AU820" s="80"/>
    </row>
    <row r="821" ht="15.75" customHeight="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0"/>
      <c r="AO821" s="80"/>
      <c r="AP821" s="80"/>
      <c r="AQ821" s="80"/>
      <c r="AR821" s="80"/>
      <c r="AS821" s="80"/>
      <c r="AT821" s="80"/>
      <c r="AU821" s="80"/>
    </row>
    <row r="822" ht="15.75" customHeight="1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0"/>
      <c r="AO822" s="80"/>
      <c r="AP822" s="80"/>
      <c r="AQ822" s="80"/>
      <c r="AR822" s="80"/>
      <c r="AS822" s="80"/>
      <c r="AT822" s="80"/>
      <c r="AU822" s="80"/>
    </row>
    <row r="823" ht="15.75" customHeight="1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0"/>
      <c r="AO823" s="80"/>
      <c r="AP823" s="80"/>
      <c r="AQ823" s="80"/>
      <c r="AR823" s="80"/>
      <c r="AS823" s="80"/>
      <c r="AT823" s="80"/>
      <c r="AU823" s="80"/>
    </row>
    <row r="824" ht="15.75" customHeight="1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0"/>
      <c r="AO824" s="80"/>
      <c r="AP824" s="80"/>
      <c r="AQ824" s="80"/>
      <c r="AR824" s="80"/>
      <c r="AS824" s="80"/>
      <c r="AT824" s="80"/>
      <c r="AU824" s="80"/>
    </row>
    <row r="825" ht="15.75" customHeight="1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0"/>
      <c r="AO825" s="80"/>
      <c r="AP825" s="80"/>
      <c r="AQ825" s="80"/>
      <c r="AR825" s="80"/>
      <c r="AS825" s="80"/>
      <c r="AT825" s="80"/>
      <c r="AU825" s="80"/>
    </row>
    <row r="826" ht="15.75" customHeight="1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0"/>
      <c r="AO826" s="80"/>
      <c r="AP826" s="80"/>
      <c r="AQ826" s="80"/>
      <c r="AR826" s="80"/>
      <c r="AS826" s="80"/>
      <c r="AT826" s="80"/>
      <c r="AU826" s="80"/>
    </row>
    <row r="827" ht="15.75" customHeight="1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0"/>
      <c r="AO827" s="80"/>
      <c r="AP827" s="80"/>
      <c r="AQ827" s="80"/>
      <c r="AR827" s="80"/>
      <c r="AS827" s="80"/>
      <c r="AT827" s="80"/>
      <c r="AU827" s="80"/>
    </row>
    <row r="828" ht="15.75" customHeight="1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80"/>
      <c r="AP828" s="80"/>
      <c r="AQ828" s="80"/>
      <c r="AR828" s="80"/>
      <c r="AS828" s="80"/>
      <c r="AT828" s="80"/>
      <c r="AU828" s="80"/>
    </row>
    <row r="829" ht="15.75" customHeight="1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0"/>
      <c r="AQ829" s="80"/>
      <c r="AR829" s="80"/>
      <c r="AS829" s="80"/>
      <c r="AT829" s="80"/>
      <c r="AU829" s="80"/>
    </row>
    <row r="830" ht="15.75" customHeight="1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80"/>
      <c r="AP830" s="80"/>
      <c r="AQ830" s="80"/>
      <c r="AR830" s="80"/>
      <c r="AS830" s="80"/>
      <c r="AT830" s="80"/>
      <c r="AU830" s="80"/>
    </row>
    <row r="831" ht="15.75" customHeight="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80"/>
      <c r="AP831" s="80"/>
      <c r="AQ831" s="80"/>
      <c r="AR831" s="80"/>
      <c r="AS831" s="80"/>
      <c r="AT831" s="80"/>
      <c r="AU831" s="80"/>
    </row>
    <row r="832" ht="15.75" customHeight="1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80"/>
      <c r="AP832" s="80"/>
      <c r="AQ832" s="80"/>
      <c r="AR832" s="80"/>
      <c r="AS832" s="80"/>
      <c r="AT832" s="80"/>
      <c r="AU832" s="80"/>
    </row>
    <row r="833" ht="15.75" customHeight="1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80"/>
      <c r="AP833" s="80"/>
      <c r="AQ833" s="80"/>
      <c r="AR833" s="80"/>
      <c r="AS833" s="80"/>
      <c r="AT833" s="80"/>
      <c r="AU833" s="80"/>
    </row>
    <row r="834" ht="15.75" customHeight="1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80"/>
      <c r="AP834" s="80"/>
      <c r="AQ834" s="80"/>
      <c r="AR834" s="80"/>
      <c r="AS834" s="80"/>
      <c r="AT834" s="80"/>
      <c r="AU834" s="80"/>
    </row>
    <row r="835" ht="15.75" customHeight="1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80"/>
      <c r="AP835" s="80"/>
      <c r="AQ835" s="80"/>
      <c r="AR835" s="80"/>
      <c r="AS835" s="80"/>
      <c r="AT835" s="80"/>
      <c r="AU835" s="80"/>
    </row>
    <row r="836" ht="15.75" customHeight="1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0"/>
      <c r="AO836" s="80"/>
      <c r="AP836" s="80"/>
      <c r="AQ836" s="80"/>
      <c r="AR836" s="80"/>
      <c r="AS836" s="80"/>
      <c r="AT836" s="80"/>
      <c r="AU836" s="80"/>
    </row>
    <row r="837" ht="15.75" customHeight="1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0"/>
      <c r="AO837" s="80"/>
      <c r="AP837" s="80"/>
      <c r="AQ837" s="80"/>
      <c r="AR837" s="80"/>
      <c r="AS837" s="80"/>
      <c r="AT837" s="80"/>
      <c r="AU837" s="80"/>
    </row>
    <row r="838" ht="15.75" customHeight="1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0"/>
      <c r="AO838" s="80"/>
      <c r="AP838" s="80"/>
      <c r="AQ838" s="80"/>
      <c r="AR838" s="80"/>
      <c r="AS838" s="80"/>
      <c r="AT838" s="80"/>
      <c r="AU838" s="80"/>
    </row>
    <row r="839" ht="15.75" customHeight="1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0"/>
      <c r="AO839" s="80"/>
      <c r="AP839" s="80"/>
      <c r="AQ839" s="80"/>
      <c r="AR839" s="80"/>
      <c r="AS839" s="80"/>
      <c r="AT839" s="80"/>
      <c r="AU839" s="80"/>
    </row>
    <row r="840" ht="15.75" customHeight="1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0"/>
      <c r="AQ840" s="80"/>
      <c r="AR840" s="80"/>
      <c r="AS840" s="80"/>
      <c r="AT840" s="80"/>
      <c r="AU840" s="80"/>
    </row>
    <row r="841" ht="15.75" customHeight="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0"/>
      <c r="AQ841" s="80"/>
      <c r="AR841" s="80"/>
      <c r="AS841" s="80"/>
      <c r="AT841" s="80"/>
      <c r="AU841" s="80"/>
    </row>
    <row r="842" ht="15.75" customHeight="1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0"/>
      <c r="AQ842" s="80"/>
      <c r="AR842" s="80"/>
      <c r="AS842" s="80"/>
      <c r="AT842" s="80"/>
      <c r="AU842" s="80"/>
    </row>
    <row r="843" ht="15.75" customHeight="1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0"/>
      <c r="AQ843" s="80"/>
      <c r="AR843" s="80"/>
      <c r="AS843" s="80"/>
      <c r="AT843" s="80"/>
      <c r="AU843" s="80"/>
    </row>
    <row r="844" ht="15.75" customHeight="1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0"/>
      <c r="AQ844" s="80"/>
      <c r="AR844" s="80"/>
      <c r="AS844" s="80"/>
      <c r="AT844" s="80"/>
      <c r="AU844" s="80"/>
    </row>
    <row r="845" ht="15.75" customHeight="1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  <c r="AR845" s="80"/>
      <c r="AS845" s="80"/>
      <c r="AT845" s="80"/>
      <c r="AU845" s="80"/>
    </row>
    <row r="846" ht="15.75" customHeight="1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  <c r="AR846" s="80"/>
      <c r="AS846" s="80"/>
      <c r="AT846" s="80"/>
      <c r="AU846" s="80"/>
    </row>
    <row r="847" ht="15.75" customHeight="1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0"/>
      <c r="AQ847" s="80"/>
      <c r="AR847" s="80"/>
      <c r="AS847" s="80"/>
      <c r="AT847" s="80"/>
      <c r="AU847" s="80"/>
    </row>
    <row r="848" ht="15.75" customHeight="1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0"/>
      <c r="AQ848" s="80"/>
      <c r="AR848" s="80"/>
      <c r="AS848" s="80"/>
      <c r="AT848" s="80"/>
      <c r="AU848" s="80"/>
    </row>
    <row r="849" ht="15.75" customHeight="1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0"/>
      <c r="AQ849" s="80"/>
      <c r="AR849" s="80"/>
      <c r="AS849" s="80"/>
      <c r="AT849" s="80"/>
      <c r="AU849" s="80"/>
    </row>
    <row r="850" ht="15.75" customHeight="1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0"/>
      <c r="AQ850" s="80"/>
      <c r="AR850" s="80"/>
      <c r="AS850" s="80"/>
      <c r="AT850" s="80"/>
      <c r="AU850" s="80"/>
    </row>
    <row r="851" ht="15.75" customHeight="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0"/>
      <c r="AQ851" s="80"/>
      <c r="AR851" s="80"/>
      <c r="AS851" s="80"/>
      <c r="AT851" s="80"/>
      <c r="AU851" s="80"/>
    </row>
    <row r="852" ht="15.75" customHeight="1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0"/>
      <c r="AQ852" s="80"/>
      <c r="AR852" s="80"/>
      <c r="AS852" s="80"/>
      <c r="AT852" s="80"/>
      <c r="AU852" s="80"/>
    </row>
    <row r="853" ht="15.75" customHeight="1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0"/>
      <c r="AQ853" s="80"/>
      <c r="AR853" s="80"/>
      <c r="AS853" s="80"/>
      <c r="AT853" s="80"/>
      <c r="AU853" s="80"/>
    </row>
    <row r="854" ht="15.75" customHeight="1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0"/>
      <c r="AQ854" s="80"/>
      <c r="AR854" s="80"/>
      <c r="AS854" s="80"/>
      <c r="AT854" s="80"/>
      <c r="AU854" s="80"/>
    </row>
    <row r="855" ht="15.75" customHeight="1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0"/>
      <c r="AQ855" s="80"/>
      <c r="AR855" s="80"/>
      <c r="AS855" s="80"/>
      <c r="AT855" s="80"/>
      <c r="AU855" s="80"/>
    </row>
    <row r="856" ht="15.75" customHeight="1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0"/>
      <c r="AQ856" s="80"/>
      <c r="AR856" s="80"/>
      <c r="AS856" s="80"/>
      <c r="AT856" s="80"/>
      <c r="AU856" s="80"/>
    </row>
    <row r="857" ht="15.75" customHeight="1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0"/>
      <c r="AQ857" s="80"/>
      <c r="AR857" s="80"/>
      <c r="AS857" s="80"/>
      <c r="AT857" s="80"/>
      <c r="AU857" s="80"/>
    </row>
    <row r="858" ht="15.75" customHeight="1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0"/>
      <c r="AQ858" s="80"/>
      <c r="AR858" s="80"/>
      <c r="AS858" s="80"/>
      <c r="AT858" s="80"/>
      <c r="AU858" s="80"/>
    </row>
    <row r="859" ht="15.75" customHeight="1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0"/>
      <c r="AQ859" s="80"/>
      <c r="AR859" s="80"/>
      <c r="AS859" s="80"/>
      <c r="AT859" s="80"/>
      <c r="AU859" s="80"/>
    </row>
    <row r="860" ht="15.75" customHeight="1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0"/>
      <c r="AQ860" s="80"/>
      <c r="AR860" s="80"/>
      <c r="AS860" s="80"/>
      <c r="AT860" s="80"/>
      <c r="AU860" s="80"/>
    </row>
    <row r="861" ht="15.75" customHeight="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0"/>
      <c r="AQ861" s="80"/>
      <c r="AR861" s="80"/>
      <c r="AS861" s="80"/>
      <c r="AT861" s="80"/>
      <c r="AU861" s="80"/>
    </row>
    <row r="862" ht="15.75" customHeight="1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0"/>
      <c r="AQ862" s="80"/>
      <c r="AR862" s="80"/>
      <c r="AS862" s="80"/>
      <c r="AT862" s="80"/>
      <c r="AU862" s="80"/>
    </row>
    <row r="863" ht="15.75" customHeight="1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0"/>
      <c r="AQ863" s="80"/>
      <c r="AR863" s="80"/>
      <c r="AS863" s="80"/>
      <c r="AT863" s="80"/>
      <c r="AU863" s="80"/>
    </row>
    <row r="864" ht="15.75" customHeight="1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0"/>
      <c r="AO864" s="80"/>
      <c r="AP864" s="80"/>
      <c r="AQ864" s="80"/>
      <c r="AR864" s="80"/>
      <c r="AS864" s="80"/>
      <c r="AT864" s="80"/>
      <c r="AU864" s="80"/>
    </row>
    <row r="865" ht="15.75" customHeight="1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0"/>
      <c r="AO865" s="80"/>
      <c r="AP865" s="80"/>
      <c r="AQ865" s="80"/>
      <c r="AR865" s="80"/>
      <c r="AS865" s="80"/>
      <c r="AT865" s="80"/>
      <c r="AU865" s="80"/>
    </row>
    <row r="866" ht="15.75" customHeight="1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0"/>
      <c r="AO866" s="80"/>
      <c r="AP866" s="80"/>
      <c r="AQ866" s="80"/>
      <c r="AR866" s="80"/>
      <c r="AS866" s="80"/>
      <c r="AT866" s="80"/>
      <c r="AU866" s="80"/>
    </row>
    <row r="867" ht="15.75" customHeight="1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0"/>
      <c r="AO867" s="80"/>
      <c r="AP867" s="80"/>
      <c r="AQ867" s="80"/>
      <c r="AR867" s="80"/>
      <c r="AS867" s="80"/>
      <c r="AT867" s="80"/>
      <c r="AU867" s="80"/>
    </row>
    <row r="868" ht="15.75" customHeight="1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0"/>
      <c r="AO868" s="80"/>
      <c r="AP868" s="80"/>
      <c r="AQ868" s="80"/>
      <c r="AR868" s="80"/>
      <c r="AS868" s="80"/>
      <c r="AT868" s="80"/>
      <c r="AU868" s="80"/>
    </row>
    <row r="869" ht="15.75" customHeight="1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0"/>
      <c r="AQ869" s="80"/>
      <c r="AR869" s="80"/>
      <c r="AS869" s="80"/>
      <c r="AT869" s="80"/>
      <c r="AU869" s="80"/>
    </row>
    <row r="870" ht="15.75" customHeight="1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0"/>
      <c r="AO870" s="80"/>
      <c r="AP870" s="80"/>
      <c r="AQ870" s="80"/>
      <c r="AR870" s="80"/>
      <c r="AS870" s="80"/>
      <c r="AT870" s="80"/>
      <c r="AU870" s="80"/>
    </row>
    <row r="871" ht="15.75" customHeight="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0"/>
      <c r="AO871" s="80"/>
      <c r="AP871" s="80"/>
      <c r="AQ871" s="80"/>
      <c r="AR871" s="80"/>
      <c r="AS871" s="80"/>
      <c r="AT871" s="80"/>
      <c r="AU871" s="80"/>
    </row>
    <row r="872" ht="15.75" customHeight="1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0"/>
      <c r="AO872" s="80"/>
      <c r="AP872" s="80"/>
      <c r="AQ872" s="80"/>
      <c r="AR872" s="80"/>
      <c r="AS872" s="80"/>
      <c r="AT872" s="80"/>
      <c r="AU872" s="80"/>
    </row>
    <row r="873" ht="15.75" customHeight="1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80"/>
      <c r="AP873" s="80"/>
      <c r="AQ873" s="80"/>
      <c r="AR873" s="80"/>
      <c r="AS873" s="80"/>
      <c r="AT873" s="80"/>
      <c r="AU873" s="80"/>
    </row>
    <row r="874" ht="15.75" customHeight="1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80"/>
      <c r="AP874" s="80"/>
      <c r="AQ874" s="80"/>
      <c r="AR874" s="80"/>
      <c r="AS874" s="80"/>
      <c r="AT874" s="80"/>
      <c r="AU874" s="80"/>
    </row>
    <row r="875" ht="15.75" customHeight="1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80"/>
      <c r="AP875" s="80"/>
      <c r="AQ875" s="80"/>
      <c r="AR875" s="80"/>
      <c r="AS875" s="80"/>
      <c r="AT875" s="80"/>
      <c r="AU875" s="80"/>
    </row>
    <row r="876" ht="15.75" customHeight="1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80"/>
      <c r="AP876" s="80"/>
      <c r="AQ876" s="80"/>
      <c r="AR876" s="80"/>
      <c r="AS876" s="80"/>
      <c r="AT876" s="80"/>
      <c r="AU876" s="80"/>
    </row>
    <row r="877" ht="15.75" customHeight="1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80"/>
      <c r="AP877" s="80"/>
      <c r="AQ877" s="80"/>
      <c r="AR877" s="80"/>
      <c r="AS877" s="80"/>
      <c r="AT877" s="80"/>
      <c r="AU877" s="80"/>
    </row>
    <row r="878" ht="15.75" customHeight="1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80"/>
      <c r="AP878" s="80"/>
      <c r="AQ878" s="80"/>
      <c r="AR878" s="80"/>
      <c r="AS878" s="80"/>
      <c r="AT878" s="80"/>
      <c r="AU878" s="80"/>
    </row>
    <row r="879" ht="15.75" customHeight="1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80"/>
      <c r="AP879" s="80"/>
      <c r="AQ879" s="80"/>
      <c r="AR879" s="80"/>
      <c r="AS879" s="80"/>
      <c r="AT879" s="80"/>
      <c r="AU879" s="80"/>
    </row>
    <row r="880" ht="15.75" customHeight="1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80"/>
      <c r="AP880" s="80"/>
      <c r="AQ880" s="80"/>
      <c r="AR880" s="80"/>
      <c r="AS880" s="80"/>
      <c r="AT880" s="80"/>
      <c r="AU880" s="80"/>
    </row>
    <row r="881" ht="15.75" customHeight="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0"/>
      <c r="AO881" s="80"/>
      <c r="AP881" s="80"/>
      <c r="AQ881" s="80"/>
      <c r="AR881" s="80"/>
      <c r="AS881" s="80"/>
      <c r="AT881" s="80"/>
      <c r="AU881" s="80"/>
    </row>
    <row r="882" ht="15.75" customHeight="1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0"/>
      <c r="AO882" s="80"/>
      <c r="AP882" s="80"/>
      <c r="AQ882" s="80"/>
      <c r="AR882" s="80"/>
      <c r="AS882" s="80"/>
      <c r="AT882" s="80"/>
      <c r="AU882" s="80"/>
    </row>
    <row r="883" ht="15.75" customHeight="1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0"/>
      <c r="AO883" s="80"/>
      <c r="AP883" s="80"/>
      <c r="AQ883" s="80"/>
      <c r="AR883" s="80"/>
      <c r="AS883" s="80"/>
      <c r="AT883" s="80"/>
      <c r="AU883" s="80"/>
    </row>
    <row r="884" ht="15.75" customHeight="1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0"/>
      <c r="AO884" s="80"/>
      <c r="AP884" s="80"/>
      <c r="AQ884" s="80"/>
      <c r="AR884" s="80"/>
      <c r="AS884" s="80"/>
      <c r="AT884" s="80"/>
      <c r="AU884" s="80"/>
    </row>
    <row r="885" ht="15.75" customHeight="1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0"/>
      <c r="AO885" s="80"/>
      <c r="AP885" s="80"/>
      <c r="AQ885" s="80"/>
      <c r="AR885" s="80"/>
      <c r="AS885" s="80"/>
      <c r="AT885" s="80"/>
      <c r="AU885" s="80"/>
    </row>
    <row r="886" ht="15.75" customHeight="1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0"/>
      <c r="AO886" s="80"/>
      <c r="AP886" s="80"/>
      <c r="AQ886" s="80"/>
      <c r="AR886" s="80"/>
      <c r="AS886" s="80"/>
      <c r="AT886" s="80"/>
      <c r="AU886" s="80"/>
    </row>
    <row r="887" ht="15.75" customHeight="1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0"/>
      <c r="AO887" s="80"/>
      <c r="AP887" s="80"/>
      <c r="AQ887" s="80"/>
      <c r="AR887" s="80"/>
      <c r="AS887" s="80"/>
      <c r="AT887" s="80"/>
      <c r="AU887" s="80"/>
    </row>
    <row r="888" ht="15.75" customHeight="1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0"/>
      <c r="AO888" s="80"/>
      <c r="AP888" s="80"/>
      <c r="AQ888" s="80"/>
      <c r="AR888" s="80"/>
      <c r="AS888" s="80"/>
      <c r="AT888" s="80"/>
      <c r="AU888" s="80"/>
    </row>
    <row r="889" ht="15.75" customHeight="1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0"/>
      <c r="AO889" s="80"/>
      <c r="AP889" s="80"/>
      <c r="AQ889" s="80"/>
      <c r="AR889" s="80"/>
      <c r="AS889" s="80"/>
      <c r="AT889" s="80"/>
      <c r="AU889" s="80"/>
    </row>
    <row r="890" ht="15.75" customHeight="1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0"/>
      <c r="AO890" s="80"/>
      <c r="AP890" s="80"/>
      <c r="AQ890" s="80"/>
      <c r="AR890" s="80"/>
      <c r="AS890" s="80"/>
      <c r="AT890" s="80"/>
      <c r="AU890" s="80"/>
    </row>
    <row r="891" ht="15.75" customHeight="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0"/>
      <c r="AO891" s="80"/>
      <c r="AP891" s="80"/>
      <c r="AQ891" s="80"/>
      <c r="AR891" s="80"/>
      <c r="AS891" s="80"/>
      <c r="AT891" s="80"/>
      <c r="AU891" s="80"/>
    </row>
    <row r="892" ht="15.75" customHeight="1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0"/>
      <c r="AO892" s="80"/>
      <c r="AP892" s="80"/>
      <c r="AQ892" s="80"/>
      <c r="AR892" s="80"/>
      <c r="AS892" s="80"/>
      <c r="AT892" s="80"/>
      <c r="AU892" s="80"/>
    </row>
    <row r="893" ht="15.75" customHeight="1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0"/>
      <c r="AO893" s="80"/>
      <c r="AP893" s="80"/>
      <c r="AQ893" s="80"/>
      <c r="AR893" s="80"/>
      <c r="AS893" s="80"/>
      <c r="AT893" s="80"/>
      <c r="AU893" s="80"/>
    </row>
    <row r="894" ht="15.75" customHeight="1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0"/>
      <c r="AO894" s="80"/>
      <c r="AP894" s="80"/>
      <c r="AQ894" s="80"/>
      <c r="AR894" s="80"/>
      <c r="AS894" s="80"/>
      <c r="AT894" s="80"/>
      <c r="AU894" s="80"/>
    </row>
    <row r="895" ht="15.75" customHeight="1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0"/>
      <c r="AO895" s="80"/>
      <c r="AP895" s="80"/>
      <c r="AQ895" s="80"/>
      <c r="AR895" s="80"/>
      <c r="AS895" s="80"/>
      <c r="AT895" s="80"/>
      <c r="AU895" s="80"/>
    </row>
    <row r="896" ht="15.75" customHeight="1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0"/>
      <c r="AO896" s="80"/>
      <c r="AP896" s="80"/>
      <c r="AQ896" s="80"/>
      <c r="AR896" s="80"/>
      <c r="AS896" s="80"/>
      <c r="AT896" s="80"/>
      <c r="AU896" s="80"/>
    </row>
    <row r="897" ht="15.75" customHeight="1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0"/>
      <c r="AO897" s="80"/>
      <c r="AP897" s="80"/>
      <c r="AQ897" s="80"/>
      <c r="AR897" s="80"/>
      <c r="AS897" s="80"/>
      <c r="AT897" s="80"/>
      <c r="AU897" s="80"/>
    </row>
    <row r="898" ht="15.75" customHeight="1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0"/>
      <c r="AO898" s="80"/>
      <c r="AP898" s="80"/>
      <c r="AQ898" s="80"/>
      <c r="AR898" s="80"/>
      <c r="AS898" s="80"/>
      <c r="AT898" s="80"/>
      <c r="AU898" s="80"/>
    </row>
    <row r="899" ht="15.75" customHeight="1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0"/>
      <c r="AO899" s="80"/>
      <c r="AP899" s="80"/>
      <c r="AQ899" s="80"/>
      <c r="AR899" s="80"/>
      <c r="AS899" s="80"/>
      <c r="AT899" s="80"/>
      <c r="AU899" s="80"/>
    </row>
    <row r="900" ht="15.75" customHeight="1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0"/>
      <c r="AO900" s="80"/>
      <c r="AP900" s="80"/>
      <c r="AQ900" s="80"/>
      <c r="AR900" s="80"/>
      <c r="AS900" s="80"/>
      <c r="AT900" s="80"/>
      <c r="AU900" s="80"/>
    </row>
    <row r="901" ht="15.75" customHeight="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0"/>
      <c r="AO901" s="80"/>
      <c r="AP901" s="80"/>
      <c r="AQ901" s="80"/>
      <c r="AR901" s="80"/>
      <c r="AS901" s="80"/>
      <c r="AT901" s="80"/>
      <c r="AU901" s="80"/>
    </row>
    <row r="902" ht="15.75" customHeight="1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0"/>
      <c r="AO902" s="80"/>
      <c r="AP902" s="80"/>
      <c r="AQ902" s="80"/>
      <c r="AR902" s="80"/>
      <c r="AS902" s="80"/>
      <c r="AT902" s="80"/>
      <c r="AU902" s="80"/>
    </row>
    <row r="903" ht="15.75" customHeight="1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0"/>
      <c r="AO903" s="80"/>
      <c r="AP903" s="80"/>
      <c r="AQ903" s="80"/>
      <c r="AR903" s="80"/>
      <c r="AS903" s="80"/>
      <c r="AT903" s="80"/>
      <c r="AU903" s="80"/>
    </row>
    <row r="904" ht="15.75" customHeight="1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0"/>
      <c r="AO904" s="80"/>
      <c r="AP904" s="80"/>
      <c r="AQ904" s="80"/>
      <c r="AR904" s="80"/>
      <c r="AS904" s="80"/>
      <c r="AT904" s="80"/>
      <c r="AU904" s="80"/>
    </row>
    <row r="905" ht="15.75" customHeight="1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0"/>
      <c r="AO905" s="80"/>
      <c r="AP905" s="80"/>
      <c r="AQ905" s="80"/>
      <c r="AR905" s="80"/>
      <c r="AS905" s="80"/>
      <c r="AT905" s="80"/>
      <c r="AU905" s="80"/>
    </row>
    <row r="906" ht="15.75" customHeight="1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0"/>
      <c r="AO906" s="80"/>
      <c r="AP906" s="80"/>
      <c r="AQ906" s="80"/>
      <c r="AR906" s="80"/>
      <c r="AS906" s="80"/>
      <c r="AT906" s="80"/>
      <c r="AU906" s="80"/>
    </row>
    <row r="907" ht="15.75" customHeight="1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0"/>
      <c r="AO907" s="80"/>
      <c r="AP907" s="80"/>
      <c r="AQ907" s="80"/>
      <c r="AR907" s="80"/>
      <c r="AS907" s="80"/>
      <c r="AT907" s="80"/>
      <c r="AU907" s="80"/>
    </row>
    <row r="908" ht="15.75" customHeight="1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0"/>
      <c r="AO908" s="80"/>
      <c r="AP908" s="80"/>
      <c r="AQ908" s="80"/>
      <c r="AR908" s="80"/>
      <c r="AS908" s="80"/>
      <c r="AT908" s="80"/>
      <c r="AU908" s="80"/>
    </row>
    <row r="909" ht="15.75" customHeight="1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0"/>
      <c r="AQ909" s="80"/>
      <c r="AR909" s="80"/>
      <c r="AS909" s="80"/>
      <c r="AT909" s="80"/>
      <c r="AU909" s="80"/>
    </row>
    <row r="910" ht="15.75" customHeight="1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0"/>
      <c r="AO910" s="80"/>
      <c r="AP910" s="80"/>
      <c r="AQ910" s="80"/>
      <c r="AR910" s="80"/>
      <c r="AS910" s="80"/>
      <c r="AT910" s="80"/>
      <c r="AU910" s="80"/>
    </row>
    <row r="911" ht="15.75" customHeight="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0"/>
      <c r="AQ911" s="80"/>
      <c r="AR911" s="80"/>
      <c r="AS911" s="80"/>
      <c r="AT911" s="80"/>
      <c r="AU911" s="80"/>
    </row>
    <row r="912" ht="15.75" customHeight="1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0"/>
      <c r="AQ912" s="80"/>
      <c r="AR912" s="80"/>
      <c r="AS912" s="80"/>
      <c r="AT912" s="80"/>
      <c r="AU912" s="80"/>
    </row>
    <row r="913" ht="15.75" customHeight="1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0"/>
      <c r="AQ913" s="80"/>
      <c r="AR913" s="80"/>
      <c r="AS913" s="80"/>
      <c r="AT913" s="80"/>
      <c r="AU913" s="80"/>
    </row>
    <row r="914" ht="15.75" customHeight="1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0"/>
      <c r="AQ914" s="80"/>
      <c r="AR914" s="80"/>
      <c r="AS914" s="80"/>
      <c r="AT914" s="80"/>
      <c r="AU914" s="80"/>
    </row>
    <row r="915" ht="15.75" customHeight="1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0"/>
      <c r="AQ915" s="80"/>
      <c r="AR915" s="80"/>
      <c r="AS915" s="80"/>
      <c r="AT915" s="80"/>
      <c r="AU915" s="80"/>
    </row>
    <row r="916" ht="15.75" customHeight="1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0"/>
      <c r="AQ916" s="80"/>
      <c r="AR916" s="80"/>
      <c r="AS916" s="80"/>
      <c r="AT916" s="80"/>
      <c r="AU916" s="80"/>
    </row>
    <row r="917" ht="15.75" customHeight="1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0"/>
      <c r="AQ917" s="80"/>
      <c r="AR917" s="80"/>
      <c r="AS917" s="80"/>
      <c r="AT917" s="80"/>
      <c r="AU917" s="80"/>
    </row>
    <row r="918" ht="15.75" customHeight="1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0"/>
      <c r="AQ918" s="80"/>
      <c r="AR918" s="80"/>
      <c r="AS918" s="80"/>
      <c r="AT918" s="80"/>
      <c r="AU918" s="80"/>
    </row>
    <row r="919" ht="15.75" customHeight="1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0"/>
      <c r="AQ919" s="80"/>
      <c r="AR919" s="80"/>
      <c r="AS919" s="80"/>
      <c r="AT919" s="80"/>
      <c r="AU919" s="80"/>
    </row>
    <row r="920" ht="15.75" customHeight="1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0"/>
      <c r="AQ920" s="80"/>
      <c r="AR920" s="80"/>
      <c r="AS920" s="80"/>
      <c r="AT920" s="80"/>
      <c r="AU920" s="80"/>
    </row>
    <row r="921" ht="15.75" customHeight="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0"/>
      <c r="AQ921" s="80"/>
      <c r="AR921" s="80"/>
      <c r="AS921" s="80"/>
      <c r="AT921" s="80"/>
      <c r="AU921" s="80"/>
    </row>
    <row r="922" ht="15.75" customHeight="1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0"/>
      <c r="AQ922" s="80"/>
      <c r="AR922" s="80"/>
      <c r="AS922" s="80"/>
      <c r="AT922" s="80"/>
      <c r="AU922" s="80"/>
    </row>
    <row r="923" ht="15.75" customHeight="1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0"/>
      <c r="AQ923" s="80"/>
      <c r="AR923" s="80"/>
      <c r="AS923" s="80"/>
      <c r="AT923" s="80"/>
      <c r="AU923" s="80"/>
    </row>
    <row r="924" ht="15.75" customHeight="1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0"/>
      <c r="AQ924" s="80"/>
      <c r="AR924" s="80"/>
      <c r="AS924" s="80"/>
      <c r="AT924" s="80"/>
      <c r="AU924" s="80"/>
    </row>
    <row r="925" ht="15.75" customHeight="1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0"/>
      <c r="AQ925" s="80"/>
      <c r="AR925" s="80"/>
      <c r="AS925" s="80"/>
      <c r="AT925" s="80"/>
      <c r="AU925" s="80"/>
    </row>
    <row r="926" ht="15.75" customHeight="1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0"/>
      <c r="AQ926" s="80"/>
      <c r="AR926" s="80"/>
      <c r="AS926" s="80"/>
      <c r="AT926" s="80"/>
      <c r="AU926" s="80"/>
    </row>
    <row r="927" ht="15.75" customHeight="1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0"/>
      <c r="AQ927" s="80"/>
      <c r="AR927" s="80"/>
      <c r="AS927" s="80"/>
      <c r="AT927" s="80"/>
      <c r="AU927" s="80"/>
    </row>
    <row r="928" ht="15.75" customHeight="1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0"/>
      <c r="AQ928" s="80"/>
      <c r="AR928" s="80"/>
      <c r="AS928" s="80"/>
      <c r="AT928" s="80"/>
      <c r="AU928" s="80"/>
    </row>
    <row r="929" ht="15.75" customHeight="1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0"/>
      <c r="AQ929" s="80"/>
      <c r="AR929" s="80"/>
      <c r="AS929" s="80"/>
      <c r="AT929" s="80"/>
      <c r="AU929" s="80"/>
    </row>
    <row r="930" ht="15.75" customHeight="1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0"/>
      <c r="AQ930" s="80"/>
      <c r="AR930" s="80"/>
      <c r="AS930" s="80"/>
      <c r="AT930" s="80"/>
      <c r="AU930" s="80"/>
    </row>
    <row r="931" ht="15.75" customHeight="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0"/>
      <c r="AQ931" s="80"/>
      <c r="AR931" s="80"/>
      <c r="AS931" s="80"/>
      <c r="AT931" s="80"/>
      <c r="AU931" s="80"/>
    </row>
    <row r="932" ht="15.75" customHeight="1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0"/>
      <c r="AQ932" s="80"/>
      <c r="AR932" s="80"/>
      <c r="AS932" s="80"/>
      <c r="AT932" s="80"/>
      <c r="AU932" s="80"/>
    </row>
    <row r="933" ht="15.75" customHeight="1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0"/>
      <c r="AQ933" s="80"/>
      <c r="AR933" s="80"/>
      <c r="AS933" s="80"/>
      <c r="AT933" s="80"/>
      <c r="AU933" s="80"/>
    </row>
    <row r="934" ht="15.75" customHeight="1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0"/>
      <c r="AQ934" s="80"/>
      <c r="AR934" s="80"/>
      <c r="AS934" s="80"/>
      <c r="AT934" s="80"/>
      <c r="AU934" s="80"/>
    </row>
    <row r="935" ht="15.75" customHeight="1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0"/>
      <c r="AQ935" s="80"/>
      <c r="AR935" s="80"/>
      <c r="AS935" s="80"/>
      <c r="AT935" s="80"/>
      <c r="AU935" s="80"/>
    </row>
    <row r="936" ht="15.75" customHeight="1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0"/>
      <c r="AQ936" s="80"/>
      <c r="AR936" s="80"/>
      <c r="AS936" s="80"/>
      <c r="AT936" s="80"/>
      <c r="AU936" s="80"/>
    </row>
    <row r="937" ht="15.75" customHeight="1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0"/>
      <c r="AQ937" s="80"/>
      <c r="AR937" s="80"/>
      <c r="AS937" s="80"/>
      <c r="AT937" s="80"/>
      <c r="AU937" s="80"/>
    </row>
    <row r="938" ht="15.75" customHeight="1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0"/>
      <c r="AQ938" s="80"/>
      <c r="AR938" s="80"/>
      <c r="AS938" s="80"/>
      <c r="AT938" s="80"/>
      <c r="AU938" s="80"/>
    </row>
    <row r="939" ht="15.75" customHeight="1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0"/>
      <c r="AQ939" s="80"/>
      <c r="AR939" s="80"/>
      <c r="AS939" s="80"/>
      <c r="AT939" s="80"/>
      <c r="AU939" s="80"/>
    </row>
    <row r="940" ht="15.75" customHeight="1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0"/>
      <c r="AQ940" s="80"/>
      <c r="AR940" s="80"/>
      <c r="AS940" s="80"/>
      <c r="AT940" s="80"/>
      <c r="AU940" s="80"/>
    </row>
    <row r="941" ht="15.75" customHeight="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0"/>
      <c r="AQ941" s="80"/>
      <c r="AR941" s="80"/>
      <c r="AS941" s="80"/>
      <c r="AT941" s="80"/>
      <c r="AU941" s="80"/>
    </row>
    <row r="942" ht="15.75" customHeight="1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  <c r="AR942" s="80"/>
      <c r="AS942" s="80"/>
      <c r="AT942" s="80"/>
      <c r="AU942" s="80"/>
    </row>
    <row r="943" ht="15.75" customHeight="1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  <c r="AR943" s="80"/>
      <c r="AS943" s="80"/>
      <c r="AT943" s="80"/>
      <c r="AU943" s="80"/>
    </row>
    <row r="944" ht="15.75" customHeight="1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  <c r="AR944" s="80"/>
      <c r="AS944" s="80"/>
      <c r="AT944" s="80"/>
      <c r="AU944" s="80"/>
    </row>
    <row r="945" ht="15.75" customHeight="1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  <c r="AR945" s="80"/>
      <c r="AS945" s="80"/>
      <c r="AT945" s="80"/>
      <c r="AU945" s="80"/>
    </row>
    <row r="946" ht="15.75" customHeight="1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  <c r="AR946" s="80"/>
      <c r="AS946" s="80"/>
      <c r="AT946" s="80"/>
      <c r="AU946" s="80"/>
    </row>
    <row r="947" ht="15.75" customHeight="1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  <c r="AR947" s="80"/>
      <c r="AS947" s="80"/>
      <c r="AT947" s="80"/>
      <c r="AU947" s="80"/>
    </row>
    <row r="948" ht="15.75" customHeight="1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  <c r="AR948" s="80"/>
      <c r="AS948" s="80"/>
      <c r="AT948" s="80"/>
      <c r="AU948" s="80"/>
    </row>
    <row r="949" ht="15.75" customHeight="1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  <c r="AR949" s="80"/>
      <c r="AS949" s="80"/>
      <c r="AT949" s="80"/>
      <c r="AU949" s="80"/>
    </row>
    <row r="950" ht="15.75" customHeight="1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  <c r="AR950" s="80"/>
      <c r="AS950" s="80"/>
      <c r="AT950" s="80"/>
      <c r="AU950" s="80"/>
    </row>
    <row r="951" ht="15.75" customHeight="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  <c r="AR951" s="80"/>
      <c r="AS951" s="80"/>
      <c r="AT951" s="80"/>
      <c r="AU951" s="80"/>
    </row>
    <row r="952" ht="15.75" customHeight="1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  <c r="AR952" s="80"/>
      <c r="AS952" s="80"/>
      <c r="AT952" s="80"/>
      <c r="AU952" s="80"/>
    </row>
    <row r="953" ht="15.75" customHeight="1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  <c r="AR953" s="80"/>
      <c r="AS953" s="80"/>
      <c r="AT953" s="80"/>
      <c r="AU953" s="80"/>
    </row>
    <row r="954" ht="15.75" customHeight="1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  <c r="AR954" s="80"/>
      <c r="AS954" s="80"/>
      <c r="AT954" s="80"/>
      <c r="AU954" s="80"/>
    </row>
    <row r="955" ht="15.75" customHeight="1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  <c r="AR955" s="80"/>
      <c r="AS955" s="80"/>
      <c r="AT955" s="80"/>
      <c r="AU955" s="80"/>
    </row>
    <row r="956" ht="15.75" customHeight="1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  <c r="AR956" s="80"/>
      <c r="AS956" s="80"/>
      <c r="AT956" s="80"/>
      <c r="AU956" s="80"/>
    </row>
    <row r="957" ht="15.75" customHeight="1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  <c r="AR957" s="80"/>
      <c r="AS957" s="80"/>
      <c r="AT957" s="80"/>
      <c r="AU957" s="80"/>
    </row>
    <row r="958" ht="15.75" customHeight="1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  <c r="AR958" s="80"/>
      <c r="AS958" s="80"/>
      <c r="AT958" s="80"/>
      <c r="AU958" s="80"/>
    </row>
    <row r="959" ht="15.75" customHeight="1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  <c r="AR959" s="80"/>
      <c r="AS959" s="80"/>
      <c r="AT959" s="80"/>
      <c r="AU959" s="80"/>
    </row>
    <row r="960" ht="15.75" customHeight="1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  <c r="AR960" s="80"/>
      <c r="AS960" s="80"/>
      <c r="AT960" s="80"/>
      <c r="AU960" s="80"/>
    </row>
    <row r="961" ht="15.75" customHeight="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  <c r="AR961" s="80"/>
      <c r="AS961" s="80"/>
      <c r="AT961" s="80"/>
      <c r="AU961" s="80"/>
    </row>
    <row r="962" ht="15.75" customHeight="1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  <c r="AR962" s="80"/>
      <c r="AS962" s="80"/>
      <c r="AT962" s="80"/>
      <c r="AU962" s="80"/>
    </row>
    <row r="963" ht="15.75" customHeight="1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0"/>
      <c r="AQ963" s="80"/>
      <c r="AR963" s="80"/>
      <c r="AS963" s="80"/>
      <c r="AT963" s="80"/>
      <c r="AU963" s="80"/>
    </row>
    <row r="964" ht="15.75" customHeight="1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0"/>
      <c r="AQ964" s="80"/>
      <c r="AR964" s="80"/>
      <c r="AS964" s="80"/>
      <c r="AT964" s="80"/>
      <c r="AU964" s="80"/>
    </row>
    <row r="965" ht="15.75" customHeight="1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  <c r="AR965" s="80"/>
      <c r="AS965" s="80"/>
      <c r="AT965" s="80"/>
      <c r="AU965" s="80"/>
    </row>
    <row r="966" ht="15.75" customHeight="1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  <c r="AR966" s="80"/>
      <c r="AS966" s="80"/>
      <c r="AT966" s="80"/>
      <c r="AU966" s="80"/>
    </row>
    <row r="967" ht="15.75" customHeight="1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  <c r="AR967" s="80"/>
      <c r="AS967" s="80"/>
      <c r="AT967" s="80"/>
      <c r="AU967" s="80"/>
    </row>
    <row r="968" ht="15.75" customHeight="1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  <c r="AR968" s="80"/>
      <c r="AS968" s="80"/>
      <c r="AT968" s="80"/>
      <c r="AU968" s="80"/>
    </row>
    <row r="969" ht="15.75" customHeight="1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  <c r="AR969" s="80"/>
      <c r="AS969" s="80"/>
      <c r="AT969" s="80"/>
      <c r="AU969" s="80"/>
    </row>
    <row r="970" ht="15.75" customHeight="1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  <c r="AR970" s="80"/>
      <c r="AS970" s="80"/>
      <c r="AT970" s="80"/>
      <c r="AU970" s="80"/>
    </row>
    <row r="971" ht="15.75" customHeight="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  <c r="AR971" s="80"/>
      <c r="AS971" s="80"/>
      <c r="AT971" s="80"/>
      <c r="AU971" s="80"/>
    </row>
    <row r="972" ht="15.75" customHeight="1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  <c r="AR972" s="80"/>
      <c r="AS972" s="80"/>
      <c r="AT972" s="80"/>
      <c r="AU972" s="80"/>
    </row>
    <row r="973" ht="15.75" customHeight="1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  <c r="AR973" s="80"/>
      <c r="AS973" s="80"/>
      <c r="AT973" s="80"/>
      <c r="AU973" s="80"/>
    </row>
    <row r="974" ht="15.75" customHeight="1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  <c r="AR974" s="80"/>
      <c r="AS974" s="80"/>
      <c r="AT974" s="80"/>
      <c r="AU974" s="80"/>
    </row>
    <row r="975" ht="15.75" customHeight="1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  <c r="AR975" s="80"/>
      <c r="AS975" s="80"/>
      <c r="AT975" s="80"/>
      <c r="AU975" s="80"/>
    </row>
    <row r="976" ht="15.75" customHeight="1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  <c r="AR976" s="80"/>
      <c r="AS976" s="80"/>
      <c r="AT976" s="80"/>
      <c r="AU976" s="80"/>
    </row>
    <row r="977" ht="15.75" customHeight="1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0"/>
      <c r="AQ977" s="80"/>
      <c r="AR977" s="80"/>
      <c r="AS977" s="80"/>
      <c r="AT977" s="80"/>
      <c r="AU977" s="80"/>
    </row>
    <row r="978" ht="15.75" customHeight="1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0"/>
      <c r="AQ978" s="80"/>
      <c r="AR978" s="80"/>
      <c r="AS978" s="80"/>
      <c r="AT978" s="80"/>
      <c r="AU978" s="80"/>
    </row>
    <row r="979" ht="15.75" customHeight="1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0"/>
      <c r="AQ979" s="80"/>
      <c r="AR979" s="80"/>
      <c r="AS979" s="80"/>
      <c r="AT979" s="80"/>
      <c r="AU979" s="80"/>
    </row>
    <row r="980" ht="15.75" customHeight="1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0"/>
      <c r="AQ980" s="80"/>
      <c r="AR980" s="80"/>
      <c r="AS980" s="80"/>
      <c r="AT980" s="80"/>
      <c r="AU980" s="80"/>
    </row>
    <row r="981" ht="15.75" customHeight="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0"/>
      <c r="AQ981" s="80"/>
      <c r="AR981" s="80"/>
      <c r="AS981" s="80"/>
      <c r="AT981" s="80"/>
      <c r="AU981" s="80"/>
    </row>
    <row r="982" ht="15.75" customHeight="1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0"/>
      <c r="AQ982" s="80"/>
      <c r="AR982" s="80"/>
      <c r="AS982" s="80"/>
      <c r="AT982" s="80"/>
      <c r="AU982" s="80"/>
    </row>
    <row r="983" ht="15.75" customHeight="1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R983" s="80"/>
      <c r="AS983" s="80"/>
      <c r="AT983" s="80"/>
      <c r="AU983" s="80"/>
    </row>
    <row r="984" ht="15.75" customHeight="1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0"/>
      <c r="AO984" s="80"/>
      <c r="AP984" s="80"/>
      <c r="AQ984" s="80"/>
      <c r="AR984" s="80"/>
      <c r="AS984" s="80"/>
      <c r="AT984" s="80"/>
      <c r="AU984" s="80"/>
    </row>
    <row r="985" ht="15.75" customHeight="1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0"/>
      <c r="AO985" s="80"/>
      <c r="AP985" s="80"/>
      <c r="AQ985" s="80"/>
      <c r="AR985" s="80"/>
      <c r="AS985" s="80"/>
      <c r="AT985" s="80"/>
      <c r="AU985" s="80"/>
    </row>
    <row r="986" ht="15.75" customHeight="1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  <c r="AJ986" s="80"/>
      <c r="AK986" s="80"/>
      <c r="AL986" s="80"/>
      <c r="AM986" s="80"/>
      <c r="AN986" s="80"/>
      <c r="AO986" s="80"/>
      <c r="AP986" s="80"/>
      <c r="AQ986" s="80"/>
      <c r="AR986" s="80"/>
      <c r="AS986" s="80"/>
      <c r="AT986" s="80"/>
      <c r="AU986" s="80"/>
    </row>
    <row r="987" ht="15.75" customHeight="1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  <c r="AJ987" s="80"/>
      <c r="AK987" s="80"/>
      <c r="AL987" s="80"/>
      <c r="AM987" s="80"/>
      <c r="AN987" s="80"/>
      <c r="AO987" s="80"/>
      <c r="AP987" s="80"/>
      <c r="AQ987" s="80"/>
      <c r="AR987" s="80"/>
      <c r="AS987" s="80"/>
      <c r="AT987" s="80"/>
      <c r="AU987" s="80"/>
    </row>
    <row r="988" ht="15.75" customHeight="1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  <c r="AJ988" s="80"/>
      <c r="AK988" s="80"/>
      <c r="AL988" s="80"/>
      <c r="AM988" s="80"/>
      <c r="AN988" s="80"/>
      <c r="AO988" s="80"/>
      <c r="AP988" s="80"/>
      <c r="AQ988" s="80"/>
      <c r="AR988" s="80"/>
      <c r="AS988" s="80"/>
      <c r="AT988" s="80"/>
      <c r="AU988" s="80"/>
    </row>
    <row r="989" ht="15.75" customHeight="1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  <c r="AJ989" s="80"/>
      <c r="AK989" s="80"/>
      <c r="AL989" s="80"/>
      <c r="AM989" s="80"/>
      <c r="AN989" s="80"/>
      <c r="AO989" s="80"/>
      <c r="AP989" s="80"/>
      <c r="AQ989" s="80"/>
      <c r="AR989" s="80"/>
      <c r="AS989" s="80"/>
      <c r="AT989" s="80"/>
      <c r="AU989" s="80"/>
    </row>
    <row r="990" ht="15.75" customHeight="1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  <c r="AD990" s="80"/>
      <c r="AE990" s="80"/>
      <c r="AF990" s="80"/>
      <c r="AG990" s="80"/>
      <c r="AH990" s="80"/>
      <c r="AI990" s="80"/>
      <c r="AJ990" s="80"/>
      <c r="AK990" s="80"/>
      <c r="AL990" s="80"/>
      <c r="AM990" s="80"/>
      <c r="AN990" s="80"/>
      <c r="AO990" s="80"/>
      <c r="AP990" s="80"/>
      <c r="AQ990" s="80"/>
      <c r="AR990" s="80"/>
      <c r="AS990" s="80"/>
      <c r="AT990" s="80"/>
      <c r="AU990" s="80"/>
    </row>
    <row r="991" ht="15.75" customHeight="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  <c r="AF991" s="80"/>
      <c r="AG991" s="80"/>
      <c r="AH991" s="80"/>
      <c r="AI991" s="80"/>
      <c r="AJ991" s="80"/>
      <c r="AK991" s="80"/>
      <c r="AL991" s="80"/>
      <c r="AM991" s="80"/>
      <c r="AN991" s="80"/>
      <c r="AO991" s="80"/>
      <c r="AP991" s="80"/>
      <c r="AQ991" s="80"/>
      <c r="AR991" s="80"/>
      <c r="AS991" s="80"/>
      <c r="AT991" s="80"/>
      <c r="AU991" s="80"/>
    </row>
    <row r="992" ht="15.75" customHeight="1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  <c r="AD992" s="80"/>
      <c r="AE992" s="80"/>
      <c r="AF992" s="80"/>
      <c r="AG992" s="80"/>
      <c r="AH992" s="80"/>
      <c r="AI992" s="80"/>
      <c r="AJ992" s="80"/>
      <c r="AK992" s="80"/>
      <c r="AL992" s="80"/>
      <c r="AM992" s="80"/>
      <c r="AN992" s="80"/>
      <c r="AO992" s="80"/>
      <c r="AP992" s="80"/>
      <c r="AQ992" s="80"/>
      <c r="AR992" s="80"/>
      <c r="AS992" s="80"/>
      <c r="AT992" s="80"/>
      <c r="AU992" s="80"/>
    </row>
    <row r="993" ht="15.75" customHeight="1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  <c r="AD993" s="80"/>
      <c r="AE993" s="80"/>
      <c r="AF993" s="80"/>
      <c r="AG993" s="80"/>
      <c r="AH993" s="80"/>
      <c r="AI993" s="80"/>
      <c r="AJ993" s="80"/>
      <c r="AK993" s="80"/>
      <c r="AL993" s="80"/>
      <c r="AM993" s="80"/>
      <c r="AN993" s="80"/>
      <c r="AO993" s="80"/>
      <c r="AP993" s="80"/>
      <c r="AQ993" s="80"/>
      <c r="AR993" s="80"/>
      <c r="AS993" s="80"/>
      <c r="AT993" s="80"/>
      <c r="AU993" s="80"/>
    </row>
    <row r="994" ht="15.75" customHeight="1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  <c r="AD994" s="80"/>
      <c r="AE994" s="80"/>
      <c r="AF994" s="80"/>
      <c r="AG994" s="80"/>
      <c r="AH994" s="80"/>
      <c r="AI994" s="80"/>
      <c r="AJ994" s="80"/>
      <c r="AK994" s="80"/>
      <c r="AL994" s="80"/>
      <c r="AM994" s="80"/>
      <c r="AN994" s="80"/>
      <c r="AO994" s="80"/>
      <c r="AP994" s="80"/>
      <c r="AQ994" s="80"/>
      <c r="AR994" s="80"/>
      <c r="AS994" s="80"/>
      <c r="AT994" s="80"/>
      <c r="AU994" s="80"/>
    </row>
    <row r="995" ht="15.75" customHeight="1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  <c r="AF995" s="80"/>
      <c r="AG995" s="80"/>
      <c r="AH995" s="80"/>
      <c r="AI995" s="80"/>
      <c r="AJ995" s="80"/>
      <c r="AK995" s="80"/>
      <c r="AL995" s="80"/>
      <c r="AM995" s="80"/>
      <c r="AN995" s="80"/>
      <c r="AO995" s="80"/>
      <c r="AP995" s="80"/>
      <c r="AQ995" s="80"/>
      <c r="AR995" s="80"/>
      <c r="AS995" s="80"/>
      <c r="AT995" s="80"/>
      <c r="AU995" s="80"/>
    </row>
    <row r="996" ht="15.75" customHeight="1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  <c r="AD996" s="80"/>
      <c r="AE996" s="80"/>
      <c r="AF996" s="80"/>
      <c r="AG996" s="80"/>
      <c r="AH996" s="80"/>
      <c r="AI996" s="80"/>
      <c r="AJ996" s="80"/>
      <c r="AK996" s="80"/>
      <c r="AL996" s="80"/>
      <c r="AM996" s="80"/>
      <c r="AN996" s="80"/>
      <c r="AO996" s="80"/>
      <c r="AP996" s="80"/>
      <c r="AQ996" s="80"/>
      <c r="AR996" s="80"/>
      <c r="AS996" s="80"/>
      <c r="AT996" s="80"/>
      <c r="AU996" s="80"/>
    </row>
    <row r="997" ht="15.75" customHeight="1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  <c r="AD997" s="80"/>
      <c r="AE997" s="80"/>
      <c r="AF997" s="80"/>
      <c r="AG997" s="80"/>
      <c r="AH997" s="80"/>
      <c r="AI997" s="80"/>
      <c r="AJ997" s="80"/>
      <c r="AK997" s="80"/>
      <c r="AL997" s="80"/>
      <c r="AM997" s="80"/>
      <c r="AN997" s="80"/>
      <c r="AO997" s="80"/>
      <c r="AP997" s="80"/>
      <c r="AQ997" s="80"/>
      <c r="AR997" s="80"/>
      <c r="AS997" s="80"/>
      <c r="AT997" s="80"/>
      <c r="AU997" s="80"/>
    </row>
    <row r="998" ht="15.75" customHeight="1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  <c r="AD998" s="80"/>
      <c r="AE998" s="80"/>
      <c r="AF998" s="80"/>
      <c r="AG998" s="80"/>
      <c r="AH998" s="80"/>
      <c r="AI998" s="80"/>
      <c r="AJ998" s="80"/>
      <c r="AK998" s="80"/>
      <c r="AL998" s="80"/>
      <c r="AM998" s="80"/>
      <c r="AN998" s="80"/>
      <c r="AO998" s="80"/>
      <c r="AP998" s="80"/>
      <c r="AQ998" s="80"/>
      <c r="AR998" s="80"/>
      <c r="AS998" s="80"/>
      <c r="AT998" s="80"/>
      <c r="AU998" s="80"/>
    </row>
    <row r="999" ht="15.75" customHeight="1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  <c r="AD999" s="80"/>
      <c r="AE999" s="80"/>
      <c r="AF999" s="80"/>
      <c r="AG999" s="80"/>
      <c r="AH999" s="80"/>
      <c r="AI999" s="80"/>
      <c r="AJ999" s="80"/>
      <c r="AK999" s="80"/>
      <c r="AL999" s="80"/>
      <c r="AM999" s="80"/>
      <c r="AN999" s="80"/>
      <c r="AO999" s="80"/>
      <c r="AP999" s="80"/>
      <c r="AQ999" s="80"/>
      <c r="AR999" s="80"/>
      <c r="AS999" s="80"/>
      <c r="AT999" s="80"/>
      <c r="AU999" s="80"/>
    </row>
    <row r="1000" ht="15.75" customHeight="1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  <c r="AD1000" s="80"/>
      <c r="AE1000" s="80"/>
      <c r="AF1000" s="80"/>
      <c r="AG1000" s="80"/>
      <c r="AH1000" s="80"/>
      <c r="AI1000" s="80"/>
      <c r="AJ1000" s="80"/>
      <c r="AK1000" s="80"/>
      <c r="AL1000" s="80"/>
      <c r="AM1000" s="80"/>
      <c r="AN1000" s="80"/>
      <c r="AO1000" s="80"/>
      <c r="AP1000" s="80"/>
      <c r="AQ1000" s="80"/>
      <c r="AR1000" s="80"/>
      <c r="AS1000" s="80"/>
      <c r="AT1000" s="80"/>
      <c r="AU1000" s="80"/>
    </row>
    <row r="1001" ht="15.75" customHeight="1">
      <c r="A1001" s="80"/>
      <c r="B1001" s="80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  <c r="AA1001" s="80"/>
      <c r="AB1001" s="80"/>
      <c r="AC1001" s="80"/>
      <c r="AD1001" s="80"/>
      <c r="AE1001" s="80"/>
      <c r="AF1001" s="80"/>
      <c r="AG1001" s="80"/>
      <c r="AH1001" s="80"/>
      <c r="AI1001" s="80"/>
      <c r="AJ1001" s="80"/>
      <c r="AK1001" s="80"/>
      <c r="AL1001" s="80"/>
      <c r="AM1001" s="80"/>
      <c r="AN1001" s="80"/>
      <c r="AO1001" s="80"/>
      <c r="AP1001" s="80"/>
      <c r="AQ1001" s="80"/>
      <c r="AR1001" s="80"/>
      <c r="AS1001" s="80"/>
      <c r="AT1001" s="80"/>
      <c r="AU1001" s="80"/>
    </row>
  </sheetData>
  <mergeCells count="24">
    <mergeCell ref="AJ16:AJ18"/>
    <mergeCell ref="AJ19:AJ20"/>
    <mergeCell ref="AK1:AO1"/>
    <mergeCell ref="AP1:AT1"/>
    <mergeCell ref="T3:U3"/>
    <mergeCell ref="AJ3:AJ4"/>
    <mergeCell ref="U4:U6"/>
    <mergeCell ref="AJ6:AJ8"/>
    <mergeCell ref="AJ9:AJ12"/>
    <mergeCell ref="R24:T24"/>
    <mergeCell ref="T25:U25"/>
    <mergeCell ref="T26:U26"/>
    <mergeCell ref="T27:V27"/>
    <mergeCell ref="T28:Y28"/>
    <mergeCell ref="T31:Y31"/>
    <mergeCell ref="T32:Y32"/>
    <mergeCell ref="T33:U33"/>
    <mergeCell ref="U7:U9"/>
    <mergeCell ref="U10:U12"/>
    <mergeCell ref="U13:U15"/>
    <mergeCell ref="U16:U17"/>
    <mergeCell ref="T20:U20"/>
    <mergeCell ref="T21:U21"/>
    <mergeCell ref="T22:U22"/>
  </mergeCells>
  <conditionalFormatting sqref="AK3:AT26">
    <cfRule type="notContainsBlanks" dxfId="3" priority="1">
      <formula>LEN(TRIM(AK3))&gt;0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6.86"/>
    <col customWidth="1" min="2" max="2" width="5.14"/>
    <col customWidth="1" min="3" max="3" width="42.71"/>
    <col customWidth="1" min="4" max="4" width="12.14"/>
    <col customWidth="1" min="5" max="5" width="8.71"/>
    <col customWidth="1" min="6" max="6" width="16.29"/>
    <col customWidth="1" min="7" max="7" width="9.57"/>
    <col customWidth="1" min="8" max="8" width="15.57"/>
    <col customWidth="1" min="9" max="9" width="16.71"/>
  </cols>
  <sheetData>
    <row r="1" ht="15.75" customHeight="1">
      <c r="A1" s="265"/>
      <c r="B1" s="266">
        <f>SUBTOTAL(4,B$2:B$1000)</f>
        <v>0</v>
      </c>
      <c r="C1" s="267" t="s">
        <v>223</v>
      </c>
      <c r="D1" s="49"/>
      <c r="E1" s="265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268" t="s">
        <v>224</v>
      </c>
      <c r="B2" s="268" t="s">
        <v>225</v>
      </c>
      <c r="C2" s="268" t="s">
        <v>226</v>
      </c>
      <c r="D2" s="268" t="s">
        <v>227</v>
      </c>
      <c r="E2" s="268" t="s">
        <v>228</v>
      </c>
      <c r="F2" s="268" t="s">
        <v>229</v>
      </c>
      <c r="G2" s="269"/>
      <c r="H2" s="270" t="s">
        <v>229</v>
      </c>
      <c r="I2" s="270" t="s">
        <v>204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5.75" customHeight="1">
      <c r="A3" s="271"/>
      <c r="B3" s="272"/>
      <c r="C3" s="273"/>
      <c r="D3" s="273"/>
      <c r="E3" s="271"/>
      <c r="F3" s="273"/>
      <c r="G3" s="274"/>
      <c r="H3" s="275" t="str">
        <f>'Notas_Frequência'!$A17</f>
        <v>daniella.barros</v>
      </c>
      <c r="I3" s="276">
        <f t="shared" ref="I3:I12" si="1">SUMIF(F:F,H3,E:E)</f>
        <v>0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5.75" customHeight="1">
      <c r="A4" s="271"/>
      <c r="B4" s="272"/>
      <c r="C4" s="273"/>
      <c r="D4" s="273"/>
      <c r="E4" s="271"/>
      <c r="F4" s="273"/>
      <c r="G4" s="274"/>
      <c r="H4" s="275" t="str">
        <f>'Notas_Frequência'!$A18</f>
        <v>bruno.matsunaga</v>
      </c>
      <c r="I4" s="276">
        <f t="shared" si="1"/>
        <v>0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5.75" customHeight="1">
      <c r="A5" s="271"/>
      <c r="B5" s="272"/>
      <c r="C5" s="273"/>
      <c r="D5" s="273"/>
      <c r="E5" s="271"/>
      <c r="F5" s="273"/>
      <c r="G5" s="274"/>
      <c r="H5" s="275" t="str">
        <f>'Notas_Frequência'!$A19</f>
        <v>diego.bezerra</v>
      </c>
      <c r="I5" s="276">
        <f t="shared" si="1"/>
        <v>0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5.75" customHeight="1">
      <c r="A6" s="271"/>
      <c r="B6" s="272"/>
      <c r="C6" s="273"/>
      <c r="D6" s="277"/>
      <c r="E6" s="271"/>
      <c r="F6" s="273"/>
      <c r="G6" s="274"/>
      <c r="H6" s="275" t="str">
        <f>'Notas_Frequência'!$A20</f>
        <v>elison.trindade</v>
      </c>
      <c r="I6" s="276">
        <f t="shared" si="1"/>
        <v>0</v>
      </c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5.75" customHeight="1">
      <c r="A7" s="271"/>
      <c r="B7" s="272"/>
      <c r="C7" s="273"/>
      <c r="D7" s="277"/>
      <c r="E7" s="271"/>
      <c r="F7" s="277"/>
      <c r="G7" s="274"/>
      <c r="H7" s="275"/>
      <c r="I7" s="276">
        <f t="shared" si="1"/>
        <v>0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5.75" customHeight="1">
      <c r="A8" s="271"/>
      <c r="B8" s="272"/>
      <c r="C8" s="273"/>
      <c r="D8" s="277"/>
      <c r="E8" s="271"/>
      <c r="F8" s="277"/>
      <c r="G8" s="274"/>
      <c r="H8" s="275"/>
      <c r="I8" s="276">
        <f t="shared" si="1"/>
        <v>0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5.75" customHeight="1">
      <c r="A9" s="271"/>
      <c r="B9" s="272"/>
      <c r="C9" s="273"/>
      <c r="D9" s="273"/>
      <c r="E9" s="271"/>
      <c r="F9" s="277"/>
      <c r="G9" s="274"/>
      <c r="H9" s="275"/>
      <c r="I9" s="276">
        <f t="shared" si="1"/>
        <v>0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5.75" customHeight="1">
      <c r="A10" s="271"/>
      <c r="B10" s="272"/>
      <c r="C10" s="273"/>
      <c r="D10" s="273"/>
      <c r="E10" s="271"/>
      <c r="F10" s="277"/>
      <c r="G10" s="274"/>
      <c r="H10" s="275"/>
      <c r="I10" s="276">
        <f t="shared" si="1"/>
        <v>0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5.75" customHeight="1">
      <c r="A11" s="271"/>
      <c r="B11" s="272"/>
      <c r="C11" s="273"/>
      <c r="D11" s="273"/>
      <c r="E11" s="271"/>
      <c r="F11" s="277"/>
      <c r="G11" s="274"/>
      <c r="H11" s="275"/>
      <c r="I11" s="276">
        <f t="shared" si="1"/>
        <v>0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5.75" customHeight="1">
      <c r="A12" s="278"/>
      <c r="B12" s="279"/>
      <c r="C12" s="277"/>
      <c r="D12" s="277"/>
      <c r="E12" s="278"/>
      <c r="F12" s="277"/>
      <c r="G12" s="274"/>
      <c r="H12" s="275" t="str">
        <f>'Notas_Frequência'!$A26</f>
        <v/>
      </c>
      <c r="I12" s="276">
        <f t="shared" si="1"/>
        <v>0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5.75" customHeight="1">
      <c r="A13" s="278"/>
      <c r="B13" s="279"/>
      <c r="C13" s="277"/>
      <c r="D13" s="277"/>
      <c r="E13" s="278"/>
      <c r="F13" s="277"/>
      <c r="G13" s="274"/>
      <c r="H13" s="280" t="s">
        <v>230</v>
      </c>
      <c r="I13" s="280" t="str">
        <f>E1</f>
        <v/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5.75" customHeight="1">
      <c r="A14" s="278"/>
      <c r="B14" s="279"/>
      <c r="C14" s="277"/>
      <c r="D14" s="277"/>
      <c r="E14" s="278"/>
      <c r="F14" s="277"/>
      <c r="G14" s="274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5.75" customHeight="1">
      <c r="A15" s="278"/>
      <c r="B15" s="279"/>
      <c r="C15" s="277"/>
      <c r="D15" s="277"/>
      <c r="E15" s="278"/>
      <c r="F15" s="277"/>
      <c r="G15" s="274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5.75" customHeight="1">
      <c r="A16" s="278"/>
      <c r="B16" s="279"/>
      <c r="C16" s="277"/>
      <c r="D16" s="277"/>
      <c r="E16" s="278"/>
      <c r="F16" s="277"/>
      <c r="G16" s="274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5.75" customHeight="1">
      <c r="A17" s="278"/>
      <c r="B17" s="279"/>
      <c r="C17" s="277"/>
      <c r="D17" s="277"/>
      <c r="E17" s="278"/>
      <c r="F17" s="277"/>
      <c r="G17" s="274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5.75" customHeight="1">
      <c r="A18" s="278"/>
      <c r="B18" s="279"/>
      <c r="C18" s="277"/>
      <c r="D18" s="277"/>
      <c r="E18" s="278"/>
      <c r="F18" s="277"/>
      <c r="G18" s="274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5.75" customHeight="1">
      <c r="A19" s="278"/>
      <c r="B19" s="279"/>
      <c r="C19" s="277"/>
      <c r="D19" s="277"/>
      <c r="E19" s="278"/>
      <c r="F19" s="277"/>
      <c r="G19" s="274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5.75" customHeight="1">
      <c r="A20" s="278"/>
      <c r="B20" s="279"/>
      <c r="C20" s="277"/>
      <c r="D20" s="277"/>
      <c r="E20" s="278"/>
      <c r="F20" s="277"/>
      <c r="G20" s="274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278"/>
      <c r="B21" s="279"/>
      <c r="C21" s="277"/>
      <c r="D21" s="277"/>
      <c r="E21" s="278"/>
      <c r="F21" s="277"/>
      <c r="G21" s="274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5.75" customHeight="1">
      <c r="A22" s="278"/>
      <c r="B22" s="279"/>
      <c r="C22" s="277"/>
      <c r="D22" s="277"/>
      <c r="E22" s="278"/>
      <c r="F22" s="277"/>
      <c r="G22" s="274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5.75" customHeight="1">
      <c r="A23" s="278"/>
      <c r="B23" s="279"/>
      <c r="C23" s="277"/>
      <c r="D23" s="277"/>
      <c r="E23" s="278"/>
      <c r="F23" s="277"/>
      <c r="G23" s="274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5.75" customHeight="1">
      <c r="A24" s="278"/>
      <c r="B24" s="279"/>
      <c r="C24" s="277"/>
      <c r="D24" s="277"/>
      <c r="E24" s="278"/>
      <c r="F24" s="277"/>
      <c r="G24" s="274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5.75" customHeight="1">
      <c r="A25" s="278"/>
      <c r="B25" s="279"/>
      <c r="C25" s="277"/>
      <c r="D25" s="277"/>
      <c r="E25" s="278"/>
      <c r="F25" s="277"/>
      <c r="G25" s="274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5.75" customHeight="1">
      <c r="A26" s="278"/>
      <c r="B26" s="279"/>
      <c r="C26" s="277"/>
      <c r="D26" s="277"/>
      <c r="E26" s="278"/>
      <c r="F26" s="277"/>
      <c r="G26" s="274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5.75" customHeight="1">
      <c r="A27" s="281"/>
      <c r="B27" s="279"/>
      <c r="C27" s="282"/>
      <c r="D27" s="277"/>
      <c r="E27" s="278"/>
      <c r="F27" s="277"/>
      <c r="G27" s="274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281"/>
      <c r="B28" s="279"/>
      <c r="C28" s="282"/>
      <c r="D28" s="277"/>
      <c r="E28" s="278"/>
      <c r="F28" s="277"/>
      <c r="G28" s="274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5.75" customHeight="1">
      <c r="A29" s="281"/>
      <c r="B29" s="279"/>
      <c r="C29" s="282"/>
      <c r="D29" s="277"/>
      <c r="E29" s="278"/>
      <c r="F29" s="277"/>
      <c r="G29" s="274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5.75" customHeight="1">
      <c r="A30" s="281"/>
      <c r="B30" s="279"/>
      <c r="C30" s="282"/>
      <c r="D30" s="277"/>
      <c r="E30" s="278"/>
      <c r="F30" s="277"/>
      <c r="G30" s="274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5.75" customHeight="1">
      <c r="A31" s="281"/>
      <c r="B31" s="279"/>
      <c r="C31" s="282"/>
      <c r="D31" s="277"/>
      <c r="E31" s="278"/>
      <c r="F31" s="277"/>
      <c r="G31" s="274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5.75" customHeight="1">
      <c r="A32" s="281"/>
      <c r="B32" s="279"/>
      <c r="C32" s="282"/>
      <c r="D32" s="277"/>
      <c r="E32" s="278"/>
      <c r="F32" s="277"/>
      <c r="G32" s="283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5.75" customHeight="1">
      <c r="A33" s="281"/>
      <c r="B33" s="279"/>
      <c r="C33" s="282"/>
      <c r="D33" s="277"/>
      <c r="E33" s="278"/>
      <c r="F33" s="277"/>
      <c r="G33" s="283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5.75" customHeight="1">
      <c r="A34" s="281"/>
      <c r="B34" s="279"/>
      <c r="C34" s="282"/>
      <c r="D34" s="277"/>
      <c r="E34" s="278"/>
      <c r="F34" s="277"/>
      <c r="G34" s="283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5.75" customHeight="1">
      <c r="A35" s="281"/>
      <c r="B35" s="279"/>
      <c r="C35" s="282"/>
      <c r="D35" s="277"/>
      <c r="E35" s="278"/>
      <c r="F35" s="277"/>
      <c r="G35" s="283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5.75" customHeight="1">
      <c r="A36" s="281"/>
      <c r="B36" s="279"/>
      <c r="C36" s="282"/>
      <c r="D36" s="277"/>
      <c r="E36" s="278"/>
      <c r="F36" s="277"/>
      <c r="G36" s="283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5.75" customHeight="1">
      <c r="A37" s="281"/>
      <c r="B37" s="279"/>
      <c r="C37" s="282"/>
      <c r="D37" s="277"/>
      <c r="E37" s="278"/>
      <c r="F37" s="277"/>
      <c r="G37" s="283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5.75" customHeight="1">
      <c r="A38" s="281"/>
      <c r="B38" s="279"/>
      <c r="C38" s="282"/>
      <c r="D38" s="277"/>
      <c r="E38" s="278"/>
      <c r="F38" s="277"/>
      <c r="G38" s="283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5.75" customHeight="1">
      <c r="A39" s="281"/>
      <c r="B39" s="279"/>
      <c r="C39" s="282"/>
      <c r="D39" s="277"/>
      <c r="E39" s="278"/>
      <c r="F39" s="277"/>
      <c r="G39" s="283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5.75" customHeight="1">
      <c r="A40" s="281"/>
      <c r="B40" s="279"/>
      <c r="C40" s="282"/>
      <c r="D40" s="277"/>
      <c r="E40" s="278"/>
      <c r="F40" s="277"/>
      <c r="G40" s="283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5.75" customHeight="1">
      <c r="A41" s="281"/>
      <c r="B41" s="279"/>
      <c r="C41" s="282"/>
      <c r="D41" s="277"/>
      <c r="E41" s="278"/>
      <c r="F41" s="277"/>
      <c r="G41" s="283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281"/>
      <c r="B42" s="279"/>
      <c r="C42" s="282"/>
      <c r="D42" s="277"/>
      <c r="E42" s="278"/>
      <c r="F42" s="277"/>
      <c r="G42" s="283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281"/>
      <c r="B43" s="279"/>
      <c r="C43" s="282"/>
      <c r="D43" s="277"/>
      <c r="E43" s="278"/>
      <c r="F43" s="277"/>
      <c r="G43" s="283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5.75" customHeight="1">
      <c r="A44" s="281"/>
      <c r="B44" s="279"/>
      <c r="C44" s="282"/>
      <c r="D44" s="277"/>
      <c r="E44" s="278"/>
      <c r="F44" s="277"/>
      <c r="G44" s="283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281"/>
      <c r="B45" s="279"/>
      <c r="C45" s="282"/>
      <c r="D45" s="277"/>
      <c r="E45" s="278"/>
      <c r="F45" s="277"/>
      <c r="G45" s="283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281"/>
      <c r="B46" s="279"/>
      <c r="C46" s="282"/>
      <c r="D46" s="277"/>
      <c r="E46" s="278"/>
      <c r="F46" s="277"/>
      <c r="G46" s="283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281"/>
      <c r="B47" s="279"/>
      <c r="C47" s="282"/>
      <c r="D47" s="277"/>
      <c r="E47" s="278"/>
      <c r="F47" s="277"/>
      <c r="G47" s="283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281"/>
      <c r="B48" s="279"/>
      <c r="C48" s="282"/>
      <c r="D48" s="277"/>
      <c r="E48" s="278"/>
      <c r="F48" s="277"/>
      <c r="G48" s="283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281"/>
      <c r="B49" s="279"/>
      <c r="C49" s="282"/>
      <c r="D49" s="277"/>
      <c r="E49" s="278"/>
      <c r="F49" s="277"/>
      <c r="G49" s="283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5.75" customHeight="1">
      <c r="A50" s="281"/>
      <c r="B50" s="279"/>
      <c r="C50" s="282"/>
      <c r="D50" s="277"/>
      <c r="E50" s="278"/>
      <c r="F50" s="277"/>
      <c r="G50" s="283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281"/>
      <c r="B51" s="279"/>
      <c r="C51" s="282"/>
      <c r="D51" s="277"/>
      <c r="E51" s="278"/>
      <c r="F51" s="277"/>
      <c r="G51" s="283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281"/>
      <c r="B52" s="279"/>
      <c r="C52" s="282"/>
      <c r="D52" s="277"/>
      <c r="E52" s="278"/>
      <c r="F52" s="277"/>
      <c r="G52" s="283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281"/>
      <c r="B53" s="279"/>
      <c r="C53" s="282"/>
      <c r="D53" s="277"/>
      <c r="E53" s="278"/>
      <c r="F53" s="277"/>
      <c r="G53" s="283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281"/>
      <c r="B54" s="279"/>
      <c r="C54" s="282"/>
      <c r="D54" s="277"/>
      <c r="E54" s="278"/>
      <c r="F54" s="277"/>
      <c r="G54" s="283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281"/>
      <c r="B55" s="279"/>
      <c r="C55" s="282"/>
      <c r="D55" s="277"/>
      <c r="E55" s="278"/>
      <c r="F55" s="277"/>
      <c r="G55" s="283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281"/>
      <c r="B56" s="279"/>
      <c r="C56" s="282"/>
      <c r="D56" s="277"/>
      <c r="E56" s="278"/>
      <c r="F56" s="277"/>
      <c r="G56" s="283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281"/>
      <c r="B57" s="279"/>
      <c r="C57" s="282"/>
      <c r="D57" s="277"/>
      <c r="E57" s="278"/>
      <c r="F57" s="277"/>
      <c r="G57" s="283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5.75" customHeight="1">
      <c r="A58" s="281"/>
      <c r="B58" s="279"/>
      <c r="C58" s="282"/>
      <c r="D58" s="277"/>
      <c r="E58" s="278"/>
      <c r="F58" s="277"/>
      <c r="G58" s="283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281"/>
      <c r="B59" s="279"/>
      <c r="C59" s="282"/>
      <c r="D59" s="277"/>
      <c r="E59" s="278"/>
      <c r="F59" s="277"/>
      <c r="G59" s="283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281"/>
      <c r="B60" s="279"/>
      <c r="C60" s="282"/>
      <c r="D60" s="277"/>
      <c r="E60" s="278"/>
      <c r="F60" s="277"/>
      <c r="G60" s="283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281"/>
      <c r="B61" s="279"/>
      <c r="C61" s="282"/>
      <c r="D61" s="277"/>
      <c r="E61" s="278"/>
      <c r="F61" s="277"/>
      <c r="G61" s="283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281"/>
      <c r="B62" s="279"/>
      <c r="C62" s="282"/>
      <c r="D62" s="277"/>
      <c r="E62" s="278"/>
      <c r="F62" s="277"/>
      <c r="G62" s="283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281"/>
      <c r="B63" s="279"/>
      <c r="C63" s="282"/>
      <c r="D63" s="277"/>
      <c r="E63" s="278"/>
      <c r="F63" s="277"/>
      <c r="G63" s="283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281"/>
      <c r="B64" s="279"/>
      <c r="C64" s="282"/>
      <c r="D64" s="277"/>
      <c r="E64" s="278"/>
      <c r="F64" s="277"/>
      <c r="G64" s="283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281"/>
      <c r="B65" s="279"/>
      <c r="C65" s="282"/>
      <c r="D65" s="277"/>
      <c r="E65" s="278"/>
      <c r="F65" s="277"/>
      <c r="G65" s="283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281"/>
      <c r="B66" s="279"/>
      <c r="C66" s="282"/>
      <c r="D66" s="277"/>
      <c r="E66" s="278"/>
      <c r="F66" s="277"/>
      <c r="G66" s="283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5.75" customHeight="1">
      <c r="A67" s="281"/>
      <c r="B67" s="279"/>
      <c r="C67" s="282"/>
      <c r="D67" s="277"/>
      <c r="E67" s="278"/>
      <c r="F67" s="277"/>
      <c r="G67" s="283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5.75" customHeight="1">
      <c r="A68" s="281"/>
      <c r="B68" s="279"/>
      <c r="C68" s="282"/>
      <c r="D68" s="277"/>
      <c r="E68" s="278"/>
      <c r="F68" s="277"/>
      <c r="G68" s="283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5.75" customHeight="1">
      <c r="A69" s="281"/>
      <c r="B69" s="279"/>
      <c r="C69" s="282"/>
      <c r="D69" s="277"/>
      <c r="E69" s="278"/>
      <c r="F69" s="277"/>
      <c r="G69" s="283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5.75" customHeight="1">
      <c r="A70" s="281"/>
      <c r="B70" s="279"/>
      <c r="C70" s="282"/>
      <c r="D70" s="277"/>
      <c r="E70" s="278"/>
      <c r="F70" s="277"/>
      <c r="G70" s="283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5.75" customHeight="1">
      <c r="A71" s="281"/>
      <c r="B71" s="279"/>
      <c r="C71" s="282"/>
      <c r="D71" s="277"/>
      <c r="E71" s="278"/>
      <c r="F71" s="277"/>
      <c r="G71" s="283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5.75" customHeight="1">
      <c r="A72" s="281"/>
      <c r="B72" s="279"/>
      <c r="C72" s="282"/>
      <c r="D72" s="277"/>
      <c r="E72" s="278"/>
      <c r="F72" s="277"/>
      <c r="G72" s="283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5.75" customHeight="1">
      <c r="A73" s="281"/>
      <c r="B73" s="279"/>
      <c r="C73" s="282"/>
      <c r="D73" s="277"/>
      <c r="E73" s="278"/>
      <c r="F73" s="277"/>
      <c r="G73" s="283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5.75" customHeight="1">
      <c r="A74" s="281"/>
      <c r="B74" s="279"/>
      <c r="C74" s="282"/>
      <c r="D74" s="277"/>
      <c r="E74" s="278"/>
      <c r="F74" s="277"/>
      <c r="G74" s="283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5.75" customHeight="1">
      <c r="A75" s="281"/>
      <c r="B75" s="279"/>
      <c r="C75" s="282"/>
      <c r="D75" s="277"/>
      <c r="E75" s="278"/>
      <c r="F75" s="277"/>
      <c r="G75" s="283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5.75" customHeight="1">
      <c r="A76" s="281"/>
      <c r="B76" s="279"/>
      <c r="C76" s="282"/>
      <c r="D76" s="277"/>
      <c r="E76" s="278"/>
      <c r="F76" s="277"/>
      <c r="G76" s="283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5.75" customHeight="1">
      <c r="A77" s="281"/>
      <c r="B77" s="279"/>
      <c r="C77" s="282"/>
      <c r="D77" s="277"/>
      <c r="E77" s="278"/>
      <c r="F77" s="277"/>
      <c r="G77" s="283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5.75" customHeight="1">
      <c r="A78" s="281"/>
      <c r="B78" s="279"/>
      <c r="C78" s="282"/>
      <c r="D78" s="277"/>
      <c r="E78" s="278"/>
      <c r="F78" s="277"/>
      <c r="G78" s="283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5.75" customHeight="1">
      <c r="A79" s="281"/>
      <c r="B79" s="279"/>
      <c r="C79" s="282"/>
      <c r="D79" s="277"/>
      <c r="E79" s="278"/>
      <c r="F79" s="277"/>
      <c r="G79" s="283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5.75" customHeight="1">
      <c r="A80" s="281"/>
      <c r="B80" s="279"/>
      <c r="C80" s="282"/>
      <c r="D80" s="277"/>
      <c r="E80" s="278"/>
      <c r="F80" s="277"/>
      <c r="G80" s="283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5.75" customHeight="1">
      <c r="A81" s="281"/>
      <c r="B81" s="279"/>
      <c r="C81" s="282"/>
      <c r="D81" s="277"/>
      <c r="E81" s="278"/>
      <c r="F81" s="277"/>
      <c r="G81" s="283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5.75" customHeight="1">
      <c r="A82" s="281"/>
      <c r="B82" s="279"/>
      <c r="C82" s="282"/>
      <c r="D82" s="277"/>
      <c r="E82" s="278"/>
      <c r="F82" s="277"/>
      <c r="G82" s="283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5.75" customHeight="1">
      <c r="A83" s="281"/>
      <c r="B83" s="279"/>
      <c r="C83" s="282"/>
      <c r="D83" s="277"/>
      <c r="E83" s="278"/>
      <c r="F83" s="277"/>
      <c r="G83" s="283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5.75" customHeight="1">
      <c r="A84" s="281"/>
      <c r="B84" s="279"/>
      <c r="C84" s="282"/>
      <c r="D84" s="277"/>
      <c r="E84" s="278"/>
      <c r="F84" s="277"/>
      <c r="G84" s="283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5.75" customHeight="1">
      <c r="A85" s="281"/>
      <c r="B85" s="279"/>
      <c r="C85" s="282"/>
      <c r="D85" s="277"/>
      <c r="E85" s="278"/>
      <c r="F85" s="277"/>
      <c r="G85" s="283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5.75" customHeight="1">
      <c r="A86" s="281"/>
      <c r="B86" s="279"/>
      <c r="C86" s="282"/>
      <c r="D86" s="277"/>
      <c r="E86" s="278"/>
      <c r="F86" s="277"/>
      <c r="G86" s="283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5.75" customHeight="1">
      <c r="A87" s="281"/>
      <c r="B87" s="279"/>
      <c r="C87" s="282"/>
      <c r="D87" s="277"/>
      <c r="E87" s="278"/>
      <c r="F87" s="277"/>
      <c r="G87" s="283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5.75" customHeight="1">
      <c r="A88" s="281"/>
      <c r="B88" s="279"/>
      <c r="C88" s="282"/>
      <c r="D88" s="277"/>
      <c r="E88" s="278"/>
      <c r="F88" s="277"/>
      <c r="G88" s="283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5.75" customHeight="1">
      <c r="A89" s="281"/>
      <c r="B89" s="279"/>
      <c r="C89" s="282"/>
      <c r="D89" s="277"/>
      <c r="E89" s="278"/>
      <c r="F89" s="277"/>
      <c r="G89" s="283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5.75" customHeight="1">
      <c r="A90" s="281"/>
      <c r="B90" s="279"/>
      <c r="C90" s="282"/>
      <c r="D90" s="277"/>
      <c r="E90" s="278"/>
      <c r="F90" s="277"/>
      <c r="G90" s="283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5.75" customHeight="1">
      <c r="A91" s="281"/>
      <c r="B91" s="279"/>
      <c r="C91" s="282"/>
      <c r="D91" s="277"/>
      <c r="E91" s="278"/>
      <c r="F91" s="277"/>
      <c r="G91" s="283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5.75" customHeight="1">
      <c r="A92" s="281"/>
      <c r="B92" s="279"/>
      <c r="C92" s="282"/>
      <c r="D92" s="277"/>
      <c r="E92" s="278"/>
      <c r="F92" s="277"/>
      <c r="G92" s="283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5.75" customHeight="1">
      <c r="A93" s="281"/>
      <c r="B93" s="279"/>
      <c r="C93" s="282"/>
      <c r="D93" s="277"/>
      <c r="E93" s="278"/>
      <c r="F93" s="277"/>
      <c r="G93" s="283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5.75" customHeight="1">
      <c r="A94" s="281"/>
      <c r="B94" s="279"/>
      <c r="C94" s="282"/>
      <c r="D94" s="277"/>
      <c r="E94" s="278"/>
      <c r="F94" s="277"/>
      <c r="G94" s="283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5.75" customHeight="1">
      <c r="A95" s="281"/>
      <c r="B95" s="279"/>
      <c r="C95" s="282"/>
      <c r="D95" s="277"/>
      <c r="E95" s="278"/>
      <c r="F95" s="277"/>
      <c r="G95" s="283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5.75" customHeight="1">
      <c r="A96" s="281"/>
      <c r="B96" s="279"/>
      <c r="C96" s="282"/>
      <c r="D96" s="277"/>
      <c r="E96" s="278"/>
      <c r="F96" s="277"/>
      <c r="G96" s="283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5.75" customHeight="1">
      <c r="A97" s="281"/>
      <c r="B97" s="279"/>
      <c r="C97" s="282"/>
      <c r="D97" s="277"/>
      <c r="E97" s="278"/>
      <c r="F97" s="277"/>
      <c r="G97" s="283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5.75" customHeight="1">
      <c r="A98" s="281"/>
      <c r="B98" s="279"/>
      <c r="C98" s="282"/>
      <c r="D98" s="277"/>
      <c r="E98" s="278"/>
      <c r="F98" s="277"/>
      <c r="G98" s="283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5.75" customHeight="1">
      <c r="A99" s="281"/>
      <c r="B99" s="279"/>
      <c r="C99" s="282"/>
      <c r="D99" s="277"/>
      <c r="E99" s="278"/>
      <c r="F99" s="277"/>
      <c r="G99" s="283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5.75" customHeight="1">
      <c r="A100" s="281"/>
      <c r="B100" s="279"/>
      <c r="C100" s="282"/>
      <c r="D100" s="277"/>
      <c r="E100" s="278"/>
      <c r="F100" s="277"/>
      <c r="G100" s="283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conditionalFormatting sqref="D3:D100">
    <cfRule type="containsText" dxfId="4" priority="1" operator="containsText" text="Alta">
      <formula>NOT(ISERROR(SEARCH(("Alta"),(D3))))</formula>
    </cfRule>
  </conditionalFormatting>
  <conditionalFormatting sqref="D3:D100">
    <cfRule type="containsText" dxfId="5" priority="2" operator="containsText" text="Baixa">
      <formula>NOT(ISERROR(SEARCH(("Baixa"),(D3))))</formula>
    </cfRule>
  </conditionalFormatting>
  <conditionalFormatting sqref="A3:F100">
    <cfRule type="cellIs" dxfId="1" priority="3" operator="equal">
      <formula>0</formula>
    </cfRule>
  </conditionalFormatting>
  <conditionalFormatting sqref="A1">
    <cfRule type="cellIs" dxfId="1" priority="4" operator="equal">
      <formula>0</formula>
    </cfRule>
  </conditionalFormatting>
  <conditionalFormatting sqref="B1">
    <cfRule type="cellIs" dxfId="1" priority="5" operator="equal">
      <formula>0</formula>
    </cfRule>
  </conditionalFormatting>
  <conditionalFormatting sqref="E1">
    <cfRule type="cellIs" dxfId="1" priority="6" operator="equal">
      <formula>0</formula>
    </cfRule>
  </conditionalFormatting>
  <dataValidations>
    <dataValidation type="decimal" allowBlank="1" showErrorMessage="1" sqref="A3:A100">
      <formula1>1.0</formula1>
      <formula2>7.0</formula2>
    </dataValidation>
    <dataValidation type="list" allowBlank="1" showErrorMessage="1" sqref="D3:D100">
      <formula1>"Alta,Média,Baixa"</formula1>
    </dataValidation>
    <dataValidation type="decimal" operator="greaterThan" allowBlank="1" showDropDown="1" showErrorMessage="1" sqref="E1">
      <formula1>0.0</formula1>
    </dataValidation>
    <dataValidation type="decimal" allowBlank="1" showDropDown="1" showInputMessage="1" showErrorMessage="1" prompt="Pontuação inválida - Inserir valor entre 1 e 21" sqref="E3:E100">
      <formula1>0.0</formula1>
      <formula2>21.0</formula2>
    </dataValidation>
    <dataValidation type="list" allowBlank="1" sqref="H3:H12 F3:F100">
      <formula1>alunos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6.86"/>
    <col customWidth="1" min="2" max="2" width="5.14"/>
    <col customWidth="1" min="3" max="3" width="42.71"/>
    <col customWidth="1" min="4" max="4" width="12.14"/>
    <col customWidth="1" min="5" max="5" width="8.71"/>
    <col customWidth="1" min="6" max="6" width="16.29"/>
    <col customWidth="1" min="7" max="9" width="14.43"/>
    <col customWidth="1" min="10" max="10" width="9.29"/>
    <col customWidth="1" min="11" max="11" width="6.71"/>
    <col customWidth="1" min="12" max="12" width="15.57"/>
    <col customWidth="1" min="13" max="13" width="16.71"/>
    <col customWidth="1" min="14" max="14" width="16.29"/>
    <col customWidth="1" min="15" max="15" width="19.57"/>
  </cols>
  <sheetData>
    <row r="1" ht="15.75" customHeight="1">
      <c r="A1" s="265"/>
      <c r="B1" s="266">
        <f>SUBTOTAL(4,B$2:B$1000)</f>
        <v>0</v>
      </c>
      <c r="C1" s="267" t="s">
        <v>231</v>
      </c>
      <c r="D1" s="49"/>
      <c r="E1" s="265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</row>
    <row r="2" ht="15.75" customHeight="1">
      <c r="A2" s="268" t="s">
        <v>224</v>
      </c>
      <c r="B2" s="268" t="s">
        <v>225</v>
      </c>
      <c r="C2" s="268" t="s">
        <v>226</v>
      </c>
      <c r="D2" s="268" t="s">
        <v>227</v>
      </c>
      <c r="E2" s="268" t="s">
        <v>228</v>
      </c>
      <c r="F2" s="268" t="s">
        <v>229</v>
      </c>
      <c r="G2" s="268" t="s">
        <v>232</v>
      </c>
      <c r="H2" s="268" t="s">
        <v>233</v>
      </c>
      <c r="I2" s="268" t="s">
        <v>2</v>
      </c>
      <c r="J2" s="284" t="s">
        <v>234</v>
      </c>
      <c r="K2" s="285"/>
      <c r="L2" s="270" t="s">
        <v>229</v>
      </c>
      <c r="M2" s="270" t="s">
        <v>204</v>
      </c>
      <c r="N2" s="270" t="s">
        <v>235</v>
      </c>
      <c r="O2" s="270" t="s">
        <v>236</v>
      </c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ht="15.75" customHeight="1">
      <c r="A3" s="271"/>
      <c r="B3" s="272"/>
      <c r="C3" s="273"/>
      <c r="D3" s="273"/>
      <c r="E3" s="271"/>
      <c r="F3" s="273"/>
      <c r="G3" s="273"/>
      <c r="H3" s="277"/>
      <c r="I3" s="286"/>
      <c r="J3" s="287" t="b">
        <f>1=COUNTIFS(BacklogPlanejado!C:C,BacklogRealizado!$C3,BacklogPlanejado!A:A,BacklogRealizado!$A3,BacklogPlanejado!B:B,BacklogRealizado!$B3,BacklogPlanejado!E:E,BacklogRealizado!$E3)</f>
        <v>0</v>
      </c>
      <c r="K3" s="288"/>
      <c r="L3" s="275" t="str">
        <f>'Notas_Frequência'!$A17</f>
        <v>daniella.barros</v>
      </c>
      <c r="M3" s="276">
        <f t="shared" ref="M3:M12" si="1">SUMIFS(  $E:$E, $F:$F,$L3)</f>
        <v>0</v>
      </c>
      <c r="N3" s="276">
        <f t="shared" ref="N3:N12" si="2">SUMIFS($E:$E,$F:$F,$L3,$G:$G,"Concluída")</f>
        <v>0</v>
      </c>
      <c r="O3" s="289" t="str">
        <f t="shared" ref="O3:O12" si="3">IF(ISERR(N3/M3),"",N3/M3)</f>
        <v/>
      </c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ht="15.75" customHeight="1">
      <c r="A4" s="271"/>
      <c r="B4" s="272"/>
      <c r="C4" s="273"/>
      <c r="D4" s="273"/>
      <c r="E4" s="271"/>
      <c r="F4" s="273"/>
      <c r="G4" s="273"/>
      <c r="H4" s="277"/>
      <c r="I4" s="286"/>
      <c r="J4" s="287" t="b">
        <f>1=COUNTIFS(BacklogPlanejado!C:C,BacklogRealizado!$C4,BacklogPlanejado!A:A,BacklogRealizado!$A4,BacklogPlanejado!B:B,BacklogRealizado!$B4,BacklogPlanejado!E:E,BacklogRealizado!$E4)</f>
        <v>0</v>
      </c>
      <c r="K4" s="288"/>
      <c r="L4" s="275" t="str">
        <f>'Notas_Frequência'!$A18</f>
        <v>bruno.matsunaga</v>
      </c>
      <c r="M4" s="276">
        <f t="shared" si="1"/>
        <v>0</v>
      </c>
      <c r="N4" s="276">
        <f t="shared" si="2"/>
        <v>0</v>
      </c>
      <c r="O4" s="289" t="str">
        <f t="shared" si="3"/>
        <v/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</row>
    <row r="5" ht="15.75" customHeight="1">
      <c r="A5" s="271"/>
      <c r="B5" s="272"/>
      <c r="C5" s="273"/>
      <c r="D5" s="273"/>
      <c r="E5" s="271"/>
      <c r="F5" s="273"/>
      <c r="G5" s="273"/>
      <c r="H5" s="277"/>
      <c r="I5" s="286"/>
      <c r="J5" s="287" t="b">
        <f>1=COUNTIFS(BacklogPlanejado!C:C,BacklogRealizado!$C5,BacklogPlanejado!A:A,BacklogRealizado!$A5,BacklogPlanejado!B:B,BacklogRealizado!$B5,BacklogPlanejado!E:E,BacklogRealizado!$E5)</f>
        <v>0</v>
      </c>
      <c r="K5" s="288"/>
      <c r="L5" s="275" t="str">
        <f>'Notas_Frequência'!$A19</f>
        <v>diego.bezerra</v>
      </c>
      <c r="M5" s="276">
        <f t="shared" si="1"/>
        <v>0</v>
      </c>
      <c r="N5" s="276">
        <f t="shared" si="2"/>
        <v>0</v>
      </c>
      <c r="O5" s="289" t="str">
        <f t="shared" si="3"/>
        <v/>
      </c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ht="15.75" customHeight="1">
      <c r="A6" s="271"/>
      <c r="B6" s="272"/>
      <c r="C6" s="273"/>
      <c r="D6" s="277"/>
      <c r="E6" s="271"/>
      <c r="F6" s="273"/>
      <c r="G6" s="273"/>
      <c r="H6" s="277"/>
      <c r="I6" s="286"/>
      <c r="J6" s="287" t="b">
        <f>1=COUNTIFS(BacklogPlanejado!C:C,BacklogRealizado!$C6,BacklogPlanejado!A:A,BacklogRealizado!$A6,BacklogPlanejado!B:B,BacklogRealizado!$B6,BacklogPlanejado!E:E,BacklogRealizado!$E6)</f>
        <v>0</v>
      </c>
      <c r="K6" s="288"/>
      <c r="L6" s="275" t="str">
        <f>'Notas_Frequência'!$A20</f>
        <v>elison.trindade</v>
      </c>
      <c r="M6" s="276">
        <f t="shared" si="1"/>
        <v>0</v>
      </c>
      <c r="N6" s="276">
        <f t="shared" si="2"/>
        <v>0</v>
      </c>
      <c r="O6" s="289" t="str">
        <f t="shared" si="3"/>
        <v/>
      </c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ht="15.75" customHeight="1">
      <c r="A7" s="278"/>
      <c r="B7" s="279"/>
      <c r="C7" s="277"/>
      <c r="D7" s="277"/>
      <c r="E7" s="278"/>
      <c r="F7" s="277"/>
      <c r="G7" s="277"/>
      <c r="H7" s="290"/>
      <c r="I7" s="286"/>
      <c r="J7" s="287" t="b">
        <f>1=COUNTIFS(BacklogPlanejado!C:C,BacklogRealizado!$C7,BacklogPlanejado!A:A,BacklogRealizado!$A7,BacklogPlanejado!B:B,BacklogRealizado!$B7,BacklogPlanejado!E:E,BacklogRealizado!$E7)</f>
        <v>0</v>
      </c>
      <c r="K7" s="288"/>
      <c r="L7" s="275" t="str">
        <f>'Notas_Frequência'!$A21</f>
        <v>sushila.claro</v>
      </c>
      <c r="M7" s="276">
        <f t="shared" si="1"/>
        <v>0</v>
      </c>
      <c r="N7" s="276">
        <f t="shared" si="2"/>
        <v>0</v>
      </c>
      <c r="O7" s="289" t="str">
        <f t="shared" si="3"/>
        <v/>
      </c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ht="15.75" customHeight="1">
      <c r="A8" s="278"/>
      <c r="B8" s="279"/>
      <c r="C8" s="277"/>
      <c r="D8" s="277"/>
      <c r="E8" s="278"/>
      <c r="F8" s="277"/>
      <c r="G8" s="277"/>
      <c r="H8" s="290"/>
      <c r="I8" s="286"/>
      <c r="J8" s="287" t="b">
        <f>1=COUNTIFS(BacklogPlanejado!C:C,BacklogRealizado!$C8,BacklogPlanejado!A:A,BacklogRealizado!$A8,BacklogPlanejado!B:B,BacklogRealizado!$B8,BacklogPlanejado!E:E,BacklogRealizado!$E8)</f>
        <v>0</v>
      </c>
      <c r="K8" s="288"/>
      <c r="L8" s="275" t="str">
        <f>'Notas_Frequência'!$A22</f>
        <v/>
      </c>
      <c r="M8" s="276">
        <f t="shared" si="1"/>
        <v>0</v>
      </c>
      <c r="N8" s="276">
        <f t="shared" si="2"/>
        <v>0</v>
      </c>
      <c r="O8" s="289" t="str">
        <f t="shared" si="3"/>
        <v/>
      </c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ht="15.75" customHeight="1">
      <c r="A9" s="278"/>
      <c r="B9" s="279"/>
      <c r="C9" s="277"/>
      <c r="D9" s="277"/>
      <c r="E9" s="278"/>
      <c r="F9" s="277"/>
      <c r="G9" s="277"/>
      <c r="H9" s="290"/>
      <c r="I9" s="286"/>
      <c r="J9" s="287" t="b">
        <f>1=COUNTIFS(BacklogPlanejado!C:C,BacklogRealizado!$C9,BacklogPlanejado!A:A,BacklogRealizado!$A9,BacklogPlanejado!B:B,BacklogRealizado!$B9,BacklogPlanejado!E:E,BacklogRealizado!$E9)</f>
        <v>0</v>
      </c>
      <c r="K9" s="288"/>
      <c r="L9" s="275" t="str">
        <f>'Notas_Frequência'!$A23</f>
        <v/>
      </c>
      <c r="M9" s="276">
        <f t="shared" si="1"/>
        <v>0</v>
      </c>
      <c r="N9" s="276">
        <f t="shared" si="2"/>
        <v>0</v>
      </c>
      <c r="O9" s="289" t="str">
        <f t="shared" si="3"/>
        <v/>
      </c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ht="15.75" customHeight="1">
      <c r="A10" s="278"/>
      <c r="B10" s="279"/>
      <c r="C10" s="277"/>
      <c r="D10" s="277"/>
      <c r="E10" s="278"/>
      <c r="F10" s="277"/>
      <c r="G10" s="277"/>
      <c r="H10" s="290"/>
      <c r="I10" s="286"/>
      <c r="J10" s="287" t="b">
        <f>1=COUNTIFS(BacklogPlanejado!C:C,BacklogRealizado!$C10,BacklogPlanejado!A:A,BacklogRealizado!$A10,BacklogPlanejado!B:B,BacklogRealizado!$B10,BacklogPlanejado!E:E,BacklogRealizado!$E10)</f>
        <v>0</v>
      </c>
      <c r="K10" s="288"/>
      <c r="L10" s="275" t="str">
        <f>'Notas_Frequência'!$A24</f>
        <v/>
      </c>
      <c r="M10" s="276">
        <f t="shared" si="1"/>
        <v>0</v>
      </c>
      <c r="N10" s="276">
        <f t="shared" si="2"/>
        <v>0</v>
      </c>
      <c r="O10" s="289" t="str">
        <f t="shared" si="3"/>
        <v/>
      </c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ht="15.75" customHeight="1">
      <c r="A11" s="278"/>
      <c r="B11" s="279"/>
      <c r="C11" s="277"/>
      <c r="D11" s="277"/>
      <c r="E11" s="278"/>
      <c r="F11" s="277"/>
      <c r="G11" s="277"/>
      <c r="H11" s="290"/>
      <c r="I11" s="286"/>
      <c r="J11" s="287" t="b">
        <f>1=COUNTIFS(BacklogPlanejado!C:C,BacklogRealizado!$C11,BacklogPlanejado!A:A,BacklogRealizado!$A11,BacklogPlanejado!B:B,BacklogRealizado!$B11,BacklogPlanejado!E:E,BacklogRealizado!$E11)</f>
        <v>0</v>
      </c>
      <c r="K11" s="288"/>
      <c r="L11" s="275" t="str">
        <f>'Notas_Frequência'!$A25</f>
        <v/>
      </c>
      <c r="M11" s="276">
        <f t="shared" si="1"/>
        <v>0</v>
      </c>
      <c r="N11" s="276">
        <f t="shared" si="2"/>
        <v>0</v>
      </c>
      <c r="O11" s="289" t="str">
        <f t="shared" si="3"/>
        <v/>
      </c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ht="15.75" customHeight="1">
      <c r="A12" s="278"/>
      <c r="B12" s="279"/>
      <c r="C12" s="277"/>
      <c r="D12" s="277"/>
      <c r="E12" s="278"/>
      <c r="F12" s="277"/>
      <c r="G12" s="277"/>
      <c r="H12" s="290"/>
      <c r="I12" s="286"/>
      <c r="J12" s="287" t="b">
        <f>1=COUNTIFS(BacklogPlanejado!C:C,BacklogRealizado!$C12,BacklogPlanejado!A:A,BacklogRealizado!$A12,BacklogPlanejado!B:B,BacklogRealizado!$B12,BacklogPlanejado!E:E,BacklogRealizado!$E12)</f>
        <v>0</v>
      </c>
      <c r="K12" s="288"/>
      <c r="L12" s="275" t="str">
        <f>'Notas_Frequência'!$A26</f>
        <v/>
      </c>
      <c r="M12" s="276">
        <f t="shared" si="1"/>
        <v>0</v>
      </c>
      <c r="N12" s="276">
        <f t="shared" si="2"/>
        <v>0</v>
      </c>
      <c r="O12" s="289" t="str">
        <f t="shared" si="3"/>
        <v/>
      </c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ht="15.75" customHeight="1">
      <c r="A13" s="278"/>
      <c r="B13" s="279"/>
      <c r="C13" s="277"/>
      <c r="D13" s="277"/>
      <c r="E13" s="278"/>
      <c r="F13" s="277"/>
      <c r="G13" s="277"/>
      <c r="H13" s="290"/>
      <c r="I13" s="286"/>
      <c r="J13" s="287" t="b">
        <f>1=COUNTIFS(BacklogPlanejado!C:C,BacklogRealizado!$C13,BacklogPlanejado!A:A,BacklogRealizado!$A13,BacklogPlanejado!B:B,BacklogRealizado!$B13,BacklogPlanejado!E:E,BacklogRealizado!$E13)</f>
        <v>0</v>
      </c>
      <c r="K13" s="288"/>
      <c r="L13" s="280" t="s">
        <v>230</v>
      </c>
      <c r="M13" s="280" t="str">
        <f>E1</f>
        <v/>
      </c>
      <c r="N13" s="280">
        <f>SUMIFS(E:E,G:G,"Concluída")</f>
        <v>0</v>
      </c>
      <c r="O13" s="291">
        <f>if(M13,N13/M13,0)</f>
        <v>0</v>
      </c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ht="15.75" customHeight="1">
      <c r="A14" s="278"/>
      <c r="B14" s="279"/>
      <c r="C14" s="277"/>
      <c r="D14" s="277"/>
      <c r="E14" s="278"/>
      <c r="F14" s="277"/>
      <c r="G14" s="277"/>
      <c r="H14" s="290"/>
      <c r="I14" s="286"/>
      <c r="J14" s="287" t="b">
        <f>1=COUNTIFS(BacklogPlanejado!C:C,BacklogRealizado!$C14,BacklogPlanejado!A:A,BacklogRealizado!$A14,BacklogPlanejado!B:B,BacklogRealizado!$B14,BacklogPlanejado!E:E,BacklogRealizado!$E14)</f>
        <v>0</v>
      </c>
      <c r="K14" s="288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ht="15.75" customHeight="1">
      <c r="A15" s="278"/>
      <c r="B15" s="279"/>
      <c r="C15" s="277"/>
      <c r="D15" s="277"/>
      <c r="E15" s="278"/>
      <c r="F15" s="277"/>
      <c r="G15" s="277"/>
      <c r="H15" s="290"/>
      <c r="I15" s="286"/>
      <c r="J15" s="287" t="b">
        <f>1=COUNTIFS(BacklogPlanejado!C:C,BacklogRealizado!$C15,BacklogPlanejado!A:A,BacklogRealizado!$A15,BacklogPlanejado!B:B,BacklogRealizado!$B15,BacklogPlanejado!E:E,BacklogRealizado!$E15)</f>
        <v>0</v>
      </c>
      <c r="K15" s="288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ht="15.75" customHeight="1">
      <c r="A16" s="278"/>
      <c r="B16" s="279"/>
      <c r="C16" s="277"/>
      <c r="D16" s="277"/>
      <c r="E16" s="278"/>
      <c r="F16" s="277"/>
      <c r="G16" s="277"/>
      <c r="H16" s="290"/>
      <c r="I16" s="286"/>
      <c r="J16" s="287" t="b">
        <f>1=COUNTIFS(BacklogPlanejado!C:C,BacklogRealizado!$C16,BacklogPlanejado!A:A,BacklogRealizado!$A16,BacklogPlanejado!B:B,BacklogRealizado!$B16,BacklogPlanejado!E:E,BacklogRealizado!$E16)</f>
        <v>0</v>
      </c>
      <c r="K16" s="288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ht="15.75" customHeight="1">
      <c r="A17" s="278"/>
      <c r="B17" s="279"/>
      <c r="C17" s="277"/>
      <c r="D17" s="277"/>
      <c r="E17" s="278"/>
      <c r="F17" s="277"/>
      <c r="G17" s="277"/>
      <c r="H17" s="290"/>
      <c r="I17" s="286"/>
      <c r="J17" s="287" t="b">
        <f>1=COUNTIFS(BacklogPlanejado!C:C,BacklogRealizado!$C17,BacklogPlanejado!A:A,BacklogRealizado!$A17,BacklogPlanejado!B:B,BacklogRealizado!$B17,BacklogPlanejado!E:E,BacklogRealizado!$E17)</f>
        <v>0</v>
      </c>
      <c r="K17" s="288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ht="15.75" customHeight="1">
      <c r="A18" s="278"/>
      <c r="B18" s="279"/>
      <c r="C18" s="277"/>
      <c r="D18" s="277"/>
      <c r="E18" s="278"/>
      <c r="F18" s="277"/>
      <c r="G18" s="277"/>
      <c r="H18" s="290"/>
      <c r="I18" s="286"/>
      <c r="J18" s="287" t="b">
        <f>1=COUNTIFS(BacklogPlanejado!C:C,BacklogRealizado!$C18,BacklogPlanejado!A:A,BacklogRealizado!$A18,BacklogPlanejado!B:B,BacklogRealizado!$B18,BacklogPlanejado!E:E,BacklogRealizado!$E18)</f>
        <v>0</v>
      </c>
      <c r="K18" s="288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ht="15.75" customHeight="1">
      <c r="A19" s="278"/>
      <c r="B19" s="279"/>
      <c r="C19" s="277"/>
      <c r="D19" s="277"/>
      <c r="E19" s="278"/>
      <c r="F19" s="277"/>
      <c r="G19" s="277"/>
      <c r="H19" s="290"/>
      <c r="I19" s="286"/>
      <c r="J19" s="287" t="b">
        <f>1=COUNTIFS(BacklogPlanejado!C:C,BacklogRealizado!$C19,BacklogPlanejado!A:A,BacklogRealizado!$A19,BacklogPlanejado!B:B,BacklogRealizado!$B19,BacklogPlanejado!E:E,BacklogRealizado!$E19)</f>
        <v>0</v>
      </c>
      <c r="K19" s="288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ht="15.75" customHeight="1">
      <c r="A20" s="278"/>
      <c r="B20" s="279"/>
      <c r="C20" s="277"/>
      <c r="D20" s="277"/>
      <c r="E20" s="278"/>
      <c r="F20" s="277"/>
      <c r="G20" s="277"/>
      <c r="H20" s="290"/>
      <c r="I20" s="286"/>
      <c r="J20" s="287" t="b">
        <f>1=COUNTIFS(BacklogPlanejado!C:C,BacklogRealizado!$C20,BacklogPlanejado!A:A,BacklogRealizado!$A20,BacklogPlanejado!B:B,BacklogRealizado!$B20,BacklogPlanejado!E:E,BacklogRealizado!$E20)</f>
        <v>0</v>
      </c>
      <c r="K20" s="288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ht="15.75" customHeight="1">
      <c r="A21" s="278"/>
      <c r="B21" s="279"/>
      <c r="C21" s="277"/>
      <c r="D21" s="277"/>
      <c r="E21" s="278"/>
      <c r="F21" s="277"/>
      <c r="G21" s="277"/>
      <c r="H21" s="290"/>
      <c r="I21" s="286"/>
      <c r="J21" s="287" t="b">
        <f>1=COUNTIFS(BacklogPlanejado!C:C,BacklogRealizado!$C21,BacklogPlanejado!A:A,BacklogRealizado!$A21,BacklogPlanejado!B:B,BacklogRealizado!$B21,BacklogPlanejado!E:E,BacklogRealizado!$E21)</f>
        <v>0</v>
      </c>
      <c r="K21" s="288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ht="15.75" customHeight="1">
      <c r="A22" s="278"/>
      <c r="B22" s="279"/>
      <c r="C22" s="277"/>
      <c r="D22" s="277"/>
      <c r="E22" s="278"/>
      <c r="F22" s="277"/>
      <c r="G22" s="277"/>
      <c r="H22" s="290"/>
      <c r="I22" s="286"/>
      <c r="J22" s="287" t="b">
        <f>1=COUNTIFS(BacklogPlanejado!C:C,BacklogRealizado!$C22,BacklogPlanejado!A:A,BacklogRealizado!$A22,BacklogPlanejado!B:B,BacklogRealizado!$B22,BacklogPlanejado!E:E,BacklogRealizado!$E22)</f>
        <v>0</v>
      </c>
      <c r="K22" s="288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 ht="15.75" customHeight="1">
      <c r="A23" s="278"/>
      <c r="B23" s="279"/>
      <c r="C23" s="277"/>
      <c r="D23" s="277"/>
      <c r="E23" s="278"/>
      <c r="F23" s="277"/>
      <c r="G23" s="277"/>
      <c r="H23" s="290"/>
      <c r="I23" s="286"/>
      <c r="J23" s="287" t="b">
        <f>1=COUNTIFS(BacklogPlanejado!C:C,BacklogRealizado!$C23,BacklogPlanejado!A:A,BacklogRealizado!$A23,BacklogPlanejado!B:B,BacklogRealizado!$B23,BacklogPlanejado!E:E,BacklogRealizado!$E23)</f>
        <v>0</v>
      </c>
      <c r="K23" s="288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ht="15.75" customHeight="1">
      <c r="A24" s="278"/>
      <c r="B24" s="279"/>
      <c r="C24" s="277"/>
      <c r="D24" s="277"/>
      <c r="E24" s="278"/>
      <c r="F24" s="277"/>
      <c r="G24" s="277"/>
      <c r="H24" s="290"/>
      <c r="I24" s="286"/>
      <c r="J24" s="287" t="b">
        <f>1=COUNTIFS(BacklogPlanejado!C:C,BacklogRealizado!$C24,BacklogPlanejado!A:A,BacklogRealizado!$A24,BacklogPlanejado!B:B,BacklogRealizado!$B24,BacklogPlanejado!E:E,BacklogRealizado!$E24)</f>
        <v>0</v>
      </c>
      <c r="K24" s="288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ht="15.75" customHeight="1">
      <c r="A25" s="278"/>
      <c r="B25" s="279"/>
      <c r="C25" s="277"/>
      <c r="D25" s="277"/>
      <c r="E25" s="278"/>
      <c r="F25" s="277"/>
      <c r="G25" s="277"/>
      <c r="H25" s="290"/>
      <c r="I25" s="286"/>
      <c r="J25" s="287" t="b">
        <f>1=COUNTIFS(BacklogPlanejado!C:C,BacklogRealizado!$C25,BacklogPlanejado!A:A,BacklogRealizado!$A25,BacklogPlanejado!B:B,BacklogRealizado!$B25,BacklogPlanejado!E:E,BacklogRealizado!$E25)</f>
        <v>0</v>
      </c>
      <c r="K25" s="288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ht="15.75" customHeight="1">
      <c r="A26" s="278"/>
      <c r="B26" s="279"/>
      <c r="C26" s="277"/>
      <c r="D26" s="277"/>
      <c r="E26" s="278"/>
      <c r="F26" s="277"/>
      <c r="G26" s="277"/>
      <c r="H26" s="290"/>
      <c r="I26" s="286"/>
      <c r="J26" s="287" t="b">
        <f>1=COUNTIFS(BacklogPlanejado!C:C,BacklogRealizado!$C26,BacklogPlanejado!A:A,BacklogRealizado!$A26,BacklogPlanejado!B:B,BacklogRealizado!$B26,BacklogPlanejado!E:E,BacklogRealizado!$E26)</f>
        <v>0</v>
      </c>
      <c r="K26" s="288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ht="15.75" customHeight="1">
      <c r="A27" s="278"/>
      <c r="B27" s="279"/>
      <c r="C27" s="277"/>
      <c r="D27" s="277"/>
      <c r="E27" s="278"/>
      <c r="F27" s="277"/>
      <c r="G27" s="277"/>
      <c r="H27" s="290"/>
      <c r="I27" s="286"/>
      <c r="J27" s="287" t="b">
        <f>1=COUNTIFS(BacklogPlanejado!C:C,BacklogRealizado!$C27,BacklogPlanejado!A:A,BacklogRealizado!$A27,BacklogPlanejado!B:B,BacklogRealizado!$B27,BacklogPlanejado!E:E,BacklogRealizado!$E27)</f>
        <v>0</v>
      </c>
      <c r="K27" s="288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ht="15.75" customHeight="1">
      <c r="A28" s="278"/>
      <c r="B28" s="279"/>
      <c r="C28" s="277"/>
      <c r="D28" s="277"/>
      <c r="E28" s="278"/>
      <c r="F28" s="277"/>
      <c r="G28" s="277"/>
      <c r="H28" s="290"/>
      <c r="I28" s="286"/>
      <c r="J28" s="287" t="b">
        <f>1=COUNTIFS(BacklogPlanejado!C:C,BacklogRealizado!$C28,BacklogPlanejado!A:A,BacklogRealizado!$A28,BacklogPlanejado!B:B,BacklogRealizado!$B28,BacklogPlanejado!E:E,BacklogRealizado!$E28)</f>
        <v>0</v>
      </c>
      <c r="K28" s="288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r="29" ht="15.75" customHeight="1">
      <c r="A29" s="278"/>
      <c r="B29" s="279"/>
      <c r="C29" s="277"/>
      <c r="D29" s="277"/>
      <c r="E29" s="278"/>
      <c r="F29" s="277"/>
      <c r="G29" s="277"/>
      <c r="H29" s="290"/>
      <c r="I29" s="286"/>
      <c r="J29" s="287" t="b">
        <f>1=COUNTIFS(BacklogPlanejado!C:C,BacklogRealizado!$C29,BacklogPlanejado!A:A,BacklogRealizado!$A29,BacklogPlanejado!B:B,BacklogRealizado!$B29,BacklogPlanejado!E:E,BacklogRealizado!$E29)</f>
        <v>0</v>
      </c>
      <c r="K29" s="288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</row>
    <row r="30" ht="15.75" customHeight="1">
      <c r="A30" s="278"/>
      <c r="B30" s="279"/>
      <c r="C30" s="277"/>
      <c r="D30" s="277"/>
      <c r="E30" s="278"/>
      <c r="F30" s="277"/>
      <c r="G30" s="277"/>
      <c r="H30" s="290"/>
      <c r="I30" s="286"/>
      <c r="J30" s="287" t="b">
        <f>1=COUNTIFS(BacklogPlanejado!C:C,BacklogRealizado!$C30,BacklogPlanejado!A:A,BacklogRealizado!$A30,BacklogPlanejado!B:B,BacklogRealizado!$B30,BacklogPlanejado!E:E,BacklogRealizado!$E30)</f>
        <v>0</v>
      </c>
      <c r="K30" s="288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</row>
    <row r="31" ht="15.75" customHeight="1">
      <c r="A31" s="278"/>
      <c r="B31" s="279"/>
      <c r="C31" s="277"/>
      <c r="D31" s="277"/>
      <c r="E31" s="278"/>
      <c r="F31" s="277"/>
      <c r="G31" s="277"/>
      <c r="H31" s="290"/>
      <c r="I31" s="286"/>
      <c r="J31" s="287" t="b">
        <f>1=COUNTIFS(BacklogPlanejado!C:C,BacklogRealizado!$C31,BacklogPlanejado!A:A,BacklogRealizado!$A31,BacklogPlanejado!B:B,BacklogRealizado!$B31,BacklogPlanejado!E:E,BacklogRealizado!$E31)</f>
        <v>0</v>
      </c>
      <c r="K31" s="288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ht="15.75" customHeight="1">
      <c r="A32" s="278"/>
      <c r="B32" s="279"/>
      <c r="C32" s="277"/>
      <c r="D32" s="277"/>
      <c r="E32" s="278"/>
      <c r="F32" s="277"/>
      <c r="G32" s="277"/>
      <c r="H32" s="290"/>
      <c r="I32" s="286"/>
      <c r="J32" s="287" t="b">
        <f>1=COUNTIFS(BacklogPlanejado!C:C,BacklogRealizado!$C32,BacklogPlanejado!A:A,BacklogRealizado!$A32,BacklogPlanejado!B:B,BacklogRealizado!$B32,BacklogPlanejado!E:E,BacklogRealizado!$E32)</f>
        <v>0</v>
      </c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 ht="15.75" customHeight="1">
      <c r="A33" s="278"/>
      <c r="B33" s="279"/>
      <c r="C33" s="277"/>
      <c r="D33" s="277"/>
      <c r="E33" s="278"/>
      <c r="F33" s="277"/>
      <c r="G33" s="277"/>
      <c r="H33" s="290"/>
      <c r="I33" s="286"/>
      <c r="J33" s="287" t="b">
        <f>1=COUNTIFS(BacklogPlanejado!C:C,BacklogRealizado!$C33,BacklogPlanejado!A:A,BacklogRealizado!$A33,BacklogPlanejado!B:B,BacklogRealizado!$B33,BacklogPlanejado!E:E,BacklogRealizado!$E33)</f>
        <v>0</v>
      </c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ht="15.75" customHeight="1">
      <c r="A34" s="278"/>
      <c r="B34" s="279"/>
      <c r="C34" s="277"/>
      <c r="D34" s="277"/>
      <c r="E34" s="278"/>
      <c r="F34" s="277"/>
      <c r="G34" s="277"/>
      <c r="H34" s="290"/>
      <c r="I34" s="286"/>
      <c r="J34" s="287" t="b">
        <f>1=COUNTIFS(BacklogPlanejado!C:C,BacklogRealizado!$C34,BacklogPlanejado!A:A,BacklogRealizado!$A34,BacklogPlanejado!B:B,BacklogRealizado!$B34,BacklogPlanejado!E:E,BacklogRealizado!$E34)</f>
        <v>0</v>
      </c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ht="15.75" customHeight="1">
      <c r="A35" s="278"/>
      <c r="B35" s="279"/>
      <c r="C35" s="277"/>
      <c r="D35" s="277"/>
      <c r="E35" s="278"/>
      <c r="F35" s="277"/>
      <c r="G35" s="277"/>
      <c r="H35" s="290"/>
      <c r="I35" s="286"/>
      <c r="J35" s="287" t="b">
        <f>1=COUNTIFS(BacklogPlanejado!C:C,BacklogRealizado!$C35,BacklogPlanejado!A:A,BacklogRealizado!$A35,BacklogPlanejado!B:B,BacklogRealizado!$B35,BacklogPlanejado!E:E,BacklogRealizado!$E35)</f>
        <v>0</v>
      </c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</row>
    <row r="36" ht="15.75" customHeight="1">
      <c r="A36" s="278"/>
      <c r="B36" s="279"/>
      <c r="C36" s="277"/>
      <c r="D36" s="277"/>
      <c r="E36" s="278"/>
      <c r="F36" s="277"/>
      <c r="G36" s="277"/>
      <c r="H36" s="290"/>
      <c r="I36" s="286"/>
      <c r="J36" s="287" t="b">
        <f>1=COUNTIFS(BacklogPlanejado!C:C,BacklogRealizado!$C36,BacklogPlanejado!A:A,BacklogRealizado!$A36,BacklogPlanejado!B:B,BacklogRealizado!$B36,BacklogPlanejado!E:E,BacklogRealizado!$E36)</f>
        <v>0</v>
      </c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ht="15.75" customHeight="1">
      <c r="A37" s="278"/>
      <c r="B37" s="279"/>
      <c r="C37" s="277"/>
      <c r="D37" s="277"/>
      <c r="E37" s="278"/>
      <c r="F37" s="277"/>
      <c r="G37" s="277"/>
      <c r="H37" s="290"/>
      <c r="I37" s="286"/>
      <c r="J37" s="287" t="b">
        <f>1=COUNTIFS(BacklogPlanejado!C:C,BacklogRealizado!$C37,BacklogPlanejado!A:A,BacklogRealizado!$A37,BacklogPlanejado!B:B,BacklogRealizado!$B37,BacklogPlanejado!E:E,BacklogRealizado!$E37)</f>
        <v>0</v>
      </c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ht="15.75" customHeight="1">
      <c r="A38" s="278"/>
      <c r="B38" s="279"/>
      <c r="C38" s="277"/>
      <c r="D38" s="277"/>
      <c r="E38" s="278"/>
      <c r="F38" s="277"/>
      <c r="G38" s="277"/>
      <c r="H38" s="290"/>
      <c r="I38" s="286"/>
      <c r="J38" s="287" t="b">
        <f>1=COUNTIFS(BacklogPlanejado!C:C,BacklogRealizado!$C38,BacklogPlanejado!A:A,BacklogRealizado!$A38,BacklogPlanejado!B:B,BacklogRealizado!$B38,BacklogPlanejado!E:E,BacklogRealizado!$E38)</f>
        <v>0</v>
      </c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ht="15.75" customHeight="1">
      <c r="A39" s="278"/>
      <c r="B39" s="279"/>
      <c r="C39" s="277"/>
      <c r="D39" s="277"/>
      <c r="E39" s="278"/>
      <c r="F39" s="277"/>
      <c r="G39" s="277"/>
      <c r="H39" s="290"/>
      <c r="I39" s="286"/>
      <c r="J39" s="287" t="b">
        <f>1=COUNTIFS(BacklogPlanejado!C:C,BacklogRealizado!$C39,BacklogPlanejado!A:A,BacklogRealizado!$A39,BacklogPlanejado!B:B,BacklogRealizado!$B39,BacklogPlanejado!E:E,BacklogRealizado!$E39)</f>
        <v>0</v>
      </c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ht="15.75" customHeight="1">
      <c r="A40" s="278"/>
      <c r="B40" s="279"/>
      <c r="C40" s="277"/>
      <c r="D40" s="277"/>
      <c r="E40" s="278"/>
      <c r="F40" s="277"/>
      <c r="G40" s="277"/>
      <c r="H40" s="290"/>
      <c r="I40" s="286"/>
      <c r="J40" s="287" t="b">
        <f>1=COUNTIFS(BacklogPlanejado!C:C,BacklogRealizado!$C40,BacklogPlanejado!A:A,BacklogRealizado!$A40,BacklogPlanejado!B:B,BacklogRealizado!$B40,BacklogPlanejado!E:E,BacklogRealizado!$E40)</f>
        <v>0</v>
      </c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ht="15.75" customHeight="1">
      <c r="A41" s="278"/>
      <c r="B41" s="279"/>
      <c r="C41" s="277"/>
      <c r="D41" s="277"/>
      <c r="E41" s="278"/>
      <c r="F41" s="277"/>
      <c r="G41" s="277"/>
      <c r="H41" s="290"/>
      <c r="I41" s="286"/>
      <c r="J41" s="287" t="b">
        <f>1=COUNTIFS(BacklogPlanejado!C:C,BacklogRealizado!$C41,BacklogPlanejado!A:A,BacklogRealizado!$A41,BacklogPlanejado!B:B,BacklogRealizado!$B41,BacklogPlanejado!E:E,BacklogRealizado!$E41)</f>
        <v>0</v>
      </c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 ht="15.75" customHeight="1">
      <c r="A42" s="278"/>
      <c r="B42" s="279"/>
      <c r="C42" s="277"/>
      <c r="D42" s="277"/>
      <c r="E42" s="278"/>
      <c r="F42" s="277"/>
      <c r="G42" s="277"/>
      <c r="H42" s="290"/>
      <c r="I42" s="286"/>
      <c r="J42" s="287" t="b">
        <f>1=COUNTIFS(BacklogPlanejado!C:C,BacklogRealizado!$C42,BacklogPlanejado!A:A,BacklogRealizado!$A42,BacklogPlanejado!B:B,BacklogRealizado!$B42,BacklogPlanejado!E:E,BacklogRealizado!$E42)</f>
        <v>0</v>
      </c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</row>
    <row r="43" ht="15.75" customHeight="1">
      <c r="A43" s="278"/>
      <c r="B43" s="279"/>
      <c r="C43" s="277"/>
      <c r="D43" s="277"/>
      <c r="E43" s="278"/>
      <c r="F43" s="277"/>
      <c r="G43" s="277"/>
      <c r="H43" s="290"/>
      <c r="I43" s="286"/>
      <c r="J43" s="287" t="b">
        <f>1=COUNTIFS(BacklogPlanejado!C:C,BacklogRealizado!$C43,BacklogPlanejado!A:A,BacklogRealizado!$A43,BacklogPlanejado!B:B,BacklogRealizado!$B43,BacklogPlanejado!E:E,BacklogRealizado!$E43)</f>
        <v>0</v>
      </c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</row>
    <row r="44" ht="15.75" customHeight="1">
      <c r="A44" s="278"/>
      <c r="B44" s="279"/>
      <c r="C44" s="277"/>
      <c r="D44" s="277"/>
      <c r="E44" s="278"/>
      <c r="F44" s="277"/>
      <c r="G44" s="277"/>
      <c r="H44" s="290"/>
      <c r="I44" s="286"/>
      <c r="J44" s="287" t="b">
        <f>1=COUNTIFS(BacklogPlanejado!C:C,BacklogRealizado!$C44,BacklogPlanejado!A:A,BacklogRealizado!$A44,BacklogPlanejado!B:B,BacklogRealizado!$B44,BacklogPlanejado!E:E,BacklogRealizado!$E44)</f>
        <v>0</v>
      </c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</row>
    <row r="45" ht="15.75" customHeight="1">
      <c r="A45" s="278"/>
      <c r="B45" s="279"/>
      <c r="C45" s="277"/>
      <c r="D45" s="277"/>
      <c r="E45" s="278"/>
      <c r="F45" s="277"/>
      <c r="G45" s="277"/>
      <c r="H45" s="290"/>
      <c r="I45" s="286"/>
      <c r="J45" s="287" t="b">
        <f>1=COUNTIFS(BacklogPlanejado!C:C,BacklogRealizado!$C45,BacklogPlanejado!A:A,BacklogRealizado!$A45,BacklogPlanejado!B:B,BacklogRealizado!$B45,BacklogPlanejado!E:E,BacklogRealizado!$E45)</f>
        <v>0</v>
      </c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</row>
    <row r="46" ht="15.75" customHeight="1">
      <c r="A46" s="278"/>
      <c r="B46" s="279"/>
      <c r="C46" s="277"/>
      <c r="D46" s="277"/>
      <c r="E46" s="278"/>
      <c r="F46" s="277"/>
      <c r="G46" s="277"/>
      <c r="H46" s="290"/>
      <c r="I46" s="286"/>
      <c r="J46" s="287" t="b">
        <f>1=COUNTIFS(BacklogPlanejado!C:C,BacklogRealizado!$C46,BacklogPlanejado!A:A,BacklogRealizado!$A46,BacklogPlanejado!B:B,BacklogRealizado!$B46,BacklogPlanejado!E:E,BacklogRealizado!$E46)</f>
        <v>0</v>
      </c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</row>
    <row r="47" ht="15.75" customHeight="1">
      <c r="A47" s="278"/>
      <c r="B47" s="279"/>
      <c r="C47" s="277"/>
      <c r="D47" s="277"/>
      <c r="E47" s="278"/>
      <c r="F47" s="277"/>
      <c r="G47" s="277"/>
      <c r="H47" s="290"/>
      <c r="I47" s="286"/>
      <c r="J47" s="287" t="b">
        <f>1=COUNTIFS(BacklogPlanejado!C:C,BacklogRealizado!$C47,BacklogPlanejado!A:A,BacklogRealizado!$A47,BacklogPlanejado!B:B,BacklogRealizado!$B47,BacklogPlanejado!E:E,BacklogRealizado!$E47)</f>
        <v>0</v>
      </c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</row>
    <row r="48" ht="15.75" customHeight="1">
      <c r="A48" s="278"/>
      <c r="B48" s="279"/>
      <c r="C48" s="277"/>
      <c r="D48" s="277"/>
      <c r="E48" s="278"/>
      <c r="F48" s="277"/>
      <c r="G48" s="277"/>
      <c r="H48" s="290"/>
      <c r="I48" s="286"/>
      <c r="J48" s="287" t="b">
        <f>1=COUNTIFS(BacklogPlanejado!C:C,BacklogRealizado!$C48,BacklogPlanejado!A:A,BacklogRealizado!$A48,BacklogPlanejado!B:B,BacklogRealizado!$B48,BacklogPlanejado!E:E,BacklogRealizado!$E48)</f>
        <v>0</v>
      </c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</row>
    <row r="49" ht="15.75" customHeight="1">
      <c r="A49" s="278"/>
      <c r="B49" s="279"/>
      <c r="C49" s="277"/>
      <c r="D49" s="277"/>
      <c r="E49" s="278"/>
      <c r="F49" s="277"/>
      <c r="G49" s="277"/>
      <c r="H49" s="290"/>
      <c r="I49" s="286"/>
      <c r="J49" s="287" t="b">
        <f>1=COUNTIFS(BacklogPlanejado!C:C,BacklogRealizado!$C49,BacklogPlanejado!A:A,BacklogRealizado!$A49,BacklogPlanejado!B:B,BacklogRealizado!$B49,BacklogPlanejado!E:E,BacklogRealizado!$E49)</f>
        <v>0</v>
      </c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</row>
    <row r="50" ht="15.75" customHeight="1">
      <c r="A50" s="278"/>
      <c r="B50" s="279"/>
      <c r="C50" s="277"/>
      <c r="D50" s="277"/>
      <c r="E50" s="278"/>
      <c r="F50" s="277"/>
      <c r="G50" s="277"/>
      <c r="H50" s="290"/>
      <c r="I50" s="286"/>
      <c r="J50" s="287" t="b">
        <f>1=COUNTIFS(BacklogPlanejado!C:C,BacklogRealizado!$C50,BacklogPlanejado!A:A,BacklogRealizado!$A50,BacklogPlanejado!B:B,BacklogRealizado!$B50,BacklogPlanejado!E:E,BacklogRealizado!$E50)</f>
        <v>0</v>
      </c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</row>
    <row r="51" ht="15.75" customHeight="1">
      <c r="A51" s="278"/>
      <c r="B51" s="279"/>
      <c r="C51" s="277"/>
      <c r="D51" s="277"/>
      <c r="E51" s="278"/>
      <c r="F51" s="277"/>
      <c r="G51" s="277"/>
      <c r="H51" s="290"/>
      <c r="I51" s="286"/>
      <c r="J51" s="287" t="b">
        <f>1=COUNTIFS(BacklogPlanejado!C:C,BacklogRealizado!$C51,BacklogPlanejado!A:A,BacklogRealizado!$A51,BacklogPlanejado!B:B,BacklogRealizado!$B51,BacklogPlanejado!E:E,BacklogRealizado!$E51)</f>
        <v>0</v>
      </c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</row>
    <row r="52" ht="15.75" customHeight="1">
      <c r="A52" s="278"/>
      <c r="B52" s="279"/>
      <c r="C52" s="277"/>
      <c r="D52" s="277"/>
      <c r="E52" s="278"/>
      <c r="F52" s="277"/>
      <c r="G52" s="277"/>
      <c r="H52" s="290"/>
      <c r="I52" s="286"/>
      <c r="J52" s="287" t="b">
        <f>1=COUNTIFS(BacklogPlanejado!C:C,BacklogRealizado!$C52,BacklogPlanejado!A:A,BacklogRealizado!$A52,BacklogPlanejado!B:B,BacklogRealizado!$B52,BacklogPlanejado!E:E,BacklogRealizado!$E52)</f>
        <v>0</v>
      </c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</row>
    <row r="53" ht="15.75" customHeight="1">
      <c r="A53" s="278"/>
      <c r="B53" s="279"/>
      <c r="C53" s="277"/>
      <c r="D53" s="277"/>
      <c r="E53" s="278"/>
      <c r="F53" s="277"/>
      <c r="G53" s="277"/>
      <c r="H53" s="290"/>
      <c r="I53" s="286"/>
      <c r="J53" s="287" t="b">
        <f>1=COUNTIFS(BacklogPlanejado!C:C,BacklogRealizado!$C53,BacklogPlanejado!A:A,BacklogRealizado!$A53,BacklogPlanejado!B:B,BacklogRealizado!$B53,BacklogPlanejado!E:E,BacklogRealizado!$E53)</f>
        <v>0</v>
      </c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</row>
    <row r="54" ht="15.75" customHeight="1">
      <c r="A54" s="278"/>
      <c r="B54" s="279"/>
      <c r="C54" s="277"/>
      <c r="D54" s="277"/>
      <c r="E54" s="278"/>
      <c r="F54" s="277"/>
      <c r="G54" s="277"/>
      <c r="H54" s="290"/>
      <c r="I54" s="286"/>
      <c r="J54" s="287" t="b">
        <f>1=COUNTIFS(BacklogPlanejado!C:C,BacklogRealizado!$C54,BacklogPlanejado!A:A,BacklogRealizado!$A54,BacklogPlanejado!B:B,BacklogRealizado!$B54,BacklogPlanejado!E:E,BacklogRealizado!$E54)</f>
        <v>0</v>
      </c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ht="15.75" customHeight="1">
      <c r="A55" s="278"/>
      <c r="B55" s="279"/>
      <c r="C55" s="277"/>
      <c r="D55" s="277"/>
      <c r="E55" s="278"/>
      <c r="F55" s="277"/>
      <c r="G55" s="277"/>
      <c r="H55" s="290"/>
      <c r="I55" s="286"/>
      <c r="J55" s="287" t="b">
        <f>1=COUNTIFS(BacklogPlanejado!C:C,BacklogRealizado!$C55,BacklogPlanejado!A:A,BacklogRealizado!$A55,BacklogPlanejado!B:B,BacklogRealizado!$B55,BacklogPlanejado!E:E,BacklogRealizado!$E55)</f>
        <v>0</v>
      </c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ht="15.75" customHeight="1">
      <c r="A56" s="278"/>
      <c r="B56" s="279"/>
      <c r="C56" s="277"/>
      <c r="D56" s="277"/>
      <c r="E56" s="278"/>
      <c r="F56" s="277"/>
      <c r="G56" s="277"/>
      <c r="H56" s="290"/>
      <c r="I56" s="286"/>
      <c r="J56" s="287" t="b">
        <f>1=COUNTIFS(BacklogPlanejado!C:C,BacklogRealizado!$C56,BacklogPlanejado!A:A,BacklogRealizado!$A56,BacklogPlanejado!B:B,BacklogRealizado!$B56,BacklogPlanejado!E:E,BacklogRealizado!$E56)</f>
        <v>0</v>
      </c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</row>
    <row r="57" ht="15.75" customHeight="1">
      <c r="A57" s="278"/>
      <c r="B57" s="279"/>
      <c r="C57" s="277"/>
      <c r="D57" s="277"/>
      <c r="E57" s="278"/>
      <c r="F57" s="277"/>
      <c r="G57" s="277"/>
      <c r="H57" s="290"/>
      <c r="I57" s="286"/>
      <c r="J57" s="287" t="b">
        <f>1=COUNTIFS(BacklogPlanejado!C:C,BacklogRealizado!$C57,BacklogPlanejado!A:A,BacklogRealizado!$A57,BacklogPlanejado!B:B,BacklogRealizado!$B57,BacklogPlanejado!E:E,BacklogRealizado!$E57)</f>
        <v>0</v>
      </c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</row>
    <row r="58" ht="15.75" customHeight="1">
      <c r="A58" s="278"/>
      <c r="B58" s="279"/>
      <c r="C58" s="277"/>
      <c r="D58" s="277"/>
      <c r="E58" s="278"/>
      <c r="F58" s="277"/>
      <c r="G58" s="277"/>
      <c r="H58" s="290"/>
      <c r="I58" s="286"/>
      <c r="J58" s="287" t="b">
        <f>1=COUNTIFS(BacklogPlanejado!C:C,BacklogRealizado!$C58,BacklogPlanejado!A:A,BacklogRealizado!$A58,BacklogPlanejado!B:B,BacklogRealizado!$B58,BacklogPlanejado!E:E,BacklogRealizado!$E58)</f>
        <v>0</v>
      </c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</row>
    <row r="59" ht="15.75" customHeight="1">
      <c r="A59" s="278"/>
      <c r="B59" s="279"/>
      <c r="C59" s="277"/>
      <c r="D59" s="277"/>
      <c r="E59" s="278"/>
      <c r="F59" s="277"/>
      <c r="G59" s="277"/>
      <c r="H59" s="290"/>
      <c r="I59" s="286"/>
      <c r="J59" s="287" t="b">
        <f>1=COUNTIFS(BacklogPlanejado!C:C,BacklogRealizado!$C59,BacklogPlanejado!A:A,BacklogRealizado!$A59,BacklogPlanejado!B:B,BacklogRealizado!$B59,BacklogPlanejado!E:E,BacklogRealizado!$E59)</f>
        <v>0</v>
      </c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</row>
    <row r="60" ht="15.75" customHeight="1">
      <c r="A60" s="278"/>
      <c r="B60" s="279"/>
      <c r="C60" s="277"/>
      <c r="D60" s="277"/>
      <c r="E60" s="278"/>
      <c r="F60" s="277"/>
      <c r="G60" s="277"/>
      <c r="H60" s="290"/>
      <c r="I60" s="286"/>
      <c r="J60" s="287" t="b">
        <f>1=COUNTIFS(BacklogPlanejado!C:C,BacklogRealizado!$C60,BacklogPlanejado!A:A,BacklogRealizado!$A60,BacklogPlanejado!B:B,BacklogRealizado!$B60,BacklogPlanejado!E:E,BacklogRealizado!$E60)</f>
        <v>0</v>
      </c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ht="15.75" customHeight="1">
      <c r="A61" s="278"/>
      <c r="B61" s="279"/>
      <c r="C61" s="277"/>
      <c r="D61" s="277"/>
      <c r="E61" s="278"/>
      <c r="F61" s="277"/>
      <c r="G61" s="277"/>
      <c r="H61" s="290"/>
      <c r="I61" s="286"/>
      <c r="J61" s="287" t="b">
        <f>1=COUNTIFS(BacklogPlanejado!C:C,BacklogRealizado!$C61,BacklogPlanejado!A:A,BacklogRealizado!$A61,BacklogPlanejado!B:B,BacklogRealizado!$B61,BacklogPlanejado!E:E,BacklogRealizado!$E61)</f>
        <v>0</v>
      </c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ht="15.75" customHeight="1">
      <c r="A62" s="278"/>
      <c r="B62" s="279"/>
      <c r="C62" s="277"/>
      <c r="D62" s="277"/>
      <c r="E62" s="278"/>
      <c r="F62" s="277"/>
      <c r="G62" s="277"/>
      <c r="H62" s="290"/>
      <c r="I62" s="286"/>
      <c r="J62" s="287" t="b">
        <f>1=COUNTIFS(BacklogPlanejado!C:C,BacklogRealizado!$C62,BacklogPlanejado!A:A,BacklogRealizado!$A62,BacklogPlanejado!B:B,BacklogRealizado!$B62,BacklogPlanejado!E:E,BacklogRealizado!$E62)</f>
        <v>0</v>
      </c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ht="15.75" customHeight="1">
      <c r="A63" s="278"/>
      <c r="B63" s="279"/>
      <c r="C63" s="277"/>
      <c r="D63" s="277"/>
      <c r="E63" s="278"/>
      <c r="F63" s="277"/>
      <c r="G63" s="277"/>
      <c r="H63" s="290"/>
      <c r="I63" s="286"/>
      <c r="J63" s="287" t="b">
        <f>1=COUNTIFS(BacklogPlanejado!C:C,BacklogRealizado!$C63,BacklogPlanejado!A:A,BacklogRealizado!$A63,BacklogPlanejado!B:B,BacklogRealizado!$B63,BacklogPlanejado!E:E,BacklogRealizado!$E63)</f>
        <v>0</v>
      </c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ht="15.75" customHeight="1">
      <c r="A64" s="278"/>
      <c r="B64" s="279"/>
      <c r="C64" s="277"/>
      <c r="D64" s="277"/>
      <c r="E64" s="278"/>
      <c r="F64" s="277"/>
      <c r="G64" s="277"/>
      <c r="H64" s="290"/>
      <c r="I64" s="286"/>
      <c r="J64" s="287" t="b">
        <f>1=COUNTIFS(BacklogPlanejado!C:C,BacklogRealizado!$C64,BacklogPlanejado!A:A,BacklogRealizado!$A64,BacklogPlanejado!B:B,BacklogRealizado!$B64,BacklogPlanejado!E:E,BacklogRealizado!$E64)</f>
        <v>0</v>
      </c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ht="15.75" customHeight="1">
      <c r="A65" s="278"/>
      <c r="B65" s="279"/>
      <c r="C65" s="277"/>
      <c r="D65" s="277"/>
      <c r="E65" s="278"/>
      <c r="F65" s="277"/>
      <c r="G65" s="277"/>
      <c r="H65" s="290"/>
      <c r="I65" s="286"/>
      <c r="J65" s="287" t="b">
        <f>1=COUNTIFS(BacklogPlanejado!C:C,BacklogRealizado!$C65,BacklogPlanejado!A:A,BacklogRealizado!$A65,BacklogPlanejado!B:B,BacklogRealizado!$B65,BacklogPlanejado!E:E,BacklogRealizado!$E65)</f>
        <v>0</v>
      </c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ht="15.75" customHeight="1">
      <c r="A66" s="278"/>
      <c r="B66" s="279"/>
      <c r="C66" s="277"/>
      <c r="D66" s="277"/>
      <c r="E66" s="278"/>
      <c r="F66" s="277"/>
      <c r="G66" s="277"/>
      <c r="H66" s="290"/>
      <c r="I66" s="286"/>
      <c r="J66" s="287" t="b">
        <f>1=COUNTIFS(BacklogPlanejado!C:C,BacklogRealizado!$C66,BacklogPlanejado!A:A,BacklogRealizado!$A66,BacklogPlanejado!B:B,BacklogRealizado!$B66,BacklogPlanejado!E:E,BacklogRealizado!$E66)</f>
        <v>0</v>
      </c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ht="15.75" customHeight="1">
      <c r="A67" s="278"/>
      <c r="B67" s="279"/>
      <c r="C67" s="277"/>
      <c r="D67" s="277"/>
      <c r="E67" s="278"/>
      <c r="F67" s="277"/>
      <c r="G67" s="277"/>
      <c r="H67" s="290"/>
      <c r="I67" s="286"/>
      <c r="J67" s="287" t="b">
        <f>1=COUNTIFS(BacklogPlanejado!C:C,BacklogRealizado!$C67,BacklogPlanejado!A:A,BacklogRealizado!$A67,BacklogPlanejado!B:B,BacklogRealizado!$B67,BacklogPlanejado!E:E,BacklogRealizado!$E67)</f>
        <v>0</v>
      </c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ht="15.75" customHeight="1">
      <c r="A68" s="278"/>
      <c r="B68" s="279"/>
      <c r="C68" s="277"/>
      <c r="D68" s="277"/>
      <c r="E68" s="278"/>
      <c r="F68" s="277"/>
      <c r="G68" s="277"/>
      <c r="H68" s="290"/>
      <c r="I68" s="286"/>
      <c r="J68" s="287" t="b">
        <f>1=COUNTIFS(BacklogPlanejado!C:C,BacklogRealizado!$C68,BacklogPlanejado!A:A,BacklogRealizado!$A68,BacklogPlanejado!B:B,BacklogRealizado!$B68,BacklogPlanejado!E:E,BacklogRealizado!$E68)</f>
        <v>0</v>
      </c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ht="15.75" customHeight="1">
      <c r="A69" s="278"/>
      <c r="B69" s="279"/>
      <c r="C69" s="277"/>
      <c r="D69" s="277"/>
      <c r="E69" s="278"/>
      <c r="F69" s="277"/>
      <c r="G69" s="277"/>
      <c r="H69" s="290"/>
      <c r="I69" s="286"/>
      <c r="J69" s="287" t="b">
        <f>1=COUNTIFS(BacklogPlanejado!C:C,BacklogRealizado!$C69,BacklogPlanejado!A:A,BacklogRealizado!$A69,BacklogPlanejado!B:B,BacklogRealizado!$B69,BacklogPlanejado!E:E,BacklogRealizado!$E69)</f>
        <v>0</v>
      </c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  <row r="70" ht="15.75" customHeight="1">
      <c r="A70" s="278"/>
      <c r="B70" s="279"/>
      <c r="C70" s="277"/>
      <c r="D70" s="277"/>
      <c r="E70" s="278"/>
      <c r="F70" s="277"/>
      <c r="G70" s="277"/>
      <c r="H70" s="290"/>
      <c r="I70" s="286"/>
      <c r="J70" s="287" t="b">
        <f>1=COUNTIFS(BacklogPlanejado!C:C,BacklogRealizado!$C70,BacklogPlanejado!A:A,BacklogRealizado!$A70,BacklogPlanejado!B:B,BacklogRealizado!$B70,BacklogPlanejado!E:E,BacklogRealizado!$E70)</f>
        <v>0</v>
      </c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ht="15.75" customHeight="1">
      <c r="A71" s="278"/>
      <c r="B71" s="279"/>
      <c r="C71" s="277"/>
      <c r="D71" s="277"/>
      <c r="E71" s="278"/>
      <c r="F71" s="277"/>
      <c r="G71" s="277"/>
      <c r="H71" s="290"/>
      <c r="I71" s="286"/>
      <c r="J71" s="287" t="b">
        <f>1=COUNTIFS(BacklogPlanejado!C:C,BacklogRealizado!$C71,BacklogPlanejado!A:A,BacklogRealizado!$A71,BacklogPlanejado!B:B,BacklogRealizado!$B71,BacklogPlanejado!E:E,BacklogRealizado!$E71)</f>
        <v>0</v>
      </c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ht="15.75" customHeight="1">
      <c r="A72" s="278"/>
      <c r="B72" s="279"/>
      <c r="C72" s="277"/>
      <c r="D72" s="277"/>
      <c r="E72" s="278"/>
      <c r="F72" s="277"/>
      <c r="G72" s="277"/>
      <c r="H72" s="290"/>
      <c r="I72" s="286"/>
      <c r="J72" s="287" t="b">
        <f>1=COUNTIFS(BacklogPlanejado!C:C,BacklogRealizado!$C72,BacklogPlanejado!A:A,BacklogRealizado!$A72,BacklogPlanejado!B:B,BacklogRealizado!$B72,BacklogPlanejado!E:E,BacklogRealizado!$E72)</f>
        <v>0</v>
      </c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ht="15.75" customHeight="1">
      <c r="A73" s="278"/>
      <c r="B73" s="279"/>
      <c r="C73" s="277"/>
      <c r="D73" s="277"/>
      <c r="E73" s="278"/>
      <c r="F73" s="277"/>
      <c r="G73" s="277"/>
      <c r="H73" s="290"/>
      <c r="I73" s="286"/>
      <c r="J73" s="287" t="b">
        <f>1=COUNTIFS(BacklogPlanejado!C:C,BacklogRealizado!$C73,BacklogPlanejado!A:A,BacklogRealizado!$A73,BacklogPlanejado!B:B,BacklogRealizado!$B73,BacklogPlanejado!E:E,BacklogRealizado!$E73)</f>
        <v>0</v>
      </c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ht="15.75" customHeight="1">
      <c r="A74" s="278"/>
      <c r="B74" s="279"/>
      <c r="C74" s="277"/>
      <c r="D74" s="277"/>
      <c r="E74" s="278"/>
      <c r="F74" s="277"/>
      <c r="G74" s="277"/>
      <c r="H74" s="290"/>
      <c r="I74" s="286"/>
      <c r="J74" s="287" t="b">
        <f>1=COUNTIFS(BacklogPlanejado!C:C,BacklogRealizado!$C74,BacklogPlanejado!A:A,BacklogRealizado!$A74,BacklogPlanejado!B:B,BacklogRealizado!$B74,BacklogPlanejado!E:E,BacklogRealizado!$E74)</f>
        <v>0</v>
      </c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ht="15.75" customHeight="1">
      <c r="A75" s="278"/>
      <c r="B75" s="279"/>
      <c r="C75" s="277"/>
      <c r="D75" s="277"/>
      <c r="E75" s="278"/>
      <c r="F75" s="277"/>
      <c r="G75" s="277"/>
      <c r="H75" s="290"/>
      <c r="I75" s="286"/>
      <c r="J75" s="287" t="b">
        <f>1=COUNTIFS(BacklogPlanejado!C:C,BacklogRealizado!$C75,BacklogPlanejado!A:A,BacklogRealizado!$A75,BacklogPlanejado!B:B,BacklogRealizado!$B75,BacklogPlanejado!E:E,BacklogRealizado!$E75)</f>
        <v>0</v>
      </c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ht="15.75" customHeight="1">
      <c r="A76" s="278"/>
      <c r="B76" s="279"/>
      <c r="C76" s="277"/>
      <c r="D76" s="277"/>
      <c r="E76" s="278"/>
      <c r="F76" s="277"/>
      <c r="G76" s="277"/>
      <c r="H76" s="290"/>
      <c r="I76" s="286"/>
      <c r="J76" s="287" t="b">
        <f>1=COUNTIFS(BacklogPlanejado!C:C,BacklogRealizado!$C76,BacklogPlanejado!A:A,BacklogRealizado!$A76,BacklogPlanejado!B:B,BacklogRealizado!$B76,BacklogPlanejado!E:E,BacklogRealizado!$E76)</f>
        <v>0</v>
      </c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ht="15.75" customHeight="1">
      <c r="A77" s="278"/>
      <c r="B77" s="279"/>
      <c r="C77" s="277"/>
      <c r="D77" s="277"/>
      <c r="E77" s="278"/>
      <c r="F77" s="277"/>
      <c r="G77" s="277"/>
      <c r="H77" s="290"/>
      <c r="I77" s="286"/>
      <c r="J77" s="287" t="b">
        <f>1=COUNTIFS(BacklogPlanejado!C:C,BacklogRealizado!$C77,BacklogPlanejado!A:A,BacklogRealizado!$A77,BacklogPlanejado!B:B,BacklogRealizado!$B77,BacklogPlanejado!E:E,BacklogRealizado!$E77)</f>
        <v>0</v>
      </c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ht="15.75" customHeight="1">
      <c r="A78" s="278"/>
      <c r="B78" s="279"/>
      <c r="C78" s="277"/>
      <c r="D78" s="277"/>
      <c r="E78" s="278"/>
      <c r="F78" s="277"/>
      <c r="G78" s="277"/>
      <c r="H78" s="290"/>
      <c r="I78" s="286"/>
      <c r="J78" s="287" t="b">
        <f>1=COUNTIFS(BacklogPlanejado!C:C,BacklogRealizado!$C78,BacklogPlanejado!A:A,BacklogRealizado!$A78,BacklogPlanejado!B:B,BacklogRealizado!$B78,BacklogPlanejado!E:E,BacklogRealizado!$E78)</f>
        <v>0</v>
      </c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ht="15.75" customHeight="1">
      <c r="A79" s="278"/>
      <c r="B79" s="279"/>
      <c r="C79" s="277"/>
      <c r="D79" s="277"/>
      <c r="E79" s="278"/>
      <c r="F79" s="277"/>
      <c r="G79" s="277"/>
      <c r="H79" s="290"/>
      <c r="I79" s="286"/>
      <c r="J79" s="287" t="b">
        <f>1=COUNTIFS(BacklogPlanejado!C:C,BacklogRealizado!$C79,BacklogPlanejado!A:A,BacklogRealizado!$A79,BacklogPlanejado!B:B,BacklogRealizado!$B79,BacklogPlanejado!E:E,BacklogRealizado!$E79)</f>
        <v>0</v>
      </c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ht="15.75" customHeight="1">
      <c r="A80" s="278"/>
      <c r="B80" s="279"/>
      <c r="C80" s="277"/>
      <c r="D80" s="277"/>
      <c r="E80" s="278"/>
      <c r="F80" s="277"/>
      <c r="G80" s="277"/>
      <c r="H80" s="290"/>
      <c r="I80" s="286"/>
      <c r="J80" s="287" t="b">
        <f>1=COUNTIFS(BacklogPlanejado!C:C,BacklogRealizado!$C80,BacklogPlanejado!A:A,BacklogRealizado!$A80,BacklogPlanejado!B:B,BacklogRealizado!$B80,BacklogPlanejado!E:E,BacklogRealizado!$E80)</f>
        <v>0</v>
      </c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 ht="15.75" customHeight="1">
      <c r="A81" s="278"/>
      <c r="B81" s="279"/>
      <c r="C81" s="277"/>
      <c r="D81" s="277"/>
      <c r="E81" s="278"/>
      <c r="F81" s="277"/>
      <c r="G81" s="277"/>
      <c r="H81" s="290"/>
      <c r="I81" s="286"/>
      <c r="J81" s="287" t="b">
        <f>1=COUNTIFS(BacklogPlanejado!C:C,BacklogRealizado!$C81,BacklogPlanejado!A:A,BacklogRealizado!$A81,BacklogPlanejado!B:B,BacklogRealizado!$B81,BacklogPlanejado!E:E,BacklogRealizado!$E81)</f>
        <v>0</v>
      </c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ht="15.75" customHeight="1">
      <c r="A82" s="278"/>
      <c r="B82" s="279"/>
      <c r="C82" s="277"/>
      <c r="D82" s="277"/>
      <c r="E82" s="278"/>
      <c r="F82" s="277"/>
      <c r="G82" s="277"/>
      <c r="H82" s="290"/>
      <c r="I82" s="286"/>
      <c r="J82" s="287" t="b">
        <f>1=COUNTIFS(BacklogPlanejado!C:C,BacklogRealizado!$C82,BacklogPlanejado!A:A,BacklogRealizado!$A82,BacklogPlanejado!B:B,BacklogRealizado!$B82,BacklogPlanejado!E:E,BacklogRealizado!$E82)</f>
        <v>0</v>
      </c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ht="15.75" customHeight="1">
      <c r="A83" s="278"/>
      <c r="B83" s="279"/>
      <c r="C83" s="277"/>
      <c r="D83" s="277"/>
      <c r="E83" s="278"/>
      <c r="F83" s="277"/>
      <c r="G83" s="277"/>
      <c r="H83" s="290"/>
      <c r="I83" s="286"/>
      <c r="J83" s="287" t="b">
        <f>1=COUNTIFS(BacklogPlanejado!C:C,BacklogRealizado!$C83,BacklogPlanejado!A:A,BacklogRealizado!$A83,BacklogPlanejado!B:B,BacklogRealizado!$B83,BacklogPlanejado!E:E,BacklogRealizado!$E83)</f>
        <v>0</v>
      </c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ht="15.75" customHeight="1">
      <c r="A84" s="278"/>
      <c r="B84" s="279"/>
      <c r="C84" s="277"/>
      <c r="D84" s="277"/>
      <c r="E84" s="278"/>
      <c r="F84" s="277"/>
      <c r="G84" s="277"/>
      <c r="H84" s="290"/>
      <c r="I84" s="286"/>
      <c r="J84" s="287" t="b">
        <f>1=COUNTIFS(BacklogPlanejado!C:C,BacklogRealizado!$C84,BacklogPlanejado!A:A,BacklogRealizado!$A84,BacklogPlanejado!B:B,BacklogRealizado!$B84,BacklogPlanejado!E:E,BacklogRealizado!$E84)</f>
        <v>0</v>
      </c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</row>
    <row r="85" ht="15.75" customHeight="1">
      <c r="A85" s="278"/>
      <c r="B85" s="279"/>
      <c r="C85" s="277"/>
      <c r="D85" s="277"/>
      <c r="E85" s="278"/>
      <c r="F85" s="277"/>
      <c r="G85" s="277"/>
      <c r="H85" s="290"/>
      <c r="I85" s="286"/>
      <c r="J85" s="287" t="b">
        <f>1=COUNTIFS(BacklogPlanejado!C:C,BacklogRealizado!$C85,BacklogPlanejado!A:A,BacklogRealizado!$A85,BacklogPlanejado!B:B,BacklogRealizado!$B85,BacklogPlanejado!E:E,BacklogRealizado!$E85)</f>
        <v>0</v>
      </c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</row>
    <row r="86" ht="15.75" customHeight="1">
      <c r="A86" s="278"/>
      <c r="B86" s="279"/>
      <c r="C86" s="277"/>
      <c r="D86" s="277"/>
      <c r="E86" s="278"/>
      <c r="F86" s="277"/>
      <c r="G86" s="277"/>
      <c r="H86" s="290"/>
      <c r="I86" s="286"/>
      <c r="J86" s="287" t="b">
        <f>1=COUNTIFS(BacklogPlanejado!C:C,BacklogRealizado!$C86,BacklogPlanejado!A:A,BacklogRealizado!$A86,BacklogPlanejado!B:B,BacklogRealizado!$B86,BacklogPlanejado!E:E,BacklogRealizado!$E86)</f>
        <v>0</v>
      </c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</row>
    <row r="87" ht="15.75" customHeight="1">
      <c r="A87" s="278"/>
      <c r="B87" s="279"/>
      <c r="C87" s="277"/>
      <c r="D87" s="277"/>
      <c r="E87" s="278"/>
      <c r="F87" s="277"/>
      <c r="G87" s="277"/>
      <c r="H87" s="290"/>
      <c r="I87" s="286"/>
      <c r="J87" s="287" t="b">
        <f>1=COUNTIFS(BacklogPlanejado!C:C,BacklogRealizado!$C87,BacklogPlanejado!A:A,BacklogRealizado!$A87,BacklogPlanejado!B:B,BacklogRealizado!$B87,BacklogPlanejado!E:E,BacklogRealizado!$E87)</f>
        <v>0</v>
      </c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</row>
    <row r="88" ht="15.75" customHeight="1">
      <c r="A88" s="278"/>
      <c r="B88" s="279"/>
      <c r="C88" s="277"/>
      <c r="D88" s="277"/>
      <c r="E88" s="278"/>
      <c r="F88" s="277"/>
      <c r="G88" s="277"/>
      <c r="H88" s="290"/>
      <c r="I88" s="286"/>
      <c r="J88" s="287" t="b">
        <f>1=COUNTIFS(BacklogPlanejado!C:C,BacklogRealizado!$C88,BacklogPlanejado!A:A,BacklogRealizado!$A88,BacklogPlanejado!B:B,BacklogRealizado!$B88,BacklogPlanejado!E:E,BacklogRealizado!$E88)</f>
        <v>0</v>
      </c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</row>
    <row r="89" ht="15.75" customHeight="1">
      <c r="A89" s="278"/>
      <c r="B89" s="279"/>
      <c r="C89" s="277"/>
      <c r="D89" s="277"/>
      <c r="E89" s="278"/>
      <c r="F89" s="277"/>
      <c r="G89" s="277"/>
      <c r="H89" s="290"/>
      <c r="I89" s="286"/>
      <c r="J89" s="287" t="b">
        <f>1=COUNTIFS(BacklogPlanejado!C:C,BacklogRealizado!$C89,BacklogPlanejado!A:A,BacklogRealizado!$A89,BacklogPlanejado!B:B,BacklogRealizado!$B89,BacklogPlanejado!E:E,BacklogRealizado!$E89)</f>
        <v>0</v>
      </c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</row>
    <row r="90" ht="15.75" customHeight="1">
      <c r="A90" s="278"/>
      <c r="B90" s="279"/>
      <c r="C90" s="277"/>
      <c r="D90" s="277"/>
      <c r="E90" s="278"/>
      <c r="F90" s="277"/>
      <c r="G90" s="277"/>
      <c r="H90" s="290"/>
      <c r="I90" s="286"/>
      <c r="J90" s="287" t="b">
        <f>1=COUNTIFS(BacklogPlanejado!C:C,BacklogRealizado!$C90,BacklogPlanejado!A:A,BacklogRealizado!$A90,BacklogPlanejado!B:B,BacklogRealizado!$B90,BacklogPlanejado!E:E,BacklogRealizado!$E90)</f>
        <v>0</v>
      </c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</row>
    <row r="91" ht="15.75" customHeight="1">
      <c r="A91" s="278"/>
      <c r="B91" s="279"/>
      <c r="C91" s="277"/>
      <c r="D91" s="277"/>
      <c r="E91" s="278"/>
      <c r="F91" s="277"/>
      <c r="G91" s="277"/>
      <c r="H91" s="290"/>
      <c r="I91" s="286"/>
      <c r="J91" s="287" t="b">
        <f>1=COUNTIFS(BacklogPlanejado!C:C,BacklogRealizado!$C91,BacklogPlanejado!A:A,BacklogRealizado!$A91,BacklogPlanejado!B:B,BacklogRealizado!$B91,BacklogPlanejado!E:E,BacklogRealizado!$E91)</f>
        <v>0</v>
      </c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</row>
    <row r="92" ht="15.75" customHeight="1">
      <c r="A92" s="278"/>
      <c r="B92" s="279"/>
      <c r="C92" s="277"/>
      <c r="D92" s="277"/>
      <c r="E92" s="278"/>
      <c r="F92" s="277"/>
      <c r="G92" s="277"/>
      <c r="H92" s="290"/>
      <c r="I92" s="286"/>
      <c r="J92" s="287" t="b">
        <f>1=COUNTIFS(BacklogPlanejado!C:C,BacklogRealizado!$C92,BacklogPlanejado!A:A,BacklogRealizado!$A92,BacklogPlanejado!B:B,BacklogRealizado!$B92,BacklogPlanejado!E:E,BacklogRealizado!$E92)</f>
        <v>0</v>
      </c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</row>
    <row r="93" ht="15.75" customHeight="1">
      <c r="A93" s="278"/>
      <c r="B93" s="279"/>
      <c r="C93" s="277"/>
      <c r="D93" s="277"/>
      <c r="E93" s="278"/>
      <c r="F93" s="277"/>
      <c r="G93" s="277"/>
      <c r="H93" s="290"/>
      <c r="I93" s="286"/>
      <c r="J93" s="287" t="b">
        <f>1=COUNTIFS(BacklogPlanejado!C:C,BacklogRealizado!$C93,BacklogPlanejado!A:A,BacklogRealizado!$A93,BacklogPlanejado!B:B,BacklogRealizado!$B93,BacklogPlanejado!E:E,BacklogRealizado!$E93)</f>
        <v>0</v>
      </c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</row>
    <row r="94" ht="15.75" customHeight="1">
      <c r="A94" s="278"/>
      <c r="B94" s="279"/>
      <c r="C94" s="277"/>
      <c r="D94" s="277"/>
      <c r="E94" s="278"/>
      <c r="F94" s="277"/>
      <c r="G94" s="277"/>
      <c r="H94" s="290"/>
      <c r="I94" s="286"/>
      <c r="J94" s="287" t="b">
        <f>1=COUNTIFS(BacklogPlanejado!C:C,BacklogRealizado!$C94,BacklogPlanejado!A:A,BacklogRealizado!$A94,BacklogPlanejado!B:B,BacklogRealizado!$B94,BacklogPlanejado!E:E,BacklogRealizado!$E94)</f>
        <v>0</v>
      </c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</row>
    <row r="95" ht="15.75" customHeight="1">
      <c r="A95" s="278"/>
      <c r="B95" s="279"/>
      <c r="C95" s="277"/>
      <c r="D95" s="277"/>
      <c r="E95" s="278"/>
      <c r="F95" s="277"/>
      <c r="G95" s="277"/>
      <c r="H95" s="290"/>
      <c r="I95" s="286"/>
      <c r="J95" s="287" t="b">
        <f>1=COUNTIFS(BacklogPlanejado!C:C,BacklogRealizado!$C95,BacklogPlanejado!A:A,BacklogRealizado!$A95,BacklogPlanejado!B:B,BacklogRealizado!$B95,BacklogPlanejado!E:E,BacklogRealizado!$E95)</f>
        <v>0</v>
      </c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</row>
    <row r="96" ht="15.75" customHeight="1">
      <c r="A96" s="278"/>
      <c r="B96" s="279"/>
      <c r="C96" s="277"/>
      <c r="D96" s="277"/>
      <c r="E96" s="278"/>
      <c r="F96" s="277"/>
      <c r="G96" s="277"/>
      <c r="H96" s="290"/>
      <c r="I96" s="286"/>
      <c r="J96" s="287" t="b">
        <f>1=COUNTIFS(BacklogPlanejado!C:C,BacklogRealizado!$C96,BacklogPlanejado!A:A,BacklogRealizado!$A96,BacklogPlanejado!B:B,BacklogRealizado!$B96,BacklogPlanejado!E:E,BacklogRealizado!$E96)</f>
        <v>0</v>
      </c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</row>
    <row r="97" ht="15.75" customHeight="1">
      <c r="A97" s="278"/>
      <c r="B97" s="279"/>
      <c r="C97" s="277"/>
      <c r="D97" s="277"/>
      <c r="E97" s="278"/>
      <c r="F97" s="277"/>
      <c r="G97" s="277"/>
      <c r="H97" s="290"/>
      <c r="I97" s="286"/>
      <c r="J97" s="287" t="b">
        <f>1=COUNTIFS(BacklogPlanejado!C:C,BacklogRealizado!$C97,BacklogPlanejado!A:A,BacklogRealizado!$A97,BacklogPlanejado!B:B,BacklogRealizado!$B97,BacklogPlanejado!E:E,BacklogRealizado!$E97)</f>
        <v>0</v>
      </c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</row>
    <row r="98" ht="15.75" customHeight="1">
      <c r="A98" s="278"/>
      <c r="B98" s="279"/>
      <c r="C98" s="277"/>
      <c r="D98" s="277"/>
      <c r="E98" s="278"/>
      <c r="F98" s="277"/>
      <c r="G98" s="277"/>
      <c r="H98" s="290"/>
      <c r="I98" s="286"/>
      <c r="J98" s="287" t="b">
        <f>1=COUNTIFS(BacklogPlanejado!C:C,BacklogRealizado!$C98,BacklogPlanejado!A:A,BacklogRealizado!$A98,BacklogPlanejado!B:B,BacklogRealizado!$B98,BacklogPlanejado!E:E,BacklogRealizado!$E98)</f>
        <v>0</v>
      </c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</row>
    <row r="99" ht="15.75" customHeight="1">
      <c r="A99" s="278"/>
      <c r="B99" s="279"/>
      <c r="C99" s="277"/>
      <c r="D99" s="277"/>
      <c r="E99" s="278"/>
      <c r="F99" s="277"/>
      <c r="G99" s="277"/>
      <c r="H99" s="290"/>
      <c r="I99" s="286"/>
      <c r="J99" s="287" t="b">
        <f>1=COUNTIFS(BacklogPlanejado!C:C,BacklogRealizado!$C99,BacklogPlanejado!A:A,BacklogRealizado!$A99,BacklogPlanejado!B:B,BacklogRealizado!$B99,BacklogPlanejado!E:E,BacklogRealizado!$E99)</f>
        <v>0</v>
      </c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</row>
    <row r="100" ht="15.75" customHeight="1">
      <c r="A100" s="278"/>
      <c r="B100" s="279"/>
      <c r="C100" s="277"/>
      <c r="D100" s="277"/>
      <c r="E100" s="278"/>
      <c r="F100" s="277"/>
      <c r="G100" s="277"/>
      <c r="H100" s="290"/>
      <c r="I100" s="286"/>
      <c r="J100" s="287" t="b">
        <f>1=COUNTIFS(BacklogPlanejado!C:C,BacklogRealizado!$C100,BacklogPlanejado!A:A,BacklogRealizado!$A100,BacklogPlanejado!B:B,BacklogRealizado!$B100,BacklogPlanejado!E:E,BacklogRealizado!$E100)</f>
        <v>0</v>
      </c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</row>
    <row r="101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</row>
    <row r="102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</row>
    <row r="104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</row>
    <row r="105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</row>
    <row r="10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</row>
    <row r="10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</row>
    <row r="108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</row>
    <row r="110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</row>
    <row r="11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</row>
    <row r="112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</row>
    <row r="11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</row>
    <row r="115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</row>
    <row r="11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</row>
    <row r="11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</row>
    <row r="118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</row>
    <row r="11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</row>
    <row r="120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</row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</row>
    <row r="122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</row>
    <row r="123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</row>
    <row r="124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</row>
    <row r="125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</row>
    <row r="1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</row>
    <row r="1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</row>
    <row r="128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</row>
    <row r="1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</row>
    <row r="130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</row>
    <row r="131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</row>
    <row r="132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</row>
    <row r="133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</row>
    <row r="134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</row>
    <row r="135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</row>
    <row r="13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</row>
    <row r="13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</row>
    <row r="138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</row>
    <row r="13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</row>
    <row r="140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</row>
    <row r="141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</row>
    <row r="142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</row>
    <row r="221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</row>
    <row r="222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</row>
    <row r="223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</row>
    <row r="224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</row>
    <row r="225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</row>
    <row r="2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</row>
    <row r="2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</row>
    <row r="228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</row>
    <row r="360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</row>
    <row r="36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</row>
    <row r="362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</row>
    <row r="36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</row>
    <row r="364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</row>
    <row r="36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</row>
    <row r="36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</row>
    <row r="36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</row>
    <row r="368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</row>
    <row r="3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</row>
    <row r="370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</row>
    <row r="37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</row>
    <row r="372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</row>
    <row r="37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</row>
    <row r="374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</row>
    <row r="37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</row>
    <row r="37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</row>
    <row r="37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</row>
    <row r="378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</row>
    <row r="37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</row>
    <row r="380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</row>
    <row r="3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</row>
    <row r="382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</row>
    <row r="38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</row>
    <row r="384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</row>
    <row r="38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</row>
    <row r="38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</row>
    <row r="38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</row>
    <row r="388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</row>
    <row r="38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</row>
    <row r="390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</row>
    <row r="39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</row>
    <row r="392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</row>
    <row r="39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</row>
    <row r="394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</row>
    <row r="39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</row>
    <row r="39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</row>
    <row r="39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</row>
    <row r="398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</row>
    <row r="39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</row>
    <row r="400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</row>
    <row r="40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</row>
    <row r="402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</row>
    <row r="40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</row>
    <row r="404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</row>
    <row r="40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</row>
    <row r="40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</row>
    <row r="40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</row>
    <row r="408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</row>
    <row r="40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</row>
    <row r="410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</row>
    <row r="41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</row>
    <row r="412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</row>
    <row r="41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</row>
    <row r="414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</row>
    <row r="41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</row>
    <row r="41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</row>
    <row r="41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</row>
    <row r="418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</row>
    <row r="41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</row>
    <row r="420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</row>
    <row r="42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</row>
    <row r="422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</row>
    <row r="4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</row>
    <row r="424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</row>
    <row r="42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</row>
    <row r="4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</row>
    <row r="4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</row>
    <row r="428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</row>
    <row r="4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</row>
    <row r="430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</row>
    <row r="43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</row>
    <row r="432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</row>
    <row r="43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</row>
    <row r="434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</row>
    <row r="4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</row>
    <row r="43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</row>
    <row r="43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</row>
    <row r="438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</row>
    <row r="43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</row>
    <row r="440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</row>
    <row r="44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</row>
    <row r="442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</row>
    <row r="44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</row>
    <row r="444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</row>
    <row r="44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</row>
    <row r="44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</row>
    <row r="44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</row>
    <row r="448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</row>
    <row r="44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</row>
    <row r="450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</row>
    <row r="45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</row>
    <row r="452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</row>
    <row r="45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</row>
    <row r="454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</row>
    <row r="45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</row>
    <row r="45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</row>
    <row r="45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</row>
    <row r="458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</row>
    <row r="45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</row>
    <row r="460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</row>
    <row r="46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</row>
    <row r="462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</row>
    <row r="46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</row>
    <row r="464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</row>
    <row r="46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</row>
    <row r="46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</row>
    <row r="46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</row>
    <row r="468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</row>
    <row r="4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</row>
    <row r="470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</row>
    <row r="47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</row>
    <row r="472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</row>
    <row r="47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</row>
    <row r="474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</row>
    <row r="47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</row>
    <row r="47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</row>
    <row r="47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</row>
    <row r="478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</row>
    <row r="47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</row>
    <row r="480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</row>
    <row r="4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</row>
    <row r="482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</row>
    <row r="48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</row>
    <row r="484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</row>
    <row r="48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</row>
    <row r="48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</row>
    <row r="48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</row>
    <row r="488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</row>
    <row r="48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</row>
    <row r="490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</row>
    <row r="49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</row>
    <row r="492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</row>
    <row r="49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</row>
    <row r="494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</row>
    <row r="49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</row>
    <row r="49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</row>
    <row r="49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</row>
    <row r="498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</row>
    <row r="49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</row>
    <row r="500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</row>
    <row r="50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</row>
    <row r="502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</row>
    <row r="50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</row>
    <row r="504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</row>
    <row r="50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</row>
    <row r="50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</row>
    <row r="50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</row>
    <row r="508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</row>
    <row r="50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</row>
    <row r="510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</row>
    <row r="51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</row>
    <row r="512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</row>
    <row r="51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</row>
    <row r="514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</row>
    <row r="51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</row>
    <row r="51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</row>
    <row r="51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</row>
    <row r="518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</row>
    <row r="51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</row>
    <row r="520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</row>
    <row r="52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</row>
    <row r="522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</row>
    <row r="5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</row>
    <row r="524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</row>
    <row r="52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</row>
    <row r="5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</row>
    <row r="5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</row>
    <row r="528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</row>
    <row r="5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</row>
    <row r="530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</row>
    <row r="53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</row>
    <row r="532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</row>
    <row r="53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</row>
    <row r="534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</row>
    <row r="5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</row>
    <row r="53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</row>
    <row r="53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</row>
    <row r="538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</row>
    <row r="5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</row>
    <row r="540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</row>
    <row r="54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</row>
    <row r="542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</row>
    <row r="54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</row>
    <row r="544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</row>
    <row r="54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</row>
    <row r="54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</row>
    <row r="54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</row>
    <row r="548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</row>
    <row r="54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</row>
    <row r="550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</row>
    <row r="55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</row>
    <row r="552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</row>
    <row r="55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</row>
    <row r="554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</row>
    <row r="55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</row>
    <row r="55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</row>
    <row r="55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</row>
    <row r="558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</row>
    <row r="55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</row>
    <row r="560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</row>
    <row r="56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</row>
    <row r="562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</row>
    <row r="56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</row>
    <row r="564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</row>
    <row r="56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</row>
    <row r="56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</row>
    <row r="56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</row>
    <row r="568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</row>
    <row r="5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</row>
    <row r="570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</row>
    <row r="57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</row>
    <row r="572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</row>
    <row r="57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</row>
    <row r="574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</row>
    <row r="57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</row>
    <row r="57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</row>
    <row r="57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</row>
    <row r="578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</row>
    <row r="57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</row>
    <row r="580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</row>
    <row r="5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</row>
    <row r="582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</row>
    <row r="58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</row>
    <row r="584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</row>
    <row r="58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</row>
    <row r="58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</row>
    <row r="58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</row>
    <row r="588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</row>
    <row r="58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</row>
    <row r="590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</row>
    <row r="59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</row>
    <row r="592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</row>
    <row r="59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</row>
    <row r="594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</row>
    <row r="59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</row>
    <row r="59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</row>
    <row r="59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</row>
    <row r="598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</row>
    <row r="59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</row>
    <row r="600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</row>
    <row r="60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</row>
    <row r="602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</row>
    <row r="60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</row>
    <row r="604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</row>
    <row r="60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</row>
    <row r="60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</row>
    <row r="60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</row>
    <row r="608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</row>
    <row r="60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</row>
    <row r="610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</row>
    <row r="61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</row>
    <row r="612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</row>
    <row r="61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</row>
    <row r="614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</row>
    <row r="61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</row>
    <row r="61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</row>
    <row r="61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</row>
    <row r="618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</row>
    <row r="61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</row>
    <row r="620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</row>
    <row r="62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</row>
    <row r="622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</row>
    <row r="6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</row>
    <row r="624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</row>
    <row r="62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</row>
    <row r="6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</row>
    <row r="6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</row>
    <row r="628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</row>
    <row r="6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</row>
    <row r="630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</row>
    <row r="63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</row>
    <row r="632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</row>
    <row r="63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</row>
    <row r="634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</row>
    <row r="6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</row>
    <row r="63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</row>
    <row r="63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</row>
    <row r="638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</row>
    <row r="6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</row>
    <row r="640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</row>
    <row r="64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</row>
    <row r="642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</row>
    <row r="64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</row>
    <row r="644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</row>
    <row r="64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</row>
    <row r="64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</row>
    <row r="64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</row>
    <row r="648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</row>
    <row r="64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</row>
    <row r="650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</row>
    <row r="65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</row>
    <row r="652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</row>
    <row r="65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</row>
    <row r="654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</row>
    <row r="65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</row>
    <row r="65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</row>
    <row r="65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</row>
    <row r="658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</row>
    <row r="65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</row>
    <row r="660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</row>
    <row r="66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</row>
    <row r="662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</row>
    <row r="66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</row>
    <row r="664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</row>
    <row r="66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</row>
    <row r="66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</row>
    <row r="66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</row>
    <row r="668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</row>
    <row r="6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</row>
    <row r="670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</row>
    <row r="67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</row>
    <row r="672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</row>
    <row r="67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</row>
    <row r="674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</row>
    <row r="67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</row>
    <row r="67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</row>
    <row r="67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</row>
    <row r="678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</row>
    <row r="67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</row>
    <row r="680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</row>
    <row r="6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</row>
    <row r="682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</row>
    <row r="68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</row>
    <row r="684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</row>
    <row r="68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</row>
    <row r="68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</row>
    <row r="68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</row>
    <row r="688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</row>
    <row r="68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</row>
    <row r="690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</row>
    <row r="69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</row>
    <row r="692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</row>
    <row r="69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</row>
    <row r="694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</row>
    <row r="69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</row>
    <row r="69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</row>
    <row r="69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</row>
    <row r="698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</row>
    <row r="69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</row>
    <row r="700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</row>
    <row r="70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</row>
    <row r="702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</row>
    <row r="70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</row>
    <row r="704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</row>
    <row r="70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</row>
    <row r="70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</row>
    <row r="70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</row>
    <row r="708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</row>
    <row r="70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</row>
    <row r="710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</row>
    <row r="71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</row>
    <row r="712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</row>
    <row r="71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</row>
    <row r="714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</row>
    <row r="71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</row>
    <row r="71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</row>
    <row r="71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</row>
    <row r="718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</row>
    <row r="71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</row>
    <row r="720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</row>
    <row r="72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</row>
    <row r="722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</row>
    <row r="7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</row>
    <row r="724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</row>
    <row r="72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</row>
    <row r="7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</row>
    <row r="7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</row>
    <row r="728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</row>
    <row r="7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</row>
    <row r="730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</row>
    <row r="73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</row>
    <row r="732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</row>
    <row r="73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</row>
    <row r="734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</row>
    <row r="7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</row>
    <row r="73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</row>
    <row r="73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</row>
    <row r="738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</row>
    <row r="7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</row>
    <row r="740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</row>
    <row r="74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</row>
    <row r="742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</row>
    <row r="74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</row>
    <row r="744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</row>
    <row r="74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</row>
    <row r="74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</row>
    <row r="74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</row>
    <row r="748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</row>
    <row r="74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</row>
    <row r="750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</row>
    <row r="75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</row>
    <row r="752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</row>
    <row r="75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</row>
    <row r="754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</row>
    <row r="75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</row>
    <row r="75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</row>
    <row r="75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</row>
    <row r="758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</row>
    <row r="75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</row>
    <row r="760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</row>
    <row r="76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</row>
    <row r="762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</row>
    <row r="76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</row>
    <row r="764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</row>
    <row r="76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</row>
    <row r="76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</row>
    <row r="76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</row>
    <row r="768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</row>
    <row r="7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</row>
    <row r="770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</row>
    <row r="77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</row>
    <row r="772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</row>
    <row r="77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</row>
    <row r="774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</row>
    <row r="77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</row>
    <row r="77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</row>
    <row r="77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</row>
    <row r="778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</row>
    <row r="77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</row>
    <row r="780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</row>
    <row r="7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</row>
    <row r="782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</row>
    <row r="78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</row>
    <row r="784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</row>
    <row r="78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</row>
    <row r="78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</row>
    <row r="78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</row>
    <row r="788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</row>
    <row r="78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</row>
    <row r="790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</row>
    <row r="79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</row>
    <row r="792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</row>
    <row r="79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</row>
    <row r="794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</row>
    <row r="79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</row>
  </sheetData>
  <conditionalFormatting sqref="G3:G100">
    <cfRule type="containsText" dxfId="3" priority="1" operator="containsText" text="Concluída">
      <formula>NOT(ISERROR(SEARCH(("Concluída"),(G3))))</formula>
    </cfRule>
  </conditionalFormatting>
  <conditionalFormatting sqref="G3:G100">
    <cfRule type="containsText" dxfId="9" priority="2" operator="containsText" text="Andamento">
      <formula>NOT(ISERROR(SEARCH(("Andamento"),(G3))))</formula>
    </cfRule>
  </conditionalFormatting>
  <conditionalFormatting sqref="G3:G100">
    <cfRule type="containsText" dxfId="10" priority="3" operator="containsText" text="Bloqueada">
      <formula>NOT(ISERROR(SEARCH(("Bloqueada"),(G3))))</formula>
    </cfRule>
  </conditionalFormatting>
  <conditionalFormatting sqref="D3:D100">
    <cfRule type="cellIs" dxfId="1" priority="4" operator="equal">
      <formula>0</formula>
    </cfRule>
  </conditionalFormatting>
  <conditionalFormatting sqref="A1">
    <cfRule type="cellIs" dxfId="1" priority="5" operator="equal">
      <formula>0</formula>
    </cfRule>
  </conditionalFormatting>
  <conditionalFormatting sqref="D3:D100">
    <cfRule type="containsText" dxfId="4" priority="6" operator="containsText" text="Alta">
      <formula>NOT(ISERROR(SEARCH(("Alta"),(D3))))</formula>
    </cfRule>
  </conditionalFormatting>
  <conditionalFormatting sqref="D3:D100">
    <cfRule type="containsText" dxfId="5" priority="7" operator="containsText" text="Baixa">
      <formula>NOT(ISERROR(SEARCH(("Baixa"),(D3))))</formula>
    </cfRule>
  </conditionalFormatting>
  <conditionalFormatting sqref="B1">
    <cfRule type="cellIs" dxfId="1" priority="8" operator="equal">
      <formula>0</formula>
    </cfRule>
  </conditionalFormatting>
  <conditionalFormatting sqref="E1">
    <cfRule type="cellIs" dxfId="1" priority="9" operator="equal">
      <formula>0</formula>
    </cfRule>
  </conditionalFormatting>
  <dataValidations>
    <dataValidation type="decimal" allowBlank="1" showErrorMessage="1" sqref="A3:A100">
      <formula1>1.0</formula1>
      <formula2>7.0</formula2>
    </dataValidation>
    <dataValidation type="list" allowBlank="1" showErrorMessage="1" sqref="D3:D100">
      <formula1>"Alta,Média,Baixa"</formula1>
    </dataValidation>
    <dataValidation type="decimal" operator="greaterThan" allowBlank="1" showDropDown="1" showErrorMessage="1" sqref="E1">
      <formula1>0.0</formula1>
    </dataValidation>
    <dataValidation type="list" allowBlank="1" showErrorMessage="1" sqref="G3:G100">
      <formula1>"Pendente,Em andamento,Bloqueada,Concluída"</formula1>
    </dataValidation>
    <dataValidation type="decimal" allowBlank="1" showDropDown="1" showInputMessage="1" showErrorMessage="1" prompt="Pontuação inválida - Inserir valor entre 1 e 21" sqref="E3:E100">
      <formula1>0.0</formula1>
      <formula2>21.0</formula2>
    </dataValidation>
    <dataValidation type="list" allowBlank="1" sqref="L3:L12 F3:F100">
      <formula1>alunos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72C4"/>
    <outlinePr summaryBelow="0" summaryRight="0"/>
    <pageSetUpPr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6.86"/>
    <col customWidth="1" min="2" max="2" width="5.14"/>
    <col customWidth="1" min="3" max="3" width="42.71"/>
    <col customWidth="1" min="4" max="4" width="12.14"/>
    <col customWidth="1" min="5" max="5" width="8.71"/>
    <col customWidth="1" min="6" max="6" width="16.29"/>
    <col customWidth="1" min="7" max="8" width="14.43"/>
    <col customWidth="1" min="9" max="9" width="12.14"/>
    <col customWidth="1" min="10" max="11" width="6.0"/>
    <col customWidth="1" min="12" max="12" width="15.57"/>
    <col customWidth="1" min="13" max="13" width="16.71"/>
    <col customWidth="1" min="14" max="14" width="16.29"/>
    <col customWidth="1" min="15" max="15" width="19.57"/>
  </cols>
  <sheetData>
    <row r="1" ht="15.75" customHeight="1">
      <c r="A1" s="265"/>
      <c r="B1" s="266">
        <f>SUBTOTAL(4,B$2:B$1000)</f>
        <v>0</v>
      </c>
      <c r="C1" s="49"/>
      <c r="D1" s="49"/>
      <c r="E1" s="265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</row>
    <row r="2" ht="15.75" customHeight="1">
      <c r="A2" s="292" t="s">
        <v>224</v>
      </c>
      <c r="B2" s="292" t="s">
        <v>225</v>
      </c>
      <c r="C2" s="292" t="s">
        <v>226</v>
      </c>
      <c r="D2" s="292" t="s">
        <v>227</v>
      </c>
      <c r="E2" s="292" t="s">
        <v>228</v>
      </c>
      <c r="F2" s="292" t="s">
        <v>229</v>
      </c>
      <c r="G2" s="292" t="s">
        <v>232</v>
      </c>
      <c r="H2" s="268" t="s">
        <v>233</v>
      </c>
      <c r="I2" s="292" t="s">
        <v>2</v>
      </c>
      <c r="J2" s="285"/>
      <c r="K2" s="285"/>
      <c r="L2" s="270" t="s">
        <v>229</v>
      </c>
      <c r="M2" s="270" t="s">
        <v>204</v>
      </c>
      <c r="N2" s="270" t="s">
        <v>235</v>
      </c>
      <c r="O2" s="270" t="s">
        <v>236</v>
      </c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ht="15.75" customHeight="1">
      <c r="A3" s="271"/>
      <c r="B3" s="272"/>
      <c r="C3" s="273"/>
      <c r="D3" s="273"/>
      <c r="E3" s="271"/>
      <c r="F3" s="273"/>
      <c r="G3" s="273"/>
      <c r="H3" s="277"/>
      <c r="I3" s="277"/>
      <c r="J3" s="288"/>
      <c r="K3" s="288"/>
      <c r="L3" s="275" t="str">
        <f>'Notas_Frequência'!$A17</f>
        <v>daniella.barros</v>
      </c>
      <c r="M3" s="276">
        <f t="shared" ref="M3:M12" si="1">SUMIFS(  $E:$E, $F:$F,$L3)</f>
        <v>0</v>
      </c>
      <c r="N3" s="276">
        <f t="shared" ref="N3:N12" si="2">SUMIFS($E:$E,$F:$F,$L3,$G:$G,"Concluída")</f>
        <v>0</v>
      </c>
      <c r="O3" s="289" t="str">
        <f t="shared" ref="O3:O12" si="3">IF(ISERR(N3/M3),"",N3/M3)</f>
        <v/>
      </c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ht="15.75" customHeight="1">
      <c r="A4" s="271"/>
      <c r="B4" s="272"/>
      <c r="C4" s="273"/>
      <c r="D4" s="273"/>
      <c r="E4" s="271"/>
      <c r="F4" s="273"/>
      <c r="G4" s="273"/>
      <c r="H4" s="277"/>
      <c r="I4" s="277"/>
      <c r="J4" s="288"/>
      <c r="K4" s="288"/>
      <c r="L4" s="275" t="str">
        <f>'Notas_Frequência'!$A18</f>
        <v>bruno.matsunaga</v>
      </c>
      <c r="M4" s="276">
        <f t="shared" si="1"/>
        <v>0</v>
      </c>
      <c r="N4" s="276">
        <f t="shared" si="2"/>
        <v>0</v>
      </c>
      <c r="O4" s="289" t="str">
        <f t="shared" si="3"/>
        <v/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</row>
    <row r="5" ht="15.75" customHeight="1">
      <c r="A5" s="271"/>
      <c r="B5" s="272"/>
      <c r="C5" s="273"/>
      <c r="D5" s="273"/>
      <c r="E5" s="271"/>
      <c r="F5" s="273"/>
      <c r="G5" s="273"/>
      <c r="H5" s="277"/>
      <c r="I5" s="277"/>
      <c r="J5" s="288"/>
      <c r="K5" s="288"/>
      <c r="L5" s="275" t="str">
        <f>'Notas_Frequência'!$A19</f>
        <v>diego.bezerra</v>
      </c>
      <c r="M5" s="276">
        <f t="shared" si="1"/>
        <v>0</v>
      </c>
      <c r="N5" s="276">
        <f t="shared" si="2"/>
        <v>0</v>
      </c>
      <c r="O5" s="289" t="str">
        <f t="shared" si="3"/>
        <v/>
      </c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ht="15.75" customHeight="1">
      <c r="A6" s="271"/>
      <c r="B6" s="272"/>
      <c r="C6" s="273"/>
      <c r="D6" s="277"/>
      <c r="E6" s="271"/>
      <c r="F6" s="273"/>
      <c r="G6" s="273"/>
      <c r="H6" s="277"/>
      <c r="I6" s="277"/>
      <c r="J6" s="288"/>
      <c r="K6" s="288"/>
      <c r="L6" s="275" t="str">
        <f>'Notas_Frequência'!$A20</f>
        <v>elison.trindade</v>
      </c>
      <c r="M6" s="276">
        <f t="shared" si="1"/>
        <v>0</v>
      </c>
      <c r="N6" s="276">
        <f t="shared" si="2"/>
        <v>0</v>
      </c>
      <c r="O6" s="289" t="str">
        <f t="shared" si="3"/>
        <v/>
      </c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ht="15.75" customHeight="1">
      <c r="A7" s="271"/>
      <c r="B7" s="272"/>
      <c r="C7" s="273"/>
      <c r="D7" s="277"/>
      <c r="E7" s="271"/>
      <c r="F7" s="277"/>
      <c r="G7" s="277"/>
      <c r="H7" s="277"/>
      <c r="I7" s="277"/>
      <c r="J7" s="288"/>
      <c r="K7" s="288"/>
      <c r="L7" s="275" t="str">
        <f>'Notas_Frequência'!$A21</f>
        <v>sushila.claro</v>
      </c>
      <c r="M7" s="276">
        <f t="shared" si="1"/>
        <v>0</v>
      </c>
      <c r="N7" s="276">
        <f t="shared" si="2"/>
        <v>0</v>
      </c>
      <c r="O7" s="289" t="str">
        <f t="shared" si="3"/>
        <v/>
      </c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ht="15.75" customHeight="1">
      <c r="A8" s="271"/>
      <c r="B8" s="272"/>
      <c r="C8" s="273"/>
      <c r="D8" s="277"/>
      <c r="E8" s="271"/>
      <c r="F8" s="277"/>
      <c r="G8" s="277"/>
      <c r="H8" s="277"/>
      <c r="I8" s="277"/>
      <c r="J8" s="288"/>
      <c r="K8" s="288"/>
      <c r="L8" s="275" t="str">
        <f>'Notas_Frequência'!$A22</f>
        <v/>
      </c>
      <c r="M8" s="276">
        <f t="shared" si="1"/>
        <v>0</v>
      </c>
      <c r="N8" s="276">
        <f t="shared" si="2"/>
        <v>0</v>
      </c>
      <c r="O8" s="289" t="str">
        <f t="shared" si="3"/>
        <v/>
      </c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ht="15.75" customHeight="1">
      <c r="A9" s="271"/>
      <c r="B9" s="272"/>
      <c r="C9" s="273"/>
      <c r="D9" s="273"/>
      <c r="E9" s="271"/>
      <c r="F9" s="277"/>
      <c r="G9" s="277"/>
      <c r="H9" s="277"/>
      <c r="I9" s="277"/>
      <c r="J9" s="288"/>
      <c r="K9" s="288"/>
      <c r="L9" s="275" t="str">
        <f>'Notas_Frequência'!$A23</f>
        <v/>
      </c>
      <c r="M9" s="276">
        <f t="shared" si="1"/>
        <v>0</v>
      </c>
      <c r="N9" s="276">
        <f t="shared" si="2"/>
        <v>0</v>
      </c>
      <c r="O9" s="289" t="str">
        <f t="shared" si="3"/>
        <v/>
      </c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ht="15.75" customHeight="1">
      <c r="A10" s="271"/>
      <c r="B10" s="272"/>
      <c r="C10" s="273"/>
      <c r="D10" s="273"/>
      <c r="E10" s="271"/>
      <c r="F10" s="277"/>
      <c r="G10" s="277"/>
      <c r="H10" s="277"/>
      <c r="I10" s="277"/>
      <c r="J10" s="288"/>
      <c r="K10" s="288"/>
      <c r="L10" s="275" t="str">
        <f>'Notas_Frequência'!$A24</f>
        <v/>
      </c>
      <c r="M10" s="276">
        <f t="shared" si="1"/>
        <v>0</v>
      </c>
      <c r="N10" s="276">
        <f t="shared" si="2"/>
        <v>0</v>
      </c>
      <c r="O10" s="289" t="str">
        <f t="shared" si="3"/>
        <v/>
      </c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ht="15.75" customHeight="1">
      <c r="A11" s="271"/>
      <c r="B11" s="272"/>
      <c r="C11" s="273"/>
      <c r="D11" s="273"/>
      <c r="E11" s="271"/>
      <c r="F11" s="277"/>
      <c r="G11" s="277"/>
      <c r="H11" s="277"/>
      <c r="I11" s="277"/>
      <c r="J11" s="288"/>
      <c r="K11" s="288"/>
      <c r="L11" s="275" t="str">
        <f>'Notas_Frequência'!$A25</f>
        <v/>
      </c>
      <c r="M11" s="276">
        <f t="shared" si="1"/>
        <v>0</v>
      </c>
      <c r="N11" s="276">
        <f t="shared" si="2"/>
        <v>0</v>
      </c>
      <c r="O11" s="289" t="str">
        <f t="shared" si="3"/>
        <v/>
      </c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ht="15.75" customHeight="1">
      <c r="A12" s="271"/>
      <c r="B12" s="272"/>
      <c r="C12" s="277"/>
      <c r="D12" s="277"/>
      <c r="E12" s="278"/>
      <c r="F12" s="277"/>
      <c r="G12" s="277"/>
      <c r="H12" s="277"/>
      <c r="I12" s="277"/>
      <c r="J12" s="288"/>
      <c r="K12" s="288"/>
      <c r="L12" s="275" t="str">
        <f>'Notas_Frequência'!$A26</f>
        <v/>
      </c>
      <c r="M12" s="276">
        <f t="shared" si="1"/>
        <v>0</v>
      </c>
      <c r="N12" s="276">
        <f t="shared" si="2"/>
        <v>0</v>
      </c>
      <c r="O12" s="289" t="str">
        <f t="shared" si="3"/>
        <v/>
      </c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ht="15.75" customHeight="1">
      <c r="A13" s="271"/>
      <c r="B13" s="272"/>
      <c r="C13" s="277"/>
      <c r="D13" s="277"/>
      <c r="E13" s="278"/>
      <c r="F13" s="277"/>
      <c r="G13" s="277"/>
      <c r="H13" s="277"/>
      <c r="I13" s="277"/>
      <c r="J13" s="288"/>
      <c r="K13" s="288"/>
      <c r="L13" s="280" t="s">
        <v>230</v>
      </c>
      <c r="M13" s="280" t="str">
        <f>E1</f>
        <v/>
      </c>
      <c r="N13" s="280">
        <f>SUMIFS(E:E,G:G,"Concluída")</f>
        <v>0</v>
      </c>
      <c r="O13" s="291">
        <f>if(M13,N13/M13,0)</f>
        <v>0</v>
      </c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ht="15.75" customHeight="1">
      <c r="A14" s="271"/>
      <c r="B14" s="272"/>
      <c r="C14" s="277"/>
      <c r="D14" s="277"/>
      <c r="E14" s="278"/>
      <c r="F14" s="277"/>
      <c r="G14" s="277"/>
      <c r="H14" s="277"/>
      <c r="I14" s="277"/>
      <c r="J14" s="288"/>
      <c r="K14" s="288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ht="15.75" customHeight="1">
      <c r="A15" s="271"/>
      <c r="B15" s="272"/>
      <c r="C15" s="277"/>
      <c r="D15" s="277"/>
      <c r="E15" s="278"/>
      <c r="F15" s="277"/>
      <c r="G15" s="277"/>
      <c r="H15" s="277"/>
      <c r="I15" s="277"/>
      <c r="J15" s="288"/>
      <c r="K15" s="288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ht="15.75" customHeight="1">
      <c r="A16" s="278"/>
      <c r="B16" s="279"/>
      <c r="C16" s="277"/>
      <c r="D16" s="277"/>
      <c r="E16" s="278"/>
      <c r="F16" s="277"/>
      <c r="G16" s="277"/>
      <c r="H16" s="277"/>
      <c r="I16" s="277"/>
      <c r="J16" s="288"/>
      <c r="K16" s="288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ht="15.75" customHeight="1">
      <c r="A17" s="278"/>
      <c r="B17" s="279"/>
      <c r="C17" s="277"/>
      <c r="D17" s="277"/>
      <c r="E17" s="278"/>
      <c r="F17" s="277"/>
      <c r="G17" s="277"/>
      <c r="H17" s="277"/>
      <c r="I17" s="277"/>
      <c r="J17" s="288"/>
      <c r="K17" s="288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ht="15.75" customHeight="1">
      <c r="A18" s="278"/>
      <c r="B18" s="279"/>
      <c r="C18" s="277"/>
      <c r="D18" s="277"/>
      <c r="E18" s="278"/>
      <c r="F18" s="277"/>
      <c r="G18" s="277"/>
      <c r="H18" s="277"/>
      <c r="I18" s="277"/>
      <c r="J18" s="288"/>
      <c r="K18" s="288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ht="15.75" customHeight="1">
      <c r="A19" s="278"/>
      <c r="B19" s="279"/>
      <c r="C19" s="277"/>
      <c r="D19" s="277"/>
      <c r="E19" s="278"/>
      <c r="F19" s="277"/>
      <c r="G19" s="277"/>
      <c r="H19" s="277"/>
      <c r="I19" s="277"/>
      <c r="J19" s="288"/>
      <c r="K19" s="288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ht="15.75" customHeight="1">
      <c r="A20" s="278"/>
      <c r="B20" s="279"/>
      <c r="C20" s="277"/>
      <c r="D20" s="277"/>
      <c r="E20" s="278"/>
      <c r="F20" s="277"/>
      <c r="G20" s="277"/>
      <c r="H20" s="277"/>
      <c r="I20" s="277"/>
      <c r="J20" s="288"/>
      <c r="K20" s="288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ht="15.75" customHeight="1">
      <c r="A21" s="278"/>
      <c r="B21" s="279"/>
      <c r="C21" s="277"/>
      <c r="D21" s="277"/>
      <c r="E21" s="278"/>
      <c r="F21" s="277"/>
      <c r="G21" s="277"/>
      <c r="H21" s="277"/>
      <c r="I21" s="277"/>
      <c r="J21" s="288"/>
      <c r="K21" s="288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ht="15.75" customHeight="1">
      <c r="A22" s="278"/>
      <c r="B22" s="279"/>
      <c r="C22" s="277"/>
      <c r="D22" s="277"/>
      <c r="E22" s="278"/>
      <c r="F22" s="277"/>
      <c r="G22" s="277"/>
      <c r="H22" s="277"/>
      <c r="I22" s="277"/>
      <c r="J22" s="288"/>
      <c r="K22" s="288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 ht="15.75" customHeight="1">
      <c r="A23" s="278"/>
      <c r="B23" s="279"/>
      <c r="C23" s="277"/>
      <c r="D23" s="277"/>
      <c r="E23" s="278"/>
      <c r="F23" s="277"/>
      <c r="G23" s="277"/>
      <c r="H23" s="277"/>
      <c r="I23" s="277"/>
      <c r="J23" s="288"/>
      <c r="K23" s="288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ht="15.75" customHeight="1">
      <c r="A24" s="278"/>
      <c r="B24" s="279"/>
      <c r="C24" s="277"/>
      <c r="D24" s="277"/>
      <c r="E24" s="278"/>
      <c r="F24" s="277"/>
      <c r="G24" s="277"/>
      <c r="H24" s="277"/>
      <c r="I24" s="277"/>
      <c r="J24" s="288"/>
      <c r="K24" s="288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ht="15.75" customHeight="1">
      <c r="A25" s="278"/>
      <c r="B25" s="279"/>
      <c r="C25" s="277"/>
      <c r="D25" s="277"/>
      <c r="E25" s="278"/>
      <c r="F25" s="277"/>
      <c r="G25" s="277"/>
      <c r="H25" s="277"/>
      <c r="I25" s="277"/>
      <c r="J25" s="288"/>
      <c r="K25" s="288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ht="15.75" customHeight="1">
      <c r="A26" s="278"/>
      <c r="B26" s="279"/>
      <c r="C26" s="277"/>
      <c r="D26" s="277"/>
      <c r="E26" s="278"/>
      <c r="F26" s="277"/>
      <c r="G26" s="277"/>
      <c r="H26" s="277"/>
      <c r="I26" s="277"/>
      <c r="J26" s="288"/>
      <c r="K26" s="288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ht="15.75" customHeight="1">
      <c r="A27" s="278"/>
      <c r="B27" s="279"/>
      <c r="C27" s="277"/>
      <c r="D27" s="277"/>
      <c r="E27" s="278"/>
      <c r="F27" s="277"/>
      <c r="G27" s="277"/>
      <c r="H27" s="277"/>
      <c r="I27" s="277"/>
      <c r="J27" s="288"/>
      <c r="K27" s="288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ht="15.75" customHeight="1">
      <c r="A28" s="278"/>
      <c r="B28" s="279"/>
      <c r="C28" s="277"/>
      <c r="D28" s="277"/>
      <c r="E28" s="278"/>
      <c r="F28" s="277"/>
      <c r="G28" s="277"/>
      <c r="H28" s="277"/>
      <c r="I28" s="277"/>
      <c r="J28" s="288"/>
      <c r="K28" s="288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r="29" ht="15.75" customHeight="1">
      <c r="A29" s="278"/>
      <c r="B29" s="279"/>
      <c r="C29" s="277"/>
      <c r="D29" s="277"/>
      <c r="E29" s="278"/>
      <c r="F29" s="277"/>
      <c r="G29" s="277"/>
      <c r="H29" s="277"/>
      <c r="I29" s="277"/>
      <c r="J29" s="288"/>
      <c r="K29" s="288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</row>
    <row r="30" ht="15.75" customHeight="1">
      <c r="A30" s="278"/>
      <c r="B30" s="279"/>
      <c r="C30" s="277"/>
      <c r="D30" s="277"/>
      <c r="E30" s="278"/>
      <c r="F30" s="277"/>
      <c r="G30" s="277"/>
      <c r="H30" s="277"/>
      <c r="I30" s="277"/>
      <c r="J30" s="288"/>
      <c r="K30" s="288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</row>
    <row r="31" ht="15.75" customHeight="1">
      <c r="A31" s="278"/>
      <c r="B31" s="279"/>
      <c r="C31" s="277"/>
      <c r="D31" s="277"/>
      <c r="E31" s="278"/>
      <c r="F31" s="277"/>
      <c r="G31" s="277"/>
      <c r="H31" s="277"/>
      <c r="I31" s="277"/>
      <c r="J31" s="288"/>
      <c r="K31" s="288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ht="15.75" customHeight="1">
      <c r="A32" s="278"/>
      <c r="B32" s="279"/>
      <c r="C32" s="277"/>
      <c r="D32" s="277"/>
      <c r="E32" s="278"/>
      <c r="F32" s="277"/>
      <c r="G32" s="277"/>
      <c r="H32" s="277"/>
      <c r="I32" s="277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 ht="15.75" customHeight="1">
      <c r="A33" s="278"/>
      <c r="B33" s="279"/>
      <c r="C33" s="277"/>
      <c r="D33" s="277"/>
      <c r="E33" s="278"/>
      <c r="F33" s="277"/>
      <c r="G33" s="277"/>
      <c r="H33" s="277"/>
      <c r="I33" s="277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ht="15.75" customHeight="1">
      <c r="A34" s="278"/>
      <c r="B34" s="279"/>
      <c r="C34" s="277"/>
      <c r="D34" s="277"/>
      <c r="E34" s="278"/>
      <c r="F34" s="277"/>
      <c r="G34" s="277"/>
      <c r="H34" s="277"/>
      <c r="I34" s="277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ht="15.75" customHeight="1">
      <c r="A35" s="278"/>
      <c r="B35" s="279"/>
      <c r="C35" s="277"/>
      <c r="D35" s="277"/>
      <c r="E35" s="278"/>
      <c r="F35" s="277"/>
      <c r="G35" s="277"/>
      <c r="H35" s="277"/>
      <c r="I35" s="277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</row>
    <row r="36" ht="15.75" customHeight="1">
      <c r="A36" s="278"/>
      <c r="B36" s="279"/>
      <c r="C36" s="277"/>
      <c r="D36" s="277"/>
      <c r="E36" s="278"/>
      <c r="F36" s="277"/>
      <c r="G36" s="277"/>
      <c r="H36" s="277"/>
      <c r="I36" s="277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ht="15.75" customHeight="1">
      <c r="A37" s="278"/>
      <c r="B37" s="279"/>
      <c r="C37" s="277"/>
      <c r="D37" s="277"/>
      <c r="E37" s="278"/>
      <c r="F37" s="277"/>
      <c r="G37" s="277"/>
      <c r="H37" s="277"/>
      <c r="I37" s="277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ht="15.75" customHeight="1">
      <c r="A38" s="278"/>
      <c r="B38" s="279"/>
      <c r="C38" s="277"/>
      <c r="D38" s="277"/>
      <c r="E38" s="278"/>
      <c r="F38" s="277"/>
      <c r="G38" s="277"/>
      <c r="H38" s="277"/>
      <c r="I38" s="277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ht="15.75" customHeight="1">
      <c r="A39" s="278"/>
      <c r="B39" s="279"/>
      <c r="C39" s="277"/>
      <c r="D39" s="277"/>
      <c r="E39" s="278"/>
      <c r="F39" s="277"/>
      <c r="G39" s="277"/>
      <c r="H39" s="277"/>
      <c r="I39" s="277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ht="15.75" customHeight="1">
      <c r="A40" s="278"/>
      <c r="B40" s="279"/>
      <c r="C40" s="277"/>
      <c r="D40" s="277"/>
      <c r="E40" s="278"/>
      <c r="F40" s="277"/>
      <c r="G40" s="277"/>
      <c r="H40" s="277"/>
      <c r="I40" s="277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ht="15.75" customHeight="1">
      <c r="A41" s="278"/>
      <c r="B41" s="279"/>
      <c r="C41" s="277"/>
      <c r="D41" s="277"/>
      <c r="E41" s="278"/>
      <c r="F41" s="277"/>
      <c r="G41" s="277"/>
      <c r="H41" s="277"/>
      <c r="I41" s="277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 ht="15.75" customHeight="1">
      <c r="A42" s="278"/>
      <c r="B42" s="279"/>
      <c r="C42" s="277"/>
      <c r="D42" s="277"/>
      <c r="E42" s="278"/>
      <c r="F42" s="277"/>
      <c r="G42" s="277"/>
      <c r="H42" s="277"/>
      <c r="I42" s="277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</row>
    <row r="43" ht="15.75" customHeight="1">
      <c r="A43" s="278"/>
      <c r="B43" s="279"/>
      <c r="C43" s="277"/>
      <c r="D43" s="277"/>
      <c r="E43" s="278"/>
      <c r="F43" s="277"/>
      <c r="G43" s="277"/>
      <c r="H43" s="277"/>
      <c r="I43" s="277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</row>
    <row r="44" ht="15.75" customHeight="1">
      <c r="A44" s="278"/>
      <c r="B44" s="279"/>
      <c r="C44" s="277"/>
      <c r="D44" s="277"/>
      <c r="E44" s="278"/>
      <c r="F44" s="277"/>
      <c r="G44" s="277"/>
      <c r="H44" s="277"/>
      <c r="I44" s="277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</row>
    <row r="45" ht="15.75" customHeight="1">
      <c r="A45" s="278"/>
      <c r="B45" s="279"/>
      <c r="C45" s="277"/>
      <c r="D45" s="277"/>
      <c r="E45" s="278"/>
      <c r="F45" s="277"/>
      <c r="G45" s="277"/>
      <c r="H45" s="277"/>
      <c r="I45" s="277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</row>
    <row r="46" ht="15.75" customHeight="1">
      <c r="A46" s="278"/>
      <c r="B46" s="279"/>
      <c r="C46" s="277"/>
      <c r="D46" s="277"/>
      <c r="E46" s="278"/>
      <c r="F46" s="277"/>
      <c r="G46" s="277"/>
      <c r="H46" s="277"/>
      <c r="I46" s="277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</row>
    <row r="47" ht="15.75" customHeight="1">
      <c r="A47" s="278"/>
      <c r="B47" s="279"/>
      <c r="C47" s="277"/>
      <c r="D47" s="277"/>
      <c r="E47" s="278"/>
      <c r="F47" s="277"/>
      <c r="G47" s="277"/>
      <c r="H47" s="277"/>
      <c r="I47" s="277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</row>
    <row r="48" ht="15.75" customHeight="1">
      <c r="A48" s="278"/>
      <c r="B48" s="279"/>
      <c r="C48" s="277"/>
      <c r="D48" s="277"/>
      <c r="E48" s="278"/>
      <c r="F48" s="277"/>
      <c r="G48" s="277"/>
      <c r="H48" s="277"/>
      <c r="I48" s="277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</row>
    <row r="49" ht="15.75" customHeight="1">
      <c r="A49" s="278"/>
      <c r="B49" s="279"/>
      <c r="C49" s="277"/>
      <c r="D49" s="277"/>
      <c r="E49" s="278"/>
      <c r="F49" s="277"/>
      <c r="G49" s="277"/>
      <c r="H49" s="277"/>
      <c r="I49" s="277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</row>
    <row r="50" ht="15.75" customHeight="1">
      <c r="A50" s="278"/>
      <c r="B50" s="279"/>
      <c r="C50" s="277"/>
      <c r="D50" s="277"/>
      <c r="E50" s="278"/>
      <c r="F50" s="277"/>
      <c r="G50" s="277"/>
      <c r="H50" s="277"/>
      <c r="I50" s="277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</row>
    <row r="51" ht="15.75" customHeight="1">
      <c r="A51" s="278"/>
      <c r="B51" s="279"/>
      <c r="C51" s="277"/>
      <c r="D51" s="277"/>
      <c r="E51" s="278"/>
      <c r="F51" s="277"/>
      <c r="G51" s="277"/>
      <c r="H51" s="277"/>
      <c r="I51" s="277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</row>
    <row r="52" ht="15.75" customHeight="1">
      <c r="A52" s="278"/>
      <c r="B52" s="279"/>
      <c r="C52" s="277"/>
      <c r="D52" s="277"/>
      <c r="E52" s="278"/>
      <c r="F52" s="277"/>
      <c r="G52" s="277"/>
      <c r="H52" s="277"/>
      <c r="I52" s="277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</row>
    <row r="53" ht="15.75" customHeight="1">
      <c r="A53" s="278"/>
      <c r="B53" s="279"/>
      <c r="C53" s="277"/>
      <c r="D53" s="277"/>
      <c r="E53" s="278"/>
      <c r="F53" s="277"/>
      <c r="G53" s="277"/>
      <c r="H53" s="277"/>
      <c r="I53" s="277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</row>
    <row r="54" ht="15.75" customHeight="1">
      <c r="A54" s="278"/>
      <c r="B54" s="279"/>
      <c r="C54" s="277"/>
      <c r="D54" s="277"/>
      <c r="E54" s="278"/>
      <c r="F54" s="277"/>
      <c r="G54" s="277"/>
      <c r="H54" s="277"/>
      <c r="I54" s="277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ht="15.75" customHeight="1">
      <c r="A55" s="278"/>
      <c r="B55" s="279"/>
      <c r="C55" s="277"/>
      <c r="D55" s="277"/>
      <c r="E55" s="278"/>
      <c r="F55" s="277"/>
      <c r="G55" s="277"/>
      <c r="H55" s="277"/>
      <c r="I55" s="277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ht="15.75" customHeight="1">
      <c r="A56" s="278"/>
      <c r="B56" s="279"/>
      <c r="C56" s="277"/>
      <c r="D56" s="277"/>
      <c r="E56" s="278"/>
      <c r="F56" s="277"/>
      <c r="G56" s="277"/>
      <c r="H56" s="277"/>
      <c r="I56" s="277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</row>
    <row r="57" ht="15.75" customHeight="1">
      <c r="A57" s="278"/>
      <c r="B57" s="279"/>
      <c r="C57" s="277"/>
      <c r="D57" s="277"/>
      <c r="E57" s="278"/>
      <c r="F57" s="277"/>
      <c r="G57" s="277"/>
      <c r="H57" s="277"/>
      <c r="I57" s="277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</row>
    <row r="58" ht="15.75" customHeight="1">
      <c r="A58" s="278"/>
      <c r="B58" s="279"/>
      <c r="C58" s="277"/>
      <c r="D58" s="277"/>
      <c r="E58" s="278"/>
      <c r="F58" s="277"/>
      <c r="G58" s="277"/>
      <c r="H58" s="277"/>
      <c r="I58" s="277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</row>
    <row r="59" ht="15.75" customHeight="1">
      <c r="A59" s="278"/>
      <c r="B59" s="279"/>
      <c r="C59" s="277"/>
      <c r="D59" s="277"/>
      <c r="E59" s="278"/>
      <c r="F59" s="277"/>
      <c r="G59" s="277"/>
      <c r="H59" s="277"/>
      <c r="I59" s="277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</row>
    <row r="60" ht="15.75" customHeight="1">
      <c r="A60" s="278"/>
      <c r="B60" s="279"/>
      <c r="C60" s="277"/>
      <c r="D60" s="277"/>
      <c r="E60" s="278"/>
      <c r="F60" s="277"/>
      <c r="G60" s="277"/>
      <c r="H60" s="277"/>
      <c r="I60" s="277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ht="15.75" customHeight="1">
      <c r="A61" s="278"/>
      <c r="B61" s="279"/>
      <c r="C61" s="277"/>
      <c r="D61" s="277"/>
      <c r="E61" s="278"/>
      <c r="F61" s="277"/>
      <c r="G61" s="277"/>
      <c r="H61" s="277"/>
      <c r="I61" s="277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ht="15.75" customHeight="1">
      <c r="A62" s="278"/>
      <c r="B62" s="279"/>
      <c r="C62" s="277"/>
      <c r="D62" s="277"/>
      <c r="E62" s="278"/>
      <c r="F62" s="277"/>
      <c r="G62" s="277"/>
      <c r="H62" s="277"/>
      <c r="I62" s="277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ht="15.75" customHeight="1">
      <c r="A63" s="278"/>
      <c r="B63" s="279"/>
      <c r="C63" s="277"/>
      <c r="D63" s="277"/>
      <c r="E63" s="278"/>
      <c r="F63" s="277"/>
      <c r="G63" s="277"/>
      <c r="H63" s="277"/>
      <c r="I63" s="277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ht="15.75" customHeight="1">
      <c r="A64" s="278"/>
      <c r="B64" s="279"/>
      <c r="C64" s="277"/>
      <c r="D64" s="277"/>
      <c r="E64" s="278"/>
      <c r="F64" s="277"/>
      <c r="G64" s="277"/>
      <c r="H64" s="277"/>
      <c r="I64" s="277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ht="15.75" customHeight="1">
      <c r="A65" s="278"/>
      <c r="B65" s="279"/>
      <c r="C65" s="277"/>
      <c r="D65" s="277"/>
      <c r="E65" s="278"/>
      <c r="F65" s="277"/>
      <c r="G65" s="277"/>
      <c r="H65" s="277"/>
      <c r="I65" s="277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ht="15.75" customHeight="1">
      <c r="A66" s="278"/>
      <c r="B66" s="279"/>
      <c r="C66" s="277"/>
      <c r="D66" s="277"/>
      <c r="E66" s="278"/>
      <c r="F66" s="277"/>
      <c r="G66" s="277"/>
      <c r="H66" s="277"/>
      <c r="I66" s="277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ht="15.75" customHeight="1">
      <c r="A67" s="278"/>
      <c r="B67" s="279"/>
      <c r="C67" s="277"/>
      <c r="D67" s="277"/>
      <c r="E67" s="278"/>
      <c r="F67" s="277"/>
      <c r="G67" s="277"/>
      <c r="H67" s="277"/>
      <c r="I67" s="277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ht="15.75" customHeight="1">
      <c r="A68" s="278"/>
      <c r="B68" s="279"/>
      <c r="C68" s="277"/>
      <c r="D68" s="277"/>
      <c r="E68" s="278"/>
      <c r="F68" s="277"/>
      <c r="G68" s="277"/>
      <c r="H68" s="277"/>
      <c r="I68" s="277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ht="15.75" customHeight="1">
      <c r="A69" s="278"/>
      <c r="B69" s="279"/>
      <c r="C69" s="277"/>
      <c r="D69" s="277"/>
      <c r="E69" s="278"/>
      <c r="F69" s="277"/>
      <c r="G69" s="277"/>
      <c r="H69" s="277"/>
      <c r="I69" s="277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  <row r="70" ht="15.75" customHeight="1">
      <c r="A70" s="278"/>
      <c r="B70" s="279"/>
      <c r="C70" s="277"/>
      <c r="D70" s="277"/>
      <c r="E70" s="278"/>
      <c r="F70" s="277"/>
      <c r="G70" s="277"/>
      <c r="H70" s="277"/>
      <c r="I70" s="277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ht="15.75" customHeight="1">
      <c r="A71" s="278"/>
      <c r="B71" s="279"/>
      <c r="C71" s="277"/>
      <c r="D71" s="277"/>
      <c r="E71" s="278"/>
      <c r="F71" s="277"/>
      <c r="G71" s="277"/>
      <c r="H71" s="277"/>
      <c r="I71" s="277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ht="15.75" customHeight="1">
      <c r="A72" s="278"/>
      <c r="B72" s="279"/>
      <c r="C72" s="277"/>
      <c r="D72" s="277"/>
      <c r="E72" s="278"/>
      <c r="F72" s="277"/>
      <c r="G72" s="277"/>
      <c r="H72" s="277"/>
      <c r="I72" s="277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ht="15.75" customHeight="1">
      <c r="A73" s="278"/>
      <c r="B73" s="279"/>
      <c r="C73" s="277"/>
      <c r="D73" s="277"/>
      <c r="E73" s="278"/>
      <c r="F73" s="277"/>
      <c r="G73" s="277"/>
      <c r="H73" s="277"/>
      <c r="I73" s="277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ht="15.75" customHeight="1">
      <c r="A74" s="278"/>
      <c r="B74" s="279"/>
      <c r="C74" s="277"/>
      <c r="D74" s="277"/>
      <c r="E74" s="278"/>
      <c r="F74" s="277"/>
      <c r="G74" s="277"/>
      <c r="H74" s="277"/>
      <c r="I74" s="277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ht="15.75" customHeight="1">
      <c r="A75" s="278"/>
      <c r="B75" s="279"/>
      <c r="C75" s="277"/>
      <c r="D75" s="277"/>
      <c r="E75" s="278"/>
      <c r="F75" s="277"/>
      <c r="G75" s="277"/>
      <c r="H75" s="277"/>
      <c r="I75" s="277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ht="15.75" customHeight="1">
      <c r="A76" s="278"/>
      <c r="B76" s="279"/>
      <c r="C76" s="277"/>
      <c r="D76" s="277"/>
      <c r="E76" s="278"/>
      <c r="F76" s="277"/>
      <c r="G76" s="277"/>
      <c r="H76" s="277"/>
      <c r="I76" s="277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ht="15.75" customHeight="1">
      <c r="A77" s="278"/>
      <c r="B77" s="279"/>
      <c r="C77" s="277"/>
      <c r="D77" s="277"/>
      <c r="E77" s="278"/>
      <c r="F77" s="277"/>
      <c r="G77" s="277"/>
      <c r="H77" s="277"/>
      <c r="I77" s="277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ht="15.75" customHeight="1">
      <c r="A78" s="278"/>
      <c r="B78" s="279"/>
      <c r="C78" s="277"/>
      <c r="D78" s="277"/>
      <c r="E78" s="278"/>
      <c r="F78" s="277"/>
      <c r="G78" s="277"/>
      <c r="H78" s="277"/>
      <c r="I78" s="277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ht="15.75" customHeight="1">
      <c r="A79" s="278"/>
      <c r="B79" s="279"/>
      <c r="C79" s="277"/>
      <c r="D79" s="277"/>
      <c r="E79" s="278"/>
      <c r="F79" s="277"/>
      <c r="G79" s="277"/>
      <c r="H79" s="277"/>
      <c r="I79" s="277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ht="15.75" customHeight="1">
      <c r="A80" s="278"/>
      <c r="B80" s="279"/>
      <c r="C80" s="277"/>
      <c r="D80" s="277"/>
      <c r="E80" s="278"/>
      <c r="F80" s="277"/>
      <c r="G80" s="277"/>
      <c r="H80" s="277"/>
      <c r="I80" s="277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 ht="15.75" customHeight="1">
      <c r="A81" s="278"/>
      <c r="B81" s="279"/>
      <c r="C81" s="277"/>
      <c r="D81" s="277"/>
      <c r="E81" s="278"/>
      <c r="F81" s="277"/>
      <c r="G81" s="277"/>
      <c r="H81" s="277"/>
      <c r="I81" s="277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ht="15.75" customHeight="1">
      <c r="A82" s="278"/>
      <c r="B82" s="279"/>
      <c r="C82" s="277"/>
      <c r="D82" s="277"/>
      <c r="E82" s="278"/>
      <c r="F82" s="277"/>
      <c r="G82" s="277"/>
      <c r="H82" s="277"/>
      <c r="I82" s="277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ht="15.75" customHeight="1">
      <c r="A83" s="278"/>
      <c r="B83" s="279"/>
      <c r="C83" s="277"/>
      <c r="D83" s="277"/>
      <c r="E83" s="278"/>
      <c r="F83" s="277"/>
      <c r="G83" s="277"/>
      <c r="H83" s="277"/>
      <c r="I83" s="277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ht="15.75" customHeight="1">
      <c r="A84" s="278"/>
      <c r="B84" s="279"/>
      <c r="C84" s="277"/>
      <c r="D84" s="277"/>
      <c r="E84" s="278"/>
      <c r="F84" s="277"/>
      <c r="G84" s="277"/>
      <c r="H84" s="277"/>
      <c r="I84" s="277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</row>
    <row r="85" ht="15.75" customHeight="1">
      <c r="A85" s="278"/>
      <c r="B85" s="279"/>
      <c r="C85" s="277"/>
      <c r="D85" s="277"/>
      <c r="E85" s="278"/>
      <c r="F85" s="277"/>
      <c r="G85" s="277"/>
      <c r="H85" s="277"/>
      <c r="I85" s="277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</row>
    <row r="86" ht="15.75" customHeight="1">
      <c r="A86" s="278"/>
      <c r="B86" s="279"/>
      <c r="C86" s="277"/>
      <c r="D86" s="277"/>
      <c r="E86" s="278"/>
      <c r="F86" s="277"/>
      <c r="G86" s="277"/>
      <c r="H86" s="277"/>
      <c r="I86" s="277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</row>
    <row r="87" ht="15.75" customHeight="1">
      <c r="A87" s="278"/>
      <c r="B87" s="279"/>
      <c r="C87" s="277"/>
      <c r="D87" s="277"/>
      <c r="E87" s="278"/>
      <c r="F87" s="277"/>
      <c r="G87" s="277"/>
      <c r="H87" s="277"/>
      <c r="I87" s="277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</row>
    <row r="88" ht="15.75" customHeight="1">
      <c r="A88" s="278"/>
      <c r="B88" s="279"/>
      <c r="C88" s="277"/>
      <c r="D88" s="277"/>
      <c r="E88" s="278"/>
      <c r="F88" s="277"/>
      <c r="G88" s="277"/>
      <c r="H88" s="277"/>
      <c r="I88" s="277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</row>
    <row r="89" ht="15.75" customHeight="1">
      <c r="A89" s="278"/>
      <c r="B89" s="279"/>
      <c r="C89" s="277"/>
      <c r="D89" s="277"/>
      <c r="E89" s="278"/>
      <c r="F89" s="277"/>
      <c r="G89" s="277"/>
      <c r="H89" s="277"/>
      <c r="I89" s="277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</row>
    <row r="90" ht="15.75" customHeight="1">
      <c r="A90" s="278"/>
      <c r="B90" s="279"/>
      <c r="C90" s="277"/>
      <c r="D90" s="277"/>
      <c r="E90" s="278"/>
      <c r="F90" s="277"/>
      <c r="G90" s="277"/>
      <c r="H90" s="277"/>
      <c r="I90" s="277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</row>
    <row r="91" ht="15.75" customHeight="1">
      <c r="A91" s="278"/>
      <c r="B91" s="279"/>
      <c r="C91" s="277"/>
      <c r="D91" s="277"/>
      <c r="E91" s="278"/>
      <c r="F91" s="277"/>
      <c r="G91" s="277"/>
      <c r="H91" s="277"/>
      <c r="I91" s="277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</row>
    <row r="92" ht="15.75" customHeight="1">
      <c r="A92" s="278"/>
      <c r="B92" s="279"/>
      <c r="C92" s="277"/>
      <c r="D92" s="277"/>
      <c r="E92" s="278"/>
      <c r="F92" s="277"/>
      <c r="G92" s="277"/>
      <c r="H92" s="277"/>
      <c r="I92" s="277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</row>
    <row r="93" ht="15.75" customHeight="1">
      <c r="A93" s="278"/>
      <c r="B93" s="279"/>
      <c r="C93" s="277"/>
      <c r="D93" s="277"/>
      <c r="E93" s="278"/>
      <c r="F93" s="277"/>
      <c r="G93" s="277"/>
      <c r="H93" s="277"/>
      <c r="I93" s="277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</row>
    <row r="94" ht="15.75" customHeight="1">
      <c r="A94" s="278"/>
      <c r="B94" s="279"/>
      <c r="C94" s="277"/>
      <c r="D94" s="277"/>
      <c r="E94" s="278"/>
      <c r="F94" s="277"/>
      <c r="G94" s="277"/>
      <c r="H94" s="277"/>
      <c r="I94" s="277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</row>
    <row r="95" ht="15.75" customHeight="1">
      <c r="A95" s="278"/>
      <c r="B95" s="279"/>
      <c r="C95" s="277"/>
      <c r="D95" s="277"/>
      <c r="E95" s="278"/>
      <c r="F95" s="277"/>
      <c r="G95" s="277"/>
      <c r="H95" s="277"/>
      <c r="I95" s="277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</row>
    <row r="96" ht="15.75" customHeight="1">
      <c r="A96" s="278"/>
      <c r="B96" s="279"/>
      <c r="C96" s="277"/>
      <c r="D96" s="277"/>
      <c r="E96" s="278"/>
      <c r="F96" s="277"/>
      <c r="G96" s="277"/>
      <c r="H96" s="277"/>
      <c r="I96" s="277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</row>
    <row r="97" ht="15.75" customHeight="1">
      <c r="A97" s="278"/>
      <c r="B97" s="279"/>
      <c r="C97" s="277"/>
      <c r="D97" s="277"/>
      <c r="E97" s="278"/>
      <c r="F97" s="277"/>
      <c r="G97" s="277"/>
      <c r="H97" s="277"/>
      <c r="I97" s="277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</row>
    <row r="98" ht="15.75" customHeight="1">
      <c r="A98" s="278"/>
      <c r="B98" s="279"/>
      <c r="C98" s="277"/>
      <c r="D98" s="277"/>
      <c r="E98" s="278"/>
      <c r="F98" s="277"/>
      <c r="G98" s="277"/>
      <c r="H98" s="277"/>
      <c r="I98" s="277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</row>
    <row r="99" ht="15.75" customHeight="1">
      <c r="A99" s="278"/>
      <c r="B99" s="279"/>
      <c r="C99" s="277"/>
      <c r="D99" s="277"/>
      <c r="E99" s="278"/>
      <c r="F99" s="277"/>
      <c r="G99" s="277"/>
      <c r="H99" s="277"/>
      <c r="I99" s="277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</row>
    <row r="100" ht="15.75" customHeight="1">
      <c r="A100" s="278"/>
      <c r="B100" s="279"/>
      <c r="C100" s="277"/>
      <c r="D100" s="277"/>
      <c r="E100" s="278"/>
      <c r="F100" s="277"/>
      <c r="G100" s="277"/>
      <c r="H100" s="277"/>
      <c r="I100" s="277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</row>
    <row r="101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</row>
    <row r="102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</row>
    <row r="104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</row>
    <row r="105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</row>
    <row r="10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</row>
    <row r="10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</row>
    <row r="108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</row>
    <row r="110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</row>
    <row r="11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</row>
    <row r="112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</row>
    <row r="11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</row>
    <row r="115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</row>
    <row r="11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</row>
    <row r="11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</row>
    <row r="118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</row>
    <row r="11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</row>
    <row r="120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</row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</row>
    <row r="122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</row>
    <row r="123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</row>
    <row r="124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</row>
    <row r="125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</row>
    <row r="1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</row>
    <row r="1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</row>
    <row r="128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</row>
    <row r="1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</row>
    <row r="130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</row>
    <row r="131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</row>
    <row r="132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</row>
    <row r="133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</row>
    <row r="134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</row>
    <row r="135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</row>
    <row r="13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</row>
    <row r="13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</row>
    <row r="138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</row>
    <row r="13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</row>
    <row r="140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</row>
    <row r="141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</row>
    <row r="142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</row>
    <row r="221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</row>
    <row r="222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</row>
    <row r="223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</row>
    <row r="224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</row>
    <row r="225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</row>
    <row r="2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</row>
    <row r="2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</row>
    <row r="228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</row>
    <row r="360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</row>
    <row r="36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</row>
    <row r="362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</row>
    <row r="36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</row>
    <row r="364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</row>
    <row r="36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</row>
    <row r="36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</row>
    <row r="36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</row>
    <row r="368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</row>
    <row r="3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</row>
    <row r="370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</row>
    <row r="37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</row>
    <row r="372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</row>
    <row r="37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</row>
    <row r="374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</row>
    <row r="37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</row>
    <row r="37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</row>
    <row r="37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</row>
    <row r="378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</row>
    <row r="37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</row>
    <row r="380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</row>
    <row r="3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</row>
    <row r="382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</row>
    <row r="38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</row>
    <row r="384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</row>
    <row r="38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</row>
    <row r="38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</row>
    <row r="38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</row>
    <row r="388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</row>
    <row r="38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</row>
    <row r="390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</row>
    <row r="39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</row>
    <row r="392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</row>
    <row r="39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</row>
    <row r="394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</row>
    <row r="39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</row>
    <row r="39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</row>
    <row r="39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</row>
    <row r="398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</row>
    <row r="39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</row>
    <row r="400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</row>
    <row r="40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</row>
    <row r="402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</row>
    <row r="40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</row>
    <row r="404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</row>
    <row r="40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</row>
    <row r="40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</row>
    <row r="40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</row>
    <row r="408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</row>
    <row r="40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</row>
    <row r="410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</row>
    <row r="41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</row>
    <row r="412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</row>
    <row r="41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</row>
    <row r="414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</row>
    <row r="41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</row>
    <row r="41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</row>
    <row r="41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</row>
    <row r="418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</row>
    <row r="41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</row>
    <row r="420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</row>
    <row r="42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</row>
    <row r="422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</row>
    <row r="4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</row>
    <row r="424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</row>
    <row r="42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</row>
    <row r="4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</row>
    <row r="4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</row>
    <row r="428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</row>
    <row r="4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</row>
    <row r="430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</row>
    <row r="43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</row>
    <row r="432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</row>
    <row r="43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</row>
    <row r="434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</row>
    <row r="4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</row>
    <row r="43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</row>
    <row r="43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</row>
    <row r="438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</row>
    <row r="43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</row>
    <row r="440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</row>
    <row r="44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</row>
    <row r="442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</row>
    <row r="44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</row>
    <row r="444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</row>
    <row r="44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</row>
    <row r="44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</row>
    <row r="44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</row>
    <row r="448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</row>
    <row r="44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</row>
    <row r="450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</row>
    <row r="45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</row>
    <row r="452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</row>
    <row r="45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</row>
    <row r="454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</row>
    <row r="45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</row>
    <row r="45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</row>
    <row r="45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</row>
    <row r="458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</row>
    <row r="45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</row>
    <row r="460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</row>
    <row r="46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</row>
    <row r="462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</row>
    <row r="46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</row>
    <row r="464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</row>
    <row r="46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</row>
    <row r="46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</row>
    <row r="46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</row>
    <row r="468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</row>
    <row r="4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</row>
    <row r="470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</row>
    <row r="47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</row>
    <row r="472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</row>
    <row r="47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</row>
    <row r="474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</row>
    <row r="47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</row>
    <row r="47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</row>
    <row r="47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</row>
    <row r="478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</row>
    <row r="47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</row>
    <row r="480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</row>
    <row r="4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</row>
    <row r="482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</row>
    <row r="48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</row>
    <row r="484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</row>
    <row r="48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</row>
    <row r="48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</row>
    <row r="48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</row>
    <row r="488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</row>
    <row r="48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</row>
    <row r="490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</row>
    <row r="49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</row>
    <row r="492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</row>
    <row r="49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</row>
    <row r="494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</row>
    <row r="49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</row>
    <row r="49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</row>
    <row r="49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</row>
    <row r="498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</row>
    <row r="49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</row>
    <row r="500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</row>
    <row r="50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</row>
    <row r="502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</row>
    <row r="50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</row>
    <row r="504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</row>
    <row r="50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</row>
    <row r="50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</row>
    <row r="50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</row>
    <row r="508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</row>
    <row r="50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</row>
    <row r="510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</row>
    <row r="51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</row>
    <row r="512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</row>
    <row r="51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</row>
    <row r="514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</row>
    <row r="51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</row>
    <row r="51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</row>
    <row r="51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</row>
    <row r="518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</row>
    <row r="51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</row>
    <row r="520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</row>
    <row r="52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</row>
    <row r="522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</row>
    <row r="5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</row>
    <row r="524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</row>
    <row r="52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</row>
    <row r="5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</row>
    <row r="5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</row>
    <row r="528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</row>
    <row r="5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</row>
    <row r="530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</row>
    <row r="53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</row>
    <row r="532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</row>
    <row r="53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</row>
    <row r="534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</row>
    <row r="5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</row>
    <row r="53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</row>
    <row r="53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</row>
    <row r="538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</row>
    <row r="5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</row>
    <row r="540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</row>
    <row r="54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</row>
    <row r="542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</row>
    <row r="54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</row>
    <row r="544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</row>
    <row r="54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</row>
    <row r="54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</row>
    <row r="54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</row>
    <row r="548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</row>
    <row r="54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</row>
    <row r="550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</row>
    <row r="55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</row>
    <row r="552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</row>
    <row r="55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</row>
    <row r="554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</row>
    <row r="55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</row>
    <row r="55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</row>
    <row r="55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</row>
    <row r="558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</row>
    <row r="55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</row>
    <row r="560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</row>
    <row r="56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</row>
    <row r="562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</row>
    <row r="56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</row>
    <row r="564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</row>
    <row r="56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</row>
    <row r="56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</row>
    <row r="56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</row>
    <row r="568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</row>
    <row r="5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</row>
    <row r="570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</row>
    <row r="57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</row>
    <row r="572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</row>
    <row r="57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</row>
    <row r="574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</row>
    <row r="57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</row>
    <row r="57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</row>
    <row r="57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</row>
    <row r="578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</row>
    <row r="57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</row>
    <row r="580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</row>
    <row r="5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</row>
    <row r="582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</row>
    <row r="58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</row>
    <row r="584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</row>
    <row r="58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</row>
    <row r="58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</row>
    <row r="58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</row>
    <row r="588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</row>
    <row r="58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</row>
    <row r="590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</row>
    <row r="59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</row>
    <row r="592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</row>
    <row r="59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</row>
    <row r="594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</row>
    <row r="59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</row>
    <row r="59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</row>
    <row r="59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</row>
    <row r="598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</row>
    <row r="59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</row>
    <row r="600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</row>
    <row r="60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</row>
    <row r="602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</row>
    <row r="60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</row>
    <row r="604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</row>
    <row r="60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</row>
    <row r="60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</row>
    <row r="60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</row>
    <row r="608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</row>
    <row r="60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</row>
    <row r="610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</row>
    <row r="61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</row>
    <row r="612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</row>
    <row r="61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</row>
    <row r="614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</row>
    <row r="61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</row>
    <row r="61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</row>
    <row r="61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</row>
    <row r="618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</row>
    <row r="61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</row>
    <row r="620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</row>
    <row r="62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</row>
    <row r="622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</row>
    <row r="6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</row>
    <row r="624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</row>
    <row r="62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</row>
    <row r="6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</row>
    <row r="6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</row>
    <row r="628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</row>
    <row r="6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</row>
    <row r="630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</row>
    <row r="63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</row>
    <row r="632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</row>
    <row r="63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</row>
    <row r="634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</row>
    <row r="6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</row>
    <row r="63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</row>
    <row r="63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</row>
    <row r="638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</row>
    <row r="6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</row>
    <row r="640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</row>
    <row r="64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</row>
    <row r="642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</row>
    <row r="64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</row>
    <row r="644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</row>
    <row r="64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</row>
    <row r="64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</row>
    <row r="64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</row>
    <row r="648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</row>
    <row r="64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</row>
    <row r="650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</row>
    <row r="65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</row>
    <row r="652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</row>
    <row r="65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</row>
    <row r="654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</row>
    <row r="65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</row>
    <row r="65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</row>
    <row r="65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</row>
    <row r="658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</row>
    <row r="65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</row>
    <row r="660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</row>
    <row r="66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</row>
    <row r="662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</row>
    <row r="66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</row>
    <row r="664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</row>
    <row r="66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</row>
    <row r="66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</row>
    <row r="66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</row>
    <row r="668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</row>
    <row r="6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</row>
    <row r="670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</row>
    <row r="67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</row>
    <row r="672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</row>
    <row r="67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</row>
    <row r="674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</row>
    <row r="67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</row>
    <row r="67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</row>
    <row r="67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</row>
    <row r="678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</row>
    <row r="67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</row>
    <row r="680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</row>
    <row r="6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</row>
    <row r="682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</row>
    <row r="68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</row>
    <row r="684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</row>
    <row r="68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</row>
    <row r="68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</row>
    <row r="68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</row>
    <row r="688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</row>
    <row r="68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</row>
    <row r="690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</row>
    <row r="69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</row>
    <row r="692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</row>
    <row r="69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</row>
    <row r="694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</row>
    <row r="69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</row>
    <row r="69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</row>
    <row r="69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</row>
    <row r="698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</row>
    <row r="69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</row>
    <row r="700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</row>
    <row r="70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</row>
    <row r="702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</row>
    <row r="70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</row>
    <row r="704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</row>
    <row r="70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</row>
    <row r="70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</row>
    <row r="70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</row>
    <row r="708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</row>
    <row r="70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</row>
    <row r="710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</row>
    <row r="71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</row>
    <row r="712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</row>
    <row r="71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</row>
    <row r="714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</row>
    <row r="71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</row>
    <row r="71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</row>
    <row r="71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</row>
    <row r="718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</row>
    <row r="71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</row>
    <row r="720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</row>
    <row r="72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</row>
    <row r="722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</row>
    <row r="7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</row>
    <row r="724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</row>
    <row r="72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</row>
    <row r="7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</row>
    <row r="7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</row>
    <row r="728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</row>
    <row r="7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</row>
    <row r="730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</row>
    <row r="73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</row>
    <row r="732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</row>
    <row r="73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</row>
    <row r="734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</row>
    <row r="7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</row>
    <row r="73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</row>
    <row r="73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</row>
    <row r="738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</row>
    <row r="7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</row>
    <row r="740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</row>
    <row r="74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</row>
    <row r="742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</row>
    <row r="74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</row>
    <row r="744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</row>
    <row r="74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</row>
    <row r="74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</row>
    <row r="74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</row>
    <row r="748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</row>
    <row r="74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</row>
    <row r="750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</row>
    <row r="75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</row>
    <row r="752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</row>
    <row r="75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</row>
    <row r="754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</row>
    <row r="75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</row>
    <row r="75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</row>
    <row r="75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</row>
    <row r="758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</row>
    <row r="75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</row>
    <row r="760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</row>
    <row r="76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</row>
    <row r="762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</row>
    <row r="76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</row>
    <row r="764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</row>
    <row r="76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</row>
    <row r="76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</row>
    <row r="76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</row>
    <row r="768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</row>
    <row r="7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</row>
    <row r="770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</row>
    <row r="77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</row>
    <row r="772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</row>
    <row r="77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</row>
    <row r="774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</row>
    <row r="77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</row>
    <row r="77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</row>
    <row r="77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</row>
    <row r="778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</row>
    <row r="77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</row>
    <row r="780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</row>
    <row r="7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</row>
    <row r="782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</row>
    <row r="78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</row>
    <row r="784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</row>
    <row r="78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</row>
    <row r="78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</row>
    <row r="78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</row>
    <row r="788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</row>
    <row r="78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</row>
    <row r="790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</row>
    <row r="79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</row>
    <row r="792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</row>
    <row r="79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</row>
    <row r="794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</row>
    <row r="79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</row>
  </sheetData>
  <conditionalFormatting sqref="G3:G100">
    <cfRule type="containsText" dxfId="3" priority="1" operator="containsText" text="Concluída">
      <formula>NOT(ISERROR(SEARCH(("Concluída"),(G3))))</formula>
    </cfRule>
  </conditionalFormatting>
  <conditionalFormatting sqref="G3:G100">
    <cfRule type="containsText" dxfId="9" priority="2" operator="containsText" text="Andamento">
      <formula>NOT(ISERROR(SEARCH(("Andamento"),(G3))))</formula>
    </cfRule>
  </conditionalFormatting>
  <conditionalFormatting sqref="G3:G100">
    <cfRule type="containsText" dxfId="10" priority="3" operator="containsText" text="Bloqueada">
      <formula>NOT(ISERROR(SEARCH(("Bloqueada"),(G3))))</formula>
    </cfRule>
  </conditionalFormatting>
  <conditionalFormatting sqref="D3:D100">
    <cfRule type="cellIs" dxfId="1" priority="4" operator="equal">
      <formula>0</formula>
    </cfRule>
  </conditionalFormatting>
  <conditionalFormatting sqref="A1">
    <cfRule type="cellIs" dxfId="1" priority="5" operator="equal">
      <formula>0</formula>
    </cfRule>
  </conditionalFormatting>
  <conditionalFormatting sqref="D3:D100">
    <cfRule type="containsText" dxfId="4" priority="6" operator="containsText" text="Alta">
      <formula>NOT(ISERROR(SEARCH(("Alta"),(D3))))</formula>
    </cfRule>
  </conditionalFormatting>
  <conditionalFormatting sqref="D3:D100">
    <cfRule type="containsText" dxfId="5" priority="7" operator="containsText" text="Baixa">
      <formula>NOT(ISERROR(SEARCH(("Baixa"),(D3))))</formula>
    </cfRule>
  </conditionalFormatting>
  <conditionalFormatting sqref="B1">
    <cfRule type="cellIs" dxfId="1" priority="8" operator="equal">
      <formula>0</formula>
    </cfRule>
  </conditionalFormatting>
  <conditionalFormatting sqref="E1">
    <cfRule type="cellIs" dxfId="1" priority="9" operator="equal">
      <formula>0</formula>
    </cfRule>
  </conditionalFormatting>
  <conditionalFormatting sqref="B3:B100">
    <cfRule type="notContainsBlanks" dxfId="3" priority="10">
      <formula>LEN(TRIM(B3))&gt;0</formula>
    </cfRule>
  </conditionalFormatting>
  <dataValidations>
    <dataValidation type="decimal" allowBlank="1" showErrorMessage="1" sqref="A3:A100">
      <formula1>1.0</formula1>
      <formula2>7.0</formula2>
    </dataValidation>
    <dataValidation type="list" allowBlank="1" showErrorMessage="1" sqref="D3:D100">
      <formula1>"Alta,Média,Baixa"</formula1>
    </dataValidation>
    <dataValidation type="decimal" operator="greaterThan" allowBlank="1" showDropDown="1" showErrorMessage="1" sqref="E1">
      <formula1>0.0</formula1>
    </dataValidation>
    <dataValidation type="list" allowBlank="1" showErrorMessage="1" sqref="G3:G100">
      <formula1>"Pendente,Em andamento,Bloqueada,Concluída"</formula1>
    </dataValidation>
    <dataValidation type="decimal" allowBlank="1" showDropDown="1" showInputMessage="1" showErrorMessage="1" prompt="Pontuação inválida - Inserir valor entre 1 e 21" sqref="E3:E100">
      <formula1>0.0</formula1>
      <formula2>21.0</formula2>
    </dataValidation>
    <dataValidation type="list" allowBlank="1" sqref="L3:L12 F3:F100">
      <formula1>alunos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