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dd34fe0731ec565/BRUNO/PMRR-sao_jose_^0_floripa/Obras_estruturais/"/>
    </mc:Choice>
  </mc:AlternateContent>
  <xr:revisionPtr revIDLastSave="15" documentId="8_{E83A72D9-11F4-46DF-991C-B370FC76BDE7}" xr6:coauthVersionLast="47" xr6:coauthVersionMax="47" xr10:uidLastSave="{CB2F7FE7-CCF7-48D9-B3F4-D4E5D255D22E}"/>
  <bookViews>
    <workbookView xWindow="-120" yWindow="-120" windowWidth="29040" windowHeight="15750" xr2:uid="{00000000-000D-0000-FFFF-FFFF00000000}"/>
  </bookViews>
  <sheets>
    <sheet name="Cálculo" sheetId="1" r:id="rId1"/>
    <sheet name="Muro Gabião" sheetId="3" r:id="rId2"/>
    <sheet name="Retaludamento" sheetId="4" r:id="rId3"/>
    <sheet name="Muro de Arrimo" sheetId="5" r:id="rId4"/>
    <sheet name="Geogrelhas" sheetId="6" r:id="rId5"/>
    <sheet name="Barreiras Passiva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J4" i="7"/>
  <c r="B6" i="7"/>
  <c r="B4" i="7" s="1"/>
  <c r="H4" i="7" s="1"/>
  <c r="H2" i="7"/>
  <c r="J2" i="7" s="1"/>
  <c r="H7" i="7"/>
  <c r="J7" i="7" s="1"/>
  <c r="B7" i="7"/>
  <c r="H6" i="7" s="1"/>
  <c r="J6" i="7" s="1"/>
  <c r="B8" i="7"/>
  <c r="H5" i="7" s="1"/>
  <c r="B5" i="7"/>
  <c r="H3" i="7" l="1"/>
  <c r="J3" i="7" s="1"/>
  <c r="J8" i="7" s="1"/>
  <c r="B8" i="6"/>
  <c r="L13" i="4"/>
  <c r="B9" i="6"/>
  <c r="K8" i="6" s="1"/>
  <c r="N8" i="6" s="1"/>
  <c r="K5" i="6"/>
  <c r="N5" i="6" s="1"/>
  <c r="K6" i="6"/>
  <c r="N6" i="6" s="1"/>
  <c r="M8" i="6"/>
  <c r="M6" i="6"/>
  <c r="M5" i="6"/>
  <c r="M4" i="6"/>
  <c r="E13" i="3"/>
  <c r="L16" i="4"/>
  <c r="L3" i="4"/>
  <c r="H12" i="3"/>
  <c r="H11" i="3"/>
  <c r="B7" i="3"/>
  <c r="L5" i="4"/>
  <c r="J13" i="5"/>
  <c r="P7" i="5" s="1"/>
  <c r="J5" i="5"/>
  <c r="L14" i="4"/>
  <c r="E22" i="3"/>
  <c r="H6" i="5"/>
  <c r="J6" i="5" s="1"/>
  <c r="C8" i="5"/>
  <c r="C9" i="5" s="1"/>
  <c r="H12" i="5"/>
  <c r="J12" i="5" s="1"/>
  <c r="H11" i="5"/>
  <c r="J11" i="5" s="1"/>
  <c r="H10" i="5"/>
  <c r="J10" i="5" s="1"/>
  <c r="H9" i="5"/>
  <c r="J9" i="5" s="1"/>
  <c r="H8" i="5"/>
  <c r="J8" i="5" s="1"/>
  <c r="H7" i="5"/>
  <c r="J7" i="5" s="1"/>
  <c r="H5" i="5"/>
  <c r="H4" i="5"/>
  <c r="J4" i="5" s="1"/>
  <c r="H3" i="5"/>
  <c r="J3" i="5" s="1"/>
  <c r="P5" i="5" s="1"/>
  <c r="K4" i="6" l="1"/>
  <c r="N4" i="6" s="1"/>
  <c r="N7" i="6" s="1"/>
  <c r="P6" i="5"/>
  <c r="P8" i="5" s="1"/>
  <c r="C10" i="5"/>
  <c r="B13" i="4"/>
  <c r="B8" i="4"/>
  <c r="B11" i="4" s="1"/>
  <c r="L2" i="4" s="1"/>
  <c r="B4" i="4"/>
  <c r="E28" i="3"/>
  <c r="G5" i="3"/>
  <c r="G3" i="3"/>
  <c r="G2" i="3"/>
  <c r="B4" i="3"/>
  <c r="F3" i="3" s="1"/>
  <c r="D27" i="3"/>
  <c r="E27" i="3" s="1"/>
  <c r="E26" i="3"/>
  <c r="E25" i="3"/>
  <c r="E24" i="3"/>
  <c r="E23" i="3"/>
  <c r="J4" i="1"/>
  <c r="J2" i="1"/>
  <c r="J3" i="1" s="1"/>
  <c r="N9" i="6" l="1"/>
  <c r="H3" i="3"/>
  <c r="B5" i="3"/>
  <c r="B8" i="3" s="1"/>
  <c r="B12" i="4"/>
  <c r="B14" i="4" s="1"/>
  <c r="I15" i="4" s="1"/>
  <c r="L15" i="4" s="1"/>
  <c r="H5" i="3"/>
  <c r="J5" i="1"/>
  <c r="B6" i="3" l="1"/>
  <c r="F2" i="3" s="1"/>
  <c r="H2" i="3" s="1"/>
  <c r="H10" i="3" s="1"/>
  <c r="F4" i="3"/>
  <c r="H4" i="3" s="1"/>
  <c r="I14" i="4"/>
  <c r="I12" i="4"/>
  <c r="L12" i="4" s="1"/>
  <c r="I2" i="4"/>
  <c r="I3" i="4"/>
  <c r="J6" i="1"/>
  <c r="J7" i="1"/>
  <c r="J8" i="1" s="1"/>
  <c r="P9" i="5"/>
  <c r="H13" i="3" l="1"/>
  <c r="H14" i="3" s="1"/>
</calcChain>
</file>

<file path=xl/sharedStrings.xml><?xml version="1.0" encoding="utf-8"?>
<sst xmlns="http://schemas.openxmlformats.org/spreadsheetml/2006/main" count="303" uniqueCount="204">
  <si>
    <t>Parâmetro</t>
  </si>
  <si>
    <t>Símbolo</t>
  </si>
  <si>
    <t>Valor</t>
  </si>
  <si>
    <t>Unidade</t>
  </si>
  <si>
    <t>Cálculo</t>
  </si>
  <si>
    <t>Fórmula</t>
  </si>
  <si>
    <t>Valor Calculado</t>
  </si>
  <si>
    <t>Altura do muro (H)</t>
  </si>
  <si>
    <t>H</t>
  </si>
  <si>
    <t>m</t>
  </si>
  <si>
    <t>Empuxo ativo (E_a)</t>
  </si>
  <si>
    <t>0.5 * γ solo * H^2 * K_a</t>
  </si>
  <si>
    <t>kN/m</t>
  </si>
  <si>
    <t>Peso específico do solo (γ solo)</t>
  </si>
  <si>
    <t>γ solo</t>
  </si>
  <si>
    <t>kN/m³</t>
  </si>
  <si>
    <t>Momento de tombamento (M_tomb)</t>
  </si>
  <si>
    <t>E_a * H / 3</t>
  </si>
  <si>
    <t>kN.m</t>
  </si>
  <si>
    <t>Peso específico do gabião (γ gabião)</t>
  </si>
  <si>
    <t>γ gabião</t>
  </si>
  <si>
    <t>Peso do muro (P)</t>
  </si>
  <si>
    <t>γ gabião * B * H</t>
  </si>
  <si>
    <t>Ângulo de atrito do solo (φ)</t>
  </si>
  <si>
    <t>φ</t>
  </si>
  <si>
    <t>graus</t>
  </si>
  <si>
    <t>Momento resistente (M_resist)</t>
  </si>
  <si>
    <t>Peso do muro * B / 2</t>
  </si>
  <si>
    <t>Coeficiente de empuxo ativo (K_a)</t>
  </si>
  <si>
    <t>K_a</t>
  </si>
  <si>
    <t>-</t>
  </si>
  <si>
    <t>Cálculo do Empuxo Ativo (Fórmula de Rankine)</t>
  </si>
  <si>
    <t>Fator de segurança ao tombamento (FS_tomb)</t>
  </si>
  <si>
    <t>M_resist / M_tomb</t>
  </si>
  <si>
    <t>Largura da base do muro (B)</t>
  </si>
  <si>
    <t>B</t>
  </si>
  <si>
    <t>Resistência ao deslizamento</t>
  </si>
  <si>
    <t>Peso do muro * tan(φ)</t>
  </si>
  <si>
    <t>kN</t>
  </si>
  <si>
    <t>Fator de segurança ao deslizamento (FS_desliz)</t>
  </si>
  <si>
    <t>Resistência ao deslizamento / E_a</t>
  </si>
  <si>
    <t>verificar fórmulas</t>
  </si>
  <si>
    <t xml:space="preserve">verificar peso valores especificos </t>
  </si>
  <si>
    <t>método de equilíbrio limite</t>
  </si>
  <si>
    <t>Material</t>
  </si>
  <si>
    <t>Quantidade por m³</t>
  </si>
  <si>
    <t>Custo Unitário (R$)</t>
  </si>
  <si>
    <t>Custo Total por m³ (R$)</t>
  </si>
  <si>
    <t>Altura do Muro (m)</t>
  </si>
  <si>
    <t>Pedras para preenchimento</t>
  </si>
  <si>
    <t>m³</t>
  </si>
  <si>
    <t>Comprimento do Muro (m)</t>
  </si>
  <si>
    <t>Malha de Gabião</t>
  </si>
  <si>
    <t>m²</t>
  </si>
  <si>
    <t>Espessura do Muro (m)</t>
  </si>
  <si>
    <t>Geotêxtil</t>
  </si>
  <si>
    <t>Volume Total (m³)</t>
  </si>
  <si>
    <t xml:space="preserve">V=H*L*E </t>
  </si>
  <si>
    <t>Concreto Magro</t>
  </si>
  <si>
    <t>Pedras Necessárias (toneladas)</t>
  </si>
  <si>
    <t>Malha de Gabião (m²)</t>
  </si>
  <si>
    <t>uma caixa tem 2*1*1</t>
  </si>
  <si>
    <t>Geotêxtil (m²)</t>
  </si>
  <si>
    <t>Concreto Magro (m²)</t>
  </si>
  <si>
    <t>Item</t>
  </si>
  <si>
    <t>Custo Total (R$)</t>
  </si>
  <si>
    <t>Materiais</t>
  </si>
  <si>
    <t>Código Sinapi</t>
  </si>
  <si>
    <t>Mão de Obra</t>
  </si>
  <si>
    <t>Equipamentos</t>
  </si>
  <si>
    <t>pedra de mão ou rachão</t>
  </si>
  <si>
    <t>BDI</t>
  </si>
  <si>
    <t>Gabião Malha exagonal</t>
  </si>
  <si>
    <t>Custo Total da Obra</t>
  </si>
  <si>
    <t>Mão de obra (montagem)</t>
  </si>
  <si>
    <t>Mão de obra (escavação)</t>
  </si>
  <si>
    <t>Aluguel de equipamentos</t>
  </si>
  <si>
    <t>Transporte de materiais</t>
  </si>
  <si>
    <t>??</t>
  </si>
  <si>
    <t>BDI aluguel de equipamentos, seguros, transporte, luz e água, entre outros</t>
  </si>
  <si>
    <t>Quantidade</t>
  </si>
  <si>
    <t>Pedra para preenchimento</t>
  </si>
  <si>
    <t>https://orcamentor.com/composicao/92747/</t>
  </si>
  <si>
    <t>Gabiões (malhas metálicas)</t>
  </si>
  <si>
    <t>Concreto magro</t>
  </si>
  <si>
    <t>https://orcamentor.com/composicao/92749/</t>
  </si>
  <si>
    <t>hora</t>
  </si>
  <si>
    <t>viagens</t>
  </si>
  <si>
    <t>Área total da encosta</t>
  </si>
  <si>
    <t>Valores</t>
  </si>
  <si>
    <t>Código Sinap</t>
  </si>
  <si>
    <t>Quatidade por m³</t>
  </si>
  <si>
    <t>Custo unitário (R$)</t>
  </si>
  <si>
    <t>Custo total por m³</t>
  </si>
  <si>
    <t xml:space="preserve">Altura-h (m) </t>
  </si>
  <si>
    <t>Custo por movimento de terra</t>
  </si>
  <si>
    <t>Comprimento-L (m)</t>
  </si>
  <si>
    <t>Custo por equipamento</t>
  </si>
  <si>
    <t>Área total de encosta- A (m²)</t>
  </si>
  <si>
    <t>Custo materiais de reforços</t>
  </si>
  <si>
    <t xml:space="preserve">Razao do Talude (R) </t>
  </si>
  <si>
    <t>colocar opcao de  1:1 ou 1:2 ou 1:0,5</t>
  </si>
  <si>
    <t>Custo mão de obra</t>
  </si>
  <si>
    <t>88316+88309</t>
  </si>
  <si>
    <t>dia</t>
  </si>
  <si>
    <t>Calculo de largura da Base</t>
  </si>
  <si>
    <t>Largura da Base- b1 (m)</t>
  </si>
  <si>
    <t>b= h*R</t>
  </si>
  <si>
    <t>Largura da Base após retaludamento b2 (m)</t>
  </si>
  <si>
    <t>Calculo de volume-V (m³)</t>
  </si>
  <si>
    <t>Código Sicro2</t>
  </si>
  <si>
    <t>Quatidade (m³)</t>
  </si>
  <si>
    <t>Cálculo da Área do Talude Inicial - A1 (m²)</t>
  </si>
  <si>
    <t xml:space="preserve">A inicial=0,5 * b1*h </t>
  </si>
  <si>
    <t>Escavadeira e caminhão basculante.</t>
  </si>
  <si>
    <t>Cálculo da Área do Talude Final A2 (m²)</t>
  </si>
  <si>
    <t>A final=0,5*b2*h</t>
  </si>
  <si>
    <t>Cálculo do Volume Total de Material a Ser Movido (m³)</t>
  </si>
  <si>
    <t>v=(a1-a2)*L</t>
  </si>
  <si>
    <t>Escavação, carga e transpote</t>
  </si>
  <si>
    <t>Retaludamento de cortes</t>
  </si>
  <si>
    <t>*Custo por equipamento- exemplo sicro2</t>
  </si>
  <si>
    <t>https://www.funepu.com.br/docs/licitacoes/2018/tomada-de-precos-anexo-ii.pdf</t>
  </si>
  <si>
    <t>*como calcular mão de obra?</t>
  </si>
  <si>
    <t>Dimensionamento para até 1,5m</t>
  </si>
  <si>
    <t>Código</t>
  </si>
  <si>
    <t>Custo unitário</t>
  </si>
  <si>
    <t>Custo total</t>
  </si>
  <si>
    <t>Grauteamento Inter.</t>
  </si>
  <si>
    <t>verificar se a fórmula está correta</t>
  </si>
  <si>
    <t>Grauteamento Super.</t>
  </si>
  <si>
    <t>Medidas</t>
  </si>
  <si>
    <t>Grauteamento Vert.</t>
  </si>
  <si>
    <t>Altura</t>
  </si>
  <si>
    <t>Servente</t>
  </si>
  <si>
    <t>Hora</t>
  </si>
  <si>
    <t>Mão de Obra (Dia)</t>
  </si>
  <si>
    <t xml:space="preserve">Comprimento </t>
  </si>
  <si>
    <t>Pedreiro</t>
  </si>
  <si>
    <t>Espessura Base</t>
  </si>
  <si>
    <t>Armação Vert. Alvenaria</t>
  </si>
  <si>
    <t>kg</t>
  </si>
  <si>
    <t>Espessura topo</t>
  </si>
  <si>
    <t>Armação de cinta Alven.</t>
  </si>
  <si>
    <t>Fundação</t>
  </si>
  <si>
    <t>Tubos PVC</t>
  </si>
  <si>
    <t>Areia média</t>
  </si>
  <si>
    <t xml:space="preserve">Bloco de concreto </t>
  </si>
  <si>
    <t>UNIDADE</t>
  </si>
  <si>
    <t>Argamassa traço 1:1:6 (Betoneira)</t>
  </si>
  <si>
    <t>BASE SINAP</t>
  </si>
  <si>
    <t>"=0,01*($C$3/1,5)"</t>
  </si>
  <si>
    <r>
      <t>O grauteamento </t>
    </r>
    <r>
      <rPr>
        <sz val="12"/>
        <color rgb="FF040C28"/>
        <rFont val="Arial"/>
        <family val="2"/>
      </rPr>
      <t>é uma técnica referente ao preenchimento das cavidades dos blocos de cerâmica e colunas de alvenaria estrutural</t>
    </r>
  </si>
  <si>
    <t>https://orcamentor.com/composicao/100350/</t>
  </si>
  <si>
    <t>Paremetros</t>
  </si>
  <si>
    <t>Comprimento (m)</t>
  </si>
  <si>
    <t>Largura (m)</t>
  </si>
  <si>
    <t>Preço Unitário</t>
  </si>
  <si>
    <t>Preço total</t>
  </si>
  <si>
    <t>Espessura (m)</t>
  </si>
  <si>
    <t>Geogrelha</t>
  </si>
  <si>
    <t>camadas</t>
  </si>
  <si>
    <t>Mão de obra</t>
  </si>
  <si>
    <t>diária</t>
  </si>
  <si>
    <t>Diárias</t>
  </si>
  <si>
    <t>Quantidades de geog / camadas</t>
  </si>
  <si>
    <t>total de geogrelha</t>
  </si>
  <si>
    <t>Aterro</t>
  </si>
  <si>
    <t>Volume (m³)</t>
  </si>
  <si>
    <t>Total</t>
  </si>
  <si>
    <t>Descriçao</t>
  </si>
  <si>
    <t>Preço</t>
  </si>
  <si>
    <t>88309 / 88316</t>
  </si>
  <si>
    <t>Dia/pessoa</t>
  </si>
  <si>
    <t>Equipamento Retro escavadeira</t>
  </si>
  <si>
    <t>Dia</t>
  </si>
  <si>
    <t>https://orcamentor.com/insumo/34804/</t>
  </si>
  <si>
    <t>https://marcosporto.eng.br/wp-content/uploads/2018/02/TM-_-BR-_-Manual-Crit%C3%A9rios-gerais-para-aplica%C3%A7%C3%A3o-de-geossint%C3%A9ticos-_-PT-_-Feb21.pdf</t>
  </si>
  <si>
    <t>Unitário</t>
  </si>
  <si>
    <t>Altura da encosta (m)</t>
  </si>
  <si>
    <t>Perfuração rotat. horiz. em solo</t>
  </si>
  <si>
    <t>Grampo aço CA 50, diam. 15mm, comprimento entre 9,0 e 15,0 metros, incl. todos os materiais, excl. perfuração e enchimento.</t>
  </si>
  <si>
    <t>Volume Total (m³) cimento</t>
  </si>
  <si>
    <t>V=3,14(d/2)²xL</t>
  </si>
  <si>
    <t>Enchimento com argamassa 1:4</t>
  </si>
  <si>
    <t>Área Total (h*c)</t>
  </si>
  <si>
    <t>Dreno tubo PVC diametro 3" / Comp.15m</t>
  </si>
  <si>
    <t>Grampos (2x2)</t>
  </si>
  <si>
    <t>Tela de aço CA 60, 2,5m*6m</t>
  </si>
  <si>
    <t>Un</t>
  </si>
  <si>
    <t>Tela de Aço (Un)</t>
  </si>
  <si>
    <t>Corte, dobra e montagem de tela de aço de 4,2mm de diam. p/ placa de contato grampo</t>
  </si>
  <si>
    <t>Kg</t>
  </si>
  <si>
    <t>DHP (Horizontal)</t>
  </si>
  <si>
    <t>Diametro do furo para grampos (m)</t>
  </si>
  <si>
    <t>Chumbadores</t>
  </si>
  <si>
    <t>DHP</t>
  </si>
  <si>
    <t>comprimento pvc 15m 3"</t>
  </si>
  <si>
    <t>Tela de Alta resistencia</t>
  </si>
  <si>
    <t xml:space="preserve">Mante geotextil </t>
  </si>
  <si>
    <t>https://sites.google.com/site/geotecniaefundacoeslan/255</t>
  </si>
  <si>
    <t>https://orcamentor.com/insumo/7156/</t>
  </si>
  <si>
    <t>https://uenf.br/cct/leciv/files/2014/12/projeto_felipe_marconi.pdf</t>
  </si>
  <si>
    <t>https://www.tjac.jus.br/wp-content/uploads/2018/08/Tabela-SINAPI.pdf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</si>
</sst>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0.00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sz val="10"/>
      <name val="Courier New"/>
      <family val="3"/>
    </font>
    <font>
      <u/>
      <sz val="11"/>
      <color theme="1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0"/>
      <color rgb="FF212529"/>
      <name val="Segoe UI"/>
      <family val="2"/>
    </font>
    <font>
      <sz val="10"/>
      <name val="Calibri"/>
      <family val="2"/>
      <scheme val="minor"/>
    </font>
    <font>
      <sz val="12"/>
      <color rgb="FF1F1F1F"/>
      <name val="Arial"/>
      <family val="2"/>
    </font>
    <font>
      <sz val="12"/>
      <color rgb="FF040C28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0" borderId="0" xfId="1"/>
    <xf numFmtId="0" fontId="7" fillId="0" borderId="1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0" fillId="3" borderId="1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" borderId="22" xfId="0" applyFill="1" applyBorder="1"/>
    <xf numFmtId="0" fontId="0" fillId="0" borderId="23" xfId="0" applyBorder="1"/>
    <xf numFmtId="0" fontId="1" fillId="5" borderId="24" xfId="0" applyFont="1" applyFill="1" applyBorder="1" applyAlignment="1">
      <alignment horizontal="center" vertical="top"/>
    </xf>
    <xf numFmtId="0" fontId="1" fillId="5" borderId="25" xfId="0" applyFont="1" applyFill="1" applyBorder="1" applyAlignment="1">
      <alignment horizontal="center" vertical="top"/>
    </xf>
    <xf numFmtId="0" fontId="1" fillId="5" borderId="26" xfId="0" applyFont="1" applyFill="1" applyBorder="1" applyAlignment="1">
      <alignment horizontal="center" vertical="top"/>
    </xf>
    <xf numFmtId="0" fontId="1" fillId="5" borderId="8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6" fillId="5" borderId="13" xfId="0" applyFont="1" applyFill="1" applyBorder="1" applyAlignment="1">
      <alignment horizontal="left"/>
    </xf>
    <xf numFmtId="0" fontId="6" fillId="5" borderId="14" xfId="0" applyFont="1" applyFill="1" applyBorder="1" applyAlignment="1">
      <alignment horizontal="left"/>
    </xf>
    <xf numFmtId="0" fontId="6" fillId="5" borderId="15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center" vertical="top"/>
    </xf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9" fillId="0" borderId="0" xfId="0" applyFont="1" applyAlignment="1">
      <alignment horizontal="left"/>
    </xf>
    <xf numFmtId="0" fontId="9" fillId="0" borderId="0" xfId="0" applyFont="1"/>
    <xf numFmtId="0" fontId="0" fillId="0" borderId="12" xfId="0" applyBorder="1" applyAlignment="1">
      <alignment horizontal="right"/>
    </xf>
    <xf numFmtId="0" fontId="1" fillId="6" borderId="8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6" borderId="4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" fillId="3" borderId="0" xfId="0" applyFont="1" applyFill="1" applyAlignment="1">
      <alignment horizontal="center" vertical="top"/>
    </xf>
    <xf numFmtId="0" fontId="0" fillId="3" borderId="0" xfId="0" applyFill="1" applyAlignment="1">
      <alignment horizontal="right"/>
    </xf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7" borderId="2" xfId="0" applyFont="1" applyFill="1" applyBorder="1"/>
    <xf numFmtId="0" fontId="1" fillId="7" borderId="4" xfId="0" applyFont="1" applyFill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0" fillId="3" borderId="6" xfId="0" applyFill="1" applyBorder="1"/>
    <xf numFmtId="0" fontId="1" fillId="7" borderId="2" xfId="0" applyFont="1" applyFill="1" applyBorder="1" applyAlignment="1">
      <alignment horizontal="center" vertical="top"/>
    </xf>
    <xf numFmtId="0" fontId="0" fillId="7" borderId="7" xfId="0" applyFill="1" applyBorder="1"/>
    <xf numFmtId="0" fontId="0" fillId="9" borderId="7" xfId="0" applyFill="1" applyBorder="1"/>
    <xf numFmtId="0" fontId="0" fillId="9" borderId="12" xfId="0" applyFill="1" applyBorder="1"/>
    <xf numFmtId="0" fontId="1" fillId="8" borderId="2" xfId="0" applyFont="1" applyFill="1" applyBorder="1"/>
    <xf numFmtId="0" fontId="0" fillId="8" borderId="4" xfId="0" applyFill="1" applyBorder="1"/>
    <xf numFmtId="0" fontId="1" fillId="8" borderId="11" xfId="0" applyFont="1" applyFill="1" applyBorder="1"/>
    <xf numFmtId="0" fontId="0" fillId="8" borderId="12" xfId="0" applyFill="1" applyBorder="1"/>
    <xf numFmtId="0" fontId="0" fillId="8" borderId="7" xfId="0" applyFill="1" applyBorder="1"/>
    <xf numFmtId="0" fontId="1" fillId="8" borderId="5" xfId="0" applyFont="1" applyFill="1" applyBorder="1"/>
    <xf numFmtId="0" fontId="0" fillId="0" borderId="6" xfId="0" applyBorder="1" applyAlignment="1">
      <alignment horizontal="left"/>
    </xf>
    <xf numFmtId="0" fontId="0" fillId="10" borderId="6" xfId="0" applyFill="1" applyBorder="1"/>
    <xf numFmtId="0" fontId="0" fillId="11" borderId="12" xfId="0" applyFill="1" applyBorder="1"/>
    <xf numFmtId="164" fontId="0" fillId="0" borderId="12" xfId="0" applyNumberFormat="1" applyBorder="1"/>
    <xf numFmtId="164" fontId="1" fillId="0" borderId="7" xfId="0" applyNumberFormat="1" applyFont="1" applyBorder="1"/>
    <xf numFmtId="164" fontId="0" fillId="0" borderId="7" xfId="0" applyNumberFormat="1" applyBorder="1"/>
    <xf numFmtId="164" fontId="7" fillId="0" borderId="12" xfId="0" applyNumberFormat="1" applyFont="1" applyBorder="1" applyAlignment="1">
      <alignment horizontal="left"/>
    </xf>
    <xf numFmtId="164" fontId="2" fillId="0" borderId="12" xfId="0" applyNumberFormat="1" applyFont="1" applyBorder="1" applyAlignment="1">
      <alignment horizontal="left"/>
    </xf>
    <xf numFmtId="164" fontId="8" fillId="0" borderId="12" xfId="0" applyNumberFormat="1" applyFont="1" applyBorder="1" applyAlignment="1">
      <alignment horizontal="left"/>
    </xf>
    <xf numFmtId="164" fontId="0" fillId="0" borderId="12" xfId="0" applyNumberFormat="1" applyBorder="1" applyAlignment="1">
      <alignment horizontal="left"/>
    </xf>
    <xf numFmtId="164" fontId="0" fillId="0" borderId="0" xfId="0" applyNumberFormat="1"/>
    <xf numFmtId="164" fontId="0" fillId="2" borderId="0" xfId="0" applyNumberFormat="1" applyFill="1"/>
    <xf numFmtId="164" fontId="0" fillId="0" borderId="6" xfId="0" applyNumberFormat="1" applyBorder="1"/>
    <xf numFmtId="0" fontId="10" fillId="0" borderId="0" xfId="0" applyFont="1"/>
    <xf numFmtId="0" fontId="12" fillId="0" borderId="0" xfId="0" applyFont="1"/>
    <xf numFmtId="0" fontId="0" fillId="0" borderId="2" xfId="0" applyBorder="1"/>
    <xf numFmtId="0" fontId="0" fillId="0" borderId="3" xfId="0" applyBorder="1"/>
    <xf numFmtId="0" fontId="0" fillId="7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2" borderId="4" xfId="0" applyNumberFormat="1" applyFill="1" applyBorder="1"/>
    <xf numFmtId="164" fontId="0" fillId="3" borderId="12" xfId="0" applyNumberFormat="1" applyFill="1" applyBorder="1"/>
    <xf numFmtId="0" fontId="13" fillId="0" borderId="11" xfId="0" applyFont="1" applyBorder="1" applyAlignment="1">
      <alignment horizontal="left"/>
    </xf>
    <xf numFmtId="0" fontId="0" fillId="3" borderId="19" xfId="0" applyFill="1" applyBorder="1"/>
    <xf numFmtId="0" fontId="0" fillId="2" borderId="12" xfId="0" applyFill="1" applyBorder="1"/>
    <xf numFmtId="9" fontId="0" fillId="0" borderId="0" xfId="0" applyNumberFormat="1"/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3" borderId="6" xfId="0" applyFill="1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8" borderId="13" xfId="0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0" fillId="8" borderId="15" xfId="0" applyFill="1" applyBorder="1" applyAlignment="1">
      <alignment horizontal="center" wrapText="1"/>
    </xf>
    <xf numFmtId="0" fontId="1" fillId="8" borderId="27" xfId="0" applyFont="1" applyFill="1" applyBorder="1" applyAlignment="1">
      <alignment horizontal="center" vertical="top"/>
    </xf>
    <xf numFmtId="0" fontId="1" fillId="8" borderId="28" xfId="0" applyFont="1" applyFill="1" applyBorder="1" applyAlignment="1">
      <alignment horizontal="center" vertical="top"/>
    </xf>
    <xf numFmtId="0" fontId="1" fillId="8" borderId="29" xfId="0" applyFont="1" applyFill="1" applyBorder="1" applyAlignment="1">
      <alignment horizontal="center" vertical="top"/>
    </xf>
    <xf numFmtId="0" fontId="1" fillId="8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/>
    </xf>
    <xf numFmtId="0" fontId="0" fillId="3" borderId="1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12" borderId="4" xfId="0" applyFill="1" applyBorder="1" applyAlignment="1">
      <alignment horizontal="center"/>
    </xf>
    <xf numFmtId="164" fontId="0" fillId="0" borderId="4" xfId="0" applyNumberFormat="1" applyBorder="1"/>
    <xf numFmtId="164" fontId="0" fillId="0" borderId="3" xfId="0" applyNumberFormat="1" applyBorder="1"/>
    <xf numFmtId="3" fontId="0" fillId="0" borderId="0" xfId="0" applyNumberForma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1" fillId="8" borderId="13" xfId="0" applyFont="1" applyFill="1" applyBorder="1" applyAlignment="1">
      <alignment wrapText="1"/>
    </xf>
    <xf numFmtId="0" fontId="1" fillId="8" borderId="14" xfId="0" applyFont="1" applyFill="1" applyBorder="1" applyAlignment="1">
      <alignment wrapText="1"/>
    </xf>
    <xf numFmtId="0" fontId="1" fillId="8" borderId="15" xfId="0" applyFont="1" applyFill="1" applyBorder="1" applyAlignment="1">
      <alignment wrapText="1"/>
    </xf>
    <xf numFmtId="0" fontId="0" fillId="12" borderId="12" xfId="0" applyFill="1" applyBorder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7" xfId="0" applyNumberFormat="1" applyBorder="1" applyAlignment="1">
      <alignment wrapText="1"/>
    </xf>
    <xf numFmtId="0" fontId="1" fillId="8" borderId="14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rcamentor.com/composicao/92747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unepu.com.br/docs/licitacoes/2018/tomada-de-precos-anexo-ii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orcamentor.com/composicao/1003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F16" sqref="F16"/>
    </sheetView>
  </sheetViews>
  <sheetFormatPr defaultRowHeight="15"/>
  <cols>
    <col min="1" max="1" width="30.85546875" bestFit="1" customWidth="1"/>
    <col min="2" max="2" width="7.85546875" bestFit="1" customWidth="1"/>
    <col min="3" max="3" width="5.42578125" bestFit="1" customWidth="1"/>
    <col min="4" max="4" width="8.140625" bestFit="1" customWidth="1"/>
    <col min="7" max="7" width="39.7109375" bestFit="1" customWidth="1"/>
    <col min="8" max="9" width="29" bestFit="1" customWidth="1"/>
    <col min="10" max="10" width="14.28515625" bestFit="1" customWidth="1"/>
  </cols>
  <sheetData>
    <row r="1" spans="1:11">
      <c r="A1" s="46" t="s">
        <v>0</v>
      </c>
      <c r="B1" s="50" t="s">
        <v>1</v>
      </c>
      <c r="C1" s="50" t="s">
        <v>2</v>
      </c>
      <c r="D1" s="47" t="s">
        <v>3</v>
      </c>
      <c r="H1" s="34" t="s">
        <v>4</v>
      </c>
      <c r="I1" s="39" t="s">
        <v>5</v>
      </c>
      <c r="J1" s="39" t="s">
        <v>6</v>
      </c>
      <c r="K1" s="35" t="s">
        <v>3</v>
      </c>
    </row>
    <row r="2" spans="1:11">
      <c r="A2" s="1" t="s">
        <v>7</v>
      </c>
      <c r="B2" t="s">
        <v>8</v>
      </c>
      <c r="C2">
        <v>40</v>
      </c>
      <c r="D2" s="2" t="s">
        <v>9</v>
      </c>
      <c r="H2" s="1" t="s">
        <v>10</v>
      </c>
      <c r="I2" t="s">
        <v>11</v>
      </c>
      <c r="J2">
        <f>0.5*C3*C2^2*C6</f>
        <v>4752</v>
      </c>
      <c r="K2" s="2" t="s">
        <v>12</v>
      </c>
    </row>
    <row r="3" spans="1:11">
      <c r="A3" s="1" t="s">
        <v>13</v>
      </c>
      <c r="B3" t="s">
        <v>14</v>
      </c>
      <c r="C3">
        <v>18</v>
      </c>
      <c r="D3" s="2" t="s">
        <v>15</v>
      </c>
      <c r="H3" s="1" t="s">
        <v>16</v>
      </c>
      <c r="I3" t="s">
        <v>17</v>
      </c>
      <c r="J3">
        <f>J2*C2/3</f>
        <v>63360</v>
      </c>
      <c r="K3" s="2" t="s">
        <v>18</v>
      </c>
    </row>
    <row r="4" spans="1:11">
      <c r="A4" s="1" t="s">
        <v>19</v>
      </c>
      <c r="B4" t="s">
        <v>20</v>
      </c>
      <c r="C4">
        <v>20</v>
      </c>
      <c r="D4" s="2" t="s">
        <v>15</v>
      </c>
      <c r="H4" s="1" t="s">
        <v>21</v>
      </c>
      <c r="I4" t="s">
        <v>22</v>
      </c>
      <c r="J4" s="6">
        <f>C4*C7*C2</f>
        <v>8000</v>
      </c>
      <c r="K4" s="2" t="s">
        <v>12</v>
      </c>
    </row>
    <row r="5" spans="1:11">
      <c r="A5" s="1" t="s">
        <v>23</v>
      </c>
      <c r="B5" t="s">
        <v>24</v>
      </c>
      <c r="C5">
        <v>30</v>
      </c>
      <c r="D5" s="2" t="s">
        <v>25</v>
      </c>
      <c r="H5" s="1" t="s">
        <v>26</v>
      </c>
      <c r="I5" t="s">
        <v>27</v>
      </c>
      <c r="J5" s="6">
        <f>J4*C7/2</f>
        <v>40000</v>
      </c>
      <c r="K5" s="2" t="s">
        <v>18</v>
      </c>
    </row>
    <row r="6" spans="1:11">
      <c r="A6" s="1" t="s">
        <v>28</v>
      </c>
      <c r="B6" t="s">
        <v>29</v>
      </c>
      <c r="C6">
        <v>0.33</v>
      </c>
      <c r="D6" s="2" t="s">
        <v>30</v>
      </c>
      <c r="E6" t="s">
        <v>31</v>
      </c>
      <c r="H6" s="1" t="s">
        <v>32</v>
      </c>
      <c r="I6" t="s">
        <v>33</v>
      </c>
      <c r="J6">
        <f>J5/J3</f>
        <v>0.63131313131313127</v>
      </c>
      <c r="K6" s="2" t="s">
        <v>30</v>
      </c>
    </row>
    <row r="7" spans="1:11" ht="15.75" thickBot="1">
      <c r="A7" s="3" t="s">
        <v>34</v>
      </c>
      <c r="B7" s="4" t="s">
        <v>35</v>
      </c>
      <c r="C7" s="4">
        <v>10</v>
      </c>
      <c r="D7" s="5" t="s">
        <v>9</v>
      </c>
      <c r="H7" s="1" t="s">
        <v>36</v>
      </c>
      <c r="I7" t="s">
        <v>37</v>
      </c>
      <c r="J7">
        <f>J5*TAN(RADIANS(C5))</f>
        <v>23094.01076758503</v>
      </c>
      <c r="K7" s="2" t="s">
        <v>38</v>
      </c>
    </row>
    <row r="8" spans="1:11" ht="15.75" thickBot="1">
      <c r="H8" s="3" t="s">
        <v>39</v>
      </c>
      <c r="I8" s="4" t="s">
        <v>40</v>
      </c>
      <c r="J8" s="4">
        <f>J7/J2</f>
        <v>4.8598507507544255</v>
      </c>
      <c r="K8" s="5" t="s">
        <v>30</v>
      </c>
    </row>
    <row r="9" spans="1:11">
      <c r="A9" s="11" t="s">
        <v>41</v>
      </c>
    </row>
    <row r="10" spans="1:11">
      <c r="A10" s="7"/>
    </row>
    <row r="11" spans="1:11">
      <c r="A11" s="12" t="s">
        <v>42</v>
      </c>
      <c r="B11" s="8"/>
      <c r="C11" s="8"/>
      <c r="D11" s="8"/>
      <c r="G11" s="8"/>
      <c r="H11" s="8"/>
      <c r="I11" s="8"/>
      <c r="J11" s="8"/>
    </row>
    <row r="12" spans="1:11">
      <c r="A12" s="9"/>
      <c r="B12" s="10"/>
      <c r="C12" s="9"/>
      <c r="D12" s="9"/>
      <c r="G12" s="9"/>
      <c r="H12" s="10"/>
      <c r="I12" s="9"/>
      <c r="J12" s="9"/>
    </row>
    <row r="13" spans="1:11">
      <c r="A13" s="7"/>
      <c r="B13" s="7"/>
      <c r="C13" s="7"/>
      <c r="D13" s="7"/>
      <c r="G13" s="56" t="s">
        <v>43</v>
      </c>
    </row>
    <row r="14" spans="1:11">
      <c r="A14" s="53"/>
      <c r="B14" s="53"/>
      <c r="C14" s="51"/>
      <c r="D14" s="51"/>
      <c r="G14" s="8"/>
      <c r="H14" s="8"/>
      <c r="I14" s="8"/>
      <c r="J14" s="8"/>
    </row>
    <row r="15" spans="1:11">
      <c r="A15" s="7"/>
      <c r="B15" s="7"/>
      <c r="C15" s="52"/>
      <c r="D15" s="52"/>
      <c r="G15" s="9"/>
      <c r="H15" s="10"/>
      <c r="I15" s="9"/>
      <c r="J15" s="9"/>
    </row>
    <row r="16" spans="1:11">
      <c r="A16" s="7"/>
      <c r="B16" s="7"/>
      <c r="C16" s="7"/>
      <c r="D16" s="7"/>
    </row>
    <row r="17" spans="1:10">
      <c r="A17" s="7"/>
      <c r="B17" s="54"/>
      <c r="C17" s="51"/>
      <c r="D17" s="51"/>
      <c r="G17" s="8"/>
      <c r="H17" s="8"/>
      <c r="I17" s="8"/>
      <c r="J17" s="8"/>
    </row>
    <row r="18" spans="1:10">
      <c r="A18" s="7"/>
      <c r="B18" s="7"/>
      <c r="C18" s="52"/>
      <c r="D18" s="52"/>
      <c r="G18" s="9"/>
      <c r="H18" s="10"/>
      <c r="I18" s="9"/>
      <c r="J18" s="9"/>
    </row>
    <row r="19" spans="1:10">
      <c r="A19" s="7"/>
      <c r="B19" s="7"/>
      <c r="C19" s="7"/>
      <c r="D19" s="7"/>
    </row>
    <row r="20" spans="1:10">
      <c r="A20" s="7"/>
      <c r="B20" s="7"/>
      <c r="C20" s="51"/>
      <c r="D20" s="51"/>
    </row>
    <row r="21" spans="1:10">
      <c r="A21" s="7"/>
      <c r="B21" s="7"/>
      <c r="C21" s="52"/>
      <c r="D21" s="52"/>
    </row>
    <row r="22" spans="1:10">
      <c r="A22" s="7"/>
      <c r="B22" s="7"/>
      <c r="C22" s="7"/>
      <c r="D22" s="7"/>
    </row>
    <row r="23" spans="1:10">
      <c r="A23" s="7"/>
      <c r="B23" s="7"/>
      <c r="C23" s="7"/>
      <c r="D2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2B4A4-8F98-4C54-8507-48CC84660B92}">
  <dimension ref="A1:J29"/>
  <sheetViews>
    <sheetView workbookViewId="0">
      <selection activeCell="B4" sqref="B4"/>
    </sheetView>
  </sheetViews>
  <sheetFormatPr defaultRowHeight="15"/>
  <cols>
    <col min="1" max="1" width="25.85546875" bestFit="1" customWidth="1"/>
    <col min="2" max="2" width="15.5703125" bestFit="1" customWidth="1"/>
    <col min="3" max="3" width="10.85546875" bestFit="1" customWidth="1"/>
    <col min="4" max="4" width="25.28515625" bestFit="1" customWidth="1"/>
    <col min="5" max="5" width="14.42578125" bestFit="1" customWidth="1"/>
    <col min="6" max="6" width="22.85546875" customWidth="1"/>
    <col min="7" max="7" width="25.42578125" bestFit="1" customWidth="1"/>
    <col min="8" max="8" width="20.140625" bestFit="1" customWidth="1"/>
    <col min="9" max="9" width="16.42578125" bestFit="1" customWidth="1"/>
    <col min="10" max="10" width="16.5703125" bestFit="1" customWidth="1"/>
    <col min="11" max="11" width="20.140625" bestFit="1" customWidth="1"/>
  </cols>
  <sheetData>
    <row r="1" spans="1:10">
      <c r="A1" s="48" t="s">
        <v>0</v>
      </c>
      <c r="B1" s="49" t="s">
        <v>5</v>
      </c>
      <c r="D1" s="40" t="s">
        <v>44</v>
      </c>
      <c r="E1" s="41" t="s">
        <v>3</v>
      </c>
      <c r="F1" s="41" t="s">
        <v>45</v>
      </c>
      <c r="G1" s="41" t="s">
        <v>46</v>
      </c>
      <c r="H1" s="42" t="s">
        <v>47</v>
      </c>
    </row>
    <row r="2" spans="1:10">
      <c r="A2" s="1" t="s">
        <v>48</v>
      </c>
      <c r="B2" s="75">
        <v>1</v>
      </c>
      <c r="D2" s="96" t="s">
        <v>49</v>
      </c>
      <c r="E2" s="43" t="s">
        <v>50</v>
      </c>
      <c r="F2" s="44">
        <f>B6</f>
        <v>1.3</v>
      </c>
      <c r="G2">
        <f>C13</f>
        <v>65.45</v>
      </c>
      <c r="H2" s="76">
        <f>F2*G2</f>
        <v>85.085000000000008</v>
      </c>
    </row>
    <row r="3" spans="1:10">
      <c r="A3" s="1" t="s">
        <v>51</v>
      </c>
      <c r="B3" s="75">
        <v>2</v>
      </c>
      <c r="D3" s="1" t="s">
        <v>52</v>
      </c>
      <c r="E3" t="s">
        <v>53</v>
      </c>
      <c r="F3">
        <f>B7</f>
        <v>1</v>
      </c>
      <c r="G3">
        <f>C14</f>
        <v>205.44</v>
      </c>
      <c r="H3" s="76">
        <f>F3*G3</f>
        <v>205.44</v>
      </c>
    </row>
    <row r="4" spans="1:10">
      <c r="A4" s="1" t="s">
        <v>54</v>
      </c>
      <c r="B4" s="45">
        <f>B2*0.5</f>
        <v>0.5</v>
      </c>
      <c r="D4" s="1" t="s">
        <v>55</v>
      </c>
      <c r="E4" t="s">
        <v>53</v>
      </c>
      <c r="F4">
        <f>B8</f>
        <v>6</v>
      </c>
      <c r="G4" s="7">
        <v>26.15</v>
      </c>
      <c r="H4" s="76">
        <f>F4*G4</f>
        <v>156.89999999999998</v>
      </c>
    </row>
    <row r="5" spans="1:10" ht="15.75" thickBot="1">
      <c r="A5" s="1" t="s">
        <v>56</v>
      </c>
      <c r="B5" s="2">
        <f>B2*B3*B4</f>
        <v>1</v>
      </c>
      <c r="C5" t="s">
        <v>57</v>
      </c>
      <c r="D5" s="3" t="s">
        <v>58</v>
      </c>
      <c r="E5" s="4" t="s">
        <v>53</v>
      </c>
      <c r="F5" s="4">
        <v>1</v>
      </c>
      <c r="G5" s="4">
        <f>C12</f>
        <v>41.25</v>
      </c>
      <c r="H5" s="78">
        <f>F5*G5</f>
        <v>41.25</v>
      </c>
    </row>
    <row r="6" spans="1:10">
      <c r="A6" s="1" t="s">
        <v>59</v>
      </c>
      <c r="B6" s="2">
        <f>1.3*B5</f>
        <v>1.3</v>
      </c>
    </row>
    <row r="7" spans="1:10">
      <c r="A7" s="1" t="s">
        <v>60</v>
      </c>
      <c r="B7" s="98">
        <f>(B2*B3)/2</f>
        <v>1</v>
      </c>
      <c r="C7" t="s">
        <v>61</v>
      </c>
    </row>
    <row r="8" spans="1:10" ht="15.75" thickBot="1">
      <c r="A8" s="1" t="s">
        <v>62</v>
      </c>
      <c r="B8" s="2">
        <f>6*B5</f>
        <v>6</v>
      </c>
    </row>
    <row r="9" spans="1:10" ht="15.75" thickBot="1">
      <c r="A9" s="3" t="s">
        <v>63</v>
      </c>
      <c r="B9" s="5">
        <v>10</v>
      </c>
      <c r="G9" s="34" t="s">
        <v>64</v>
      </c>
      <c r="H9" s="35" t="s">
        <v>65</v>
      </c>
    </row>
    <row r="10" spans="1:10" ht="15.75" thickBot="1">
      <c r="D10" s="13"/>
      <c r="G10" s="1" t="s">
        <v>66</v>
      </c>
      <c r="H10" s="76">
        <f>SUM(H2+H3)</f>
        <v>290.52499999999998</v>
      </c>
    </row>
    <row r="11" spans="1:10" ht="15.75" thickBot="1">
      <c r="A11" s="36" t="s">
        <v>44</v>
      </c>
      <c r="B11" s="37" t="s">
        <v>67</v>
      </c>
      <c r="C11" s="38" t="s">
        <v>2</v>
      </c>
      <c r="D11" s="13"/>
      <c r="G11" s="1" t="s">
        <v>68</v>
      </c>
      <c r="H11" s="76">
        <f>SUM(C15+C16)</f>
        <v>201.35999999999999</v>
      </c>
    </row>
    <row r="12" spans="1:10">
      <c r="A12" s="15" t="s">
        <v>58</v>
      </c>
      <c r="B12" s="16">
        <v>96619</v>
      </c>
      <c r="C12" s="79">
        <v>41.25</v>
      </c>
      <c r="G12" s="1" t="s">
        <v>69</v>
      </c>
      <c r="H12" s="76">
        <f>C17+C18</f>
        <v>307.01</v>
      </c>
      <c r="J12" s="83"/>
    </row>
    <row r="13" spans="1:10">
      <c r="A13" s="17" t="s">
        <v>70</v>
      </c>
      <c r="B13" s="18">
        <v>4037</v>
      </c>
      <c r="C13" s="80">
        <v>65.45</v>
      </c>
      <c r="E13" s="83">
        <f>C15+C16</f>
        <v>201.35999999999999</v>
      </c>
      <c r="G13" s="1" t="s">
        <v>71</v>
      </c>
      <c r="H13" s="76">
        <f>(H10+H11+H12)*0.2</f>
        <v>159.779</v>
      </c>
    </row>
    <row r="14" spans="1:10" ht="15.75" thickBot="1">
      <c r="A14" s="17" t="s">
        <v>72</v>
      </c>
      <c r="B14" s="18">
        <v>3309</v>
      </c>
      <c r="C14" s="80">
        <v>205.44</v>
      </c>
      <c r="G14" s="55" t="s">
        <v>73</v>
      </c>
      <c r="H14" s="77">
        <f>SUM(H10:H13)</f>
        <v>958.67399999999998</v>
      </c>
    </row>
    <row r="15" spans="1:10">
      <c r="A15" s="1" t="s">
        <v>74</v>
      </c>
      <c r="B15" s="19">
        <v>88309</v>
      </c>
      <c r="C15" s="81">
        <v>140.57</v>
      </c>
    </row>
    <row r="16" spans="1:10">
      <c r="A16" s="1" t="s">
        <v>75</v>
      </c>
      <c r="B16" s="19">
        <v>88316</v>
      </c>
      <c r="C16" s="82">
        <v>60.79</v>
      </c>
    </row>
    <row r="17" spans="1:8">
      <c r="A17" s="1" t="s">
        <v>76</v>
      </c>
      <c r="B17" s="19">
        <v>5632</v>
      </c>
      <c r="C17" s="81">
        <v>93.79</v>
      </c>
    </row>
    <row r="18" spans="1:8">
      <c r="A18" s="1" t="s">
        <v>76</v>
      </c>
      <c r="B18" s="19">
        <v>5631</v>
      </c>
      <c r="C18" s="81">
        <v>213.22</v>
      </c>
      <c r="G18" s="7"/>
    </row>
    <row r="19" spans="1:8">
      <c r="A19" s="1" t="s">
        <v>62</v>
      </c>
      <c r="B19" s="19">
        <v>4018</v>
      </c>
      <c r="C19" s="81">
        <v>26.15</v>
      </c>
    </row>
    <row r="20" spans="1:8" ht="15.75" thickBot="1">
      <c r="A20" s="3" t="s">
        <v>77</v>
      </c>
      <c r="B20" s="4" t="s">
        <v>78</v>
      </c>
      <c r="C20" s="78" t="s">
        <v>78</v>
      </c>
      <c r="F20" t="s">
        <v>79</v>
      </c>
      <c r="H20" s="53"/>
    </row>
    <row r="21" spans="1:8" ht="15.75" thickBot="1">
      <c r="D21" s="32" t="s">
        <v>46</v>
      </c>
      <c r="E21" s="33" t="s">
        <v>65</v>
      </c>
    </row>
    <row r="22" spans="1:8" ht="15.75" thickBot="1">
      <c r="A22" s="31" t="s">
        <v>64</v>
      </c>
      <c r="B22" s="32" t="s">
        <v>3</v>
      </c>
      <c r="C22" s="32" t="s">
        <v>80</v>
      </c>
      <c r="D22" s="29">
        <v>65.45</v>
      </c>
      <c r="E22" s="30">
        <f t="shared" ref="E22:E28" si="0">C23*D22</f>
        <v>6545</v>
      </c>
    </row>
    <row r="23" spans="1:8">
      <c r="A23" s="27" t="s">
        <v>81</v>
      </c>
      <c r="B23" s="28" t="s">
        <v>50</v>
      </c>
      <c r="C23" s="28">
        <v>100</v>
      </c>
      <c r="D23" s="21">
        <v>205.44</v>
      </c>
      <c r="E23" s="23">
        <f t="shared" si="0"/>
        <v>41088</v>
      </c>
      <c r="F23" s="14" t="s">
        <v>82</v>
      </c>
    </row>
    <row r="24" spans="1:8">
      <c r="A24" s="22" t="s">
        <v>83</v>
      </c>
      <c r="B24" s="20" t="s">
        <v>53</v>
      </c>
      <c r="C24" s="20">
        <v>200</v>
      </c>
      <c r="D24" s="21">
        <v>41.25</v>
      </c>
      <c r="E24" s="23">
        <f t="shared" si="0"/>
        <v>1237.5</v>
      </c>
    </row>
    <row r="25" spans="1:8">
      <c r="A25" s="22" t="s">
        <v>84</v>
      </c>
      <c r="B25" s="20" t="s">
        <v>50</v>
      </c>
      <c r="C25" s="20">
        <v>30</v>
      </c>
      <c r="D25" s="21">
        <v>140.57</v>
      </c>
      <c r="E25" s="23">
        <f t="shared" si="0"/>
        <v>28114</v>
      </c>
      <c r="F25" t="s">
        <v>85</v>
      </c>
    </row>
    <row r="26" spans="1:8">
      <c r="A26" s="22" t="s">
        <v>74</v>
      </c>
      <c r="B26" s="20" t="s">
        <v>53</v>
      </c>
      <c r="C26" s="20">
        <v>200</v>
      </c>
      <c r="D26" s="21">
        <v>60.79</v>
      </c>
      <c r="E26" s="23">
        <f t="shared" si="0"/>
        <v>1215.8</v>
      </c>
    </row>
    <row r="27" spans="1:8">
      <c r="A27" s="22" t="s">
        <v>75</v>
      </c>
      <c r="B27" s="20" t="s">
        <v>50</v>
      </c>
      <c r="C27" s="20">
        <v>20</v>
      </c>
      <c r="D27" s="21">
        <f>SUM(C17+C18)</f>
        <v>307.01</v>
      </c>
      <c r="E27" s="23">
        <f t="shared" si="0"/>
        <v>9210.2999999999993</v>
      </c>
    </row>
    <row r="28" spans="1:8" ht="15.75" thickBot="1">
      <c r="A28" s="22" t="s">
        <v>76</v>
      </c>
      <c r="B28" s="20" t="s">
        <v>86</v>
      </c>
      <c r="C28" s="20">
        <v>30</v>
      </c>
      <c r="D28" s="97">
        <v>250</v>
      </c>
      <c r="E28" s="26">
        <f t="shared" si="0"/>
        <v>1250</v>
      </c>
    </row>
    <row r="29" spans="1:8" ht="15.75" thickBot="1">
      <c r="A29" s="24" t="s">
        <v>77</v>
      </c>
      <c r="B29" s="25" t="s">
        <v>87</v>
      </c>
      <c r="C29" s="25">
        <v>5</v>
      </c>
    </row>
  </sheetData>
  <hyperlinks>
    <hyperlink ref="F23" r:id="rId1" xr:uid="{B46DDFB8-0A9C-42AE-A086-337643B08A87}"/>
  </hyperlinks>
  <pageMargins left="0.511811024" right="0.511811024" top="0.78740157499999996" bottom="0.78740157499999996" header="0.31496062000000002" footer="0.31496062000000002"/>
  <pageSetup paperSize="9"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9B04-E845-4E93-8A64-F2F53A4DD776}">
  <dimension ref="A1:L19"/>
  <sheetViews>
    <sheetView zoomScale="90" zoomScaleNormal="90" workbookViewId="0">
      <selection activeCell="I5" sqref="I5"/>
    </sheetView>
  </sheetViews>
  <sheetFormatPr defaultRowHeight="15"/>
  <cols>
    <col min="1" max="1" width="49.28515625" customWidth="1"/>
    <col min="2" max="2" width="7.28515625" bestFit="1" customWidth="1"/>
    <col min="7" max="7" width="35.28515625" bestFit="1" customWidth="1"/>
    <col min="8" max="8" width="15.85546875" bestFit="1" customWidth="1"/>
    <col min="9" max="9" width="16" bestFit="1" customWidth="1"/>
    <col min="11" max="11" width="16.7109375" bestFit="1" customWidth="1"/>
    <col min="12" max="12" width="16.28515625" bestFit="1" customWidth="1"/>
  </cols>
  <sheetData>
    <row r="1" spans="1:12">
      <c r="A1" s="63" t="s">
        <v>88</v>
      </c>
      <c r="B1" s="59" t="s">
        <v>89</v>
      </c>
      <c r="G1" s="57" t="s">
        <v>44</v>
      </c>
      <c r="H1" s="60" t="s">
        <v>90</v>
      </c>
      <c r="I1" s="60" t="s">
        <v>91</v>
      </c>
      <c r="J1" s="60" t="s">
        <v>3</v>
      </c>
      <c r="K1" s="60" t="s">
        <v>92</v>
      </c>
      <c r="L1" s="61" t="s">
        <v>93</v>
      </c>
    </row>
    <row r="2" spans="1:12">
      <c r="A2" s="1" t="s">
        <v>94</v>
      </c>
      <c r="B2" s="66">
        <v>30</v>
      </c>
      <c r="G2" s="1" t="s">
        <v>95</v>
      </c>
      <c r="H2">
        <v>5680</v>
      </c>
      <c r="I2">
        <f>B14</f>
        <v>75000</v>
      </c>
      <c r="J2" t="s">
        <v>50</v>
      </c>
      <c r="K2" s="83">
        <v>89.17</v>
      </c>
      <c r="L2" s="76">
        <f>B11*K2</f>
        <v>8025300</v>
      </c>
    </row>
    <row r="3" spans="1:12">
      <c r="A3" s="1" t="s">
        <v>96</v>
      </c>
      <c r="B3" s="66">
        <v>100</v>
      </c>
      <c r="G3" s="1" t="s">
        <v>97</v>
      </c>
      <c r="I3">
        <f>B14</f>
        <v>75000</v>
      </c>
      <c r="J3" t="s">
        <v>50</v>
      </c>
      <c r="K3" s="84">
        <v>15.53</v>
      </c>
      <c r="L3" s="76">
        <f>I3*K3</f>
        <v>1164750</v>
      </c>
    </row>
    <row r="4" spans="1:12">
      <c r="A4" s="1" t="s">
        <v>98</v>
      </c>
      <c r="B4" s="2">
        <f>B2*B3</f>
        <v>3000</v>
      </c>
      <c r="G4" s="1" t="s">
        <v>99</v>
      </c>
      <c r="K4" s="83"/>
      <c r="L4" s="76"/>
    </row>
    <row r="5" spans="1:12" ht="15.75" thickBot="1">
      <c r="A5" s="3" t="s">
        <v>100</v>
      </c>
      <c r="B5" s="64">
        <v>2</v>
      </c>
      <c r="C5" t="s">
        <v>101</v>
      </c>
      <c r="G5" s="3" t="s">
        <v>102</v>
      </c>
      <c r="H5" s="73" t="s">
        <v>103</v>
      </c>
      <c r="I5" s="74">
        <v>5</v>
      </c>
      <c r="J5" s="4" t="s">
        <v>104</v>
      </c>
      <c r="K5" s="85">
        <v>200</v>
      </c>
      <c r="L5" s="78">
        <f>I5*K5</f>
        <v>1000</v>
      </c>
    </row>
    <row r="6" spans="1:12" ht="15.75" thickBot="1"/>
    <row r="7" spans="1:12">
      <c r="A7" s="58" t="s">
        <v>105</v>
      </c>
      <c r="B7" s="59" t="s">
        <v>89</v>
      </c>
    </row>
    <row r="8" spans="1:12">
      <c r="A8" s="1" t="s">
        <v>106</v>
      </c>
      <c r="B8" s="2">
        <f>B2*B5</f>
        <v>60</v>
      </c>
      <c r="C8" t="s">
        <v>107</v>
      </c>
    </row>
    <row r="9" spans="1:12" ht="15.75" thickBot="1">
      <c r="A9" s="3" t="s">
        <v>108</v>
      </c>
      <c r="B9" s="65">
        <v>10</v>
      </c>
    </row>
    <row r="10" spans="1:12" ht="15.75" thickBot="1"/>
    <row r="11" spans="1:12">
      <c r="A11" s="67" t="s">
        <v>109</v>
      </c>
      <c r="B11" s="68">
        <f>0.5*B8*B2*B3</f>
        <v>90000</v>
      </c>
      <c r="G11" s="57" t="s">
        <v>44</v>
      </c>
      <c r="H11" s="60" t="s">
        <v>110</v>
      </c>
      <c r="I11" s="60" t="s">
        <v>111</v>
      </c>
      <c r="J11" s="60" t="s">
        <v>3</v>
      </c>
      <c r="K11" s="60" t="s">
        <v>92</v>
      </c>
      <c r="L11" s="61" t="s">
        <v>93</v>
      </c>
    </row>
    <row r="12" spans="1:12">
      <c r="A12" s="69" t="s">
        <v>112</v>
      </c>
      <c r="B12" s="70">
        <f>0.5*B8*B2</f>
        <v>900</v>
      </c>
      <c r="C12" t="s">
        <v>113</v>
      </c>
      <c r="G12" s="1" t="s">
        <v>114</v>
      </c>
      <c r="H12">
        <v>5502139</v>
      </c>
      <c r="I12">
        <f>B14</f>
        <v>75000</v>
      </c>
      <c r="J12" t="s">
        <v>50</v>
      </c>
      <c r="K12" s="83">
        <v>4.88</v>
      </c>
      <c r="L12" s="76">
        <f>I12*K12</f>
        <v>366000</v>
      </c>
    </row>
    <row r="13" spans="1:12">
      <c r="A13" s="69" t="s">
        <v>115</v>
      </c>
      <c r="B13" s="70">
        <f>0.5*B9*B2</f>
        <v>150</v>
      </c>
      <c r="C13" t="s">
        <v>116</v>
      </c>
      <c r="G13" s="1" t="s">
        <v>71</v>
      </c>
      <c r="K13" s="83"/>
      <c r="L13" s="76">
        <f>(L12+L14+L15)*0.2</f>
        <v>315300</v>
      </c>
    </row>
    <row r="14" spans="1:12" ht="15.75" thickBot="1">
      <c r="A14" s="72" t="s">
        <v>117</v>
      </c>
      <c r="B14" s="71">
        <f>(B12-B13)*B3</f>
        <v>75000</v>
      </c>
      <c r="C14" t="s">
        <v>118</v>
      </c>
      <c r="G14" s="1" t="s">
        <v>119</v>
      </c>
      <c r="H14">
        <v>5502381</v>
      </c>
      <c r="I14">
        <f>B14</f>
        <v>75000</v>
      </c>
      <c r="J14" t="s">
        <v>50</v>
      </c>
      <c r="K14" s="83">
        <v>10.65</v>
      </c>
      <c r="L14" s="76">
        <f>I14*K14</f>
        <v>798750</v>
      </c>
    </row>
    <row r="15" spans="1:12" ht="15.75" thickBot="1">
      <c r="G15" s="3" t="s">
        <v>120</v>
      </c>
      <c r="H15" s="62">
        <v>4413928</v>
      </c>
      <c r="I15" s="4">
        <f>B14</f>
        <v>75000</v>
      </c>
      <c r="J15" s="4" t="s">
        <v>50</v>
      </c>
      <c r="K15" s="85">
        <v>5.49</v>
      </c>
      <c r="L15" s="78">
        <f>I15*K15</f>
        <v>411750</v>
      </c>
    </row>
    <row r="16" spans="1:12">
      <c r="L16" s="83">
        <f>L12+L14+L15+L13</f>
        <v>1891800</v>
      </c>
    </row>
    <row r="18" spans="1:7">
      <c r="G18" s="11" t="s">
        <v>121</v>
      </c>
    </row>
    <row r="19" spans="1:7">
      <c r="A19" s="14" t="s">
        <v>122</v>
      </c>
      <c r="G19" s="11" t="s">
        <v>123</v>
      </c>
    </row>
  </sheetData>
  <hyperlinks>
    <hyperlink ref="A19" r:id="rId1" xr:uid="{8DBEC2B0-124A-4F87-9DB8-EC968CE87702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3D5D3-67CE-4197-B216-34ED29B74235}">
  <dimension ref="A1:Q22"/>
  <sheetViews>
    <sheetView workbookViewId="0">
      <selection activeCell="C8" sqref="C8"/>
    </sheetView>
  </sheetViews>
  <sheetFormatPr defaultRowHeight="15"/>
  <cols>
    <col min="1" max="1" width="13.42578125" bestFit="1" customWidth="1"/>
    <col min="5" max="5" width="30.28515625" bestFit="1" customWidth="1"/>
    <col min="6" max="6" width="7" bestFit="1" customWidth="1"/>
    <col min="7" max="7" width="12.42578125" bestFit="1" customWidth="1"/>
    <col min="8" max="8" width="10.42578125" bestFit="1" customWidth="1"/>
    <col min="9" max="9" width="8.7109375" bestFit="1" customWidth="1"/>
    <col min="10" max="10" width="10" bestFit="1" customWidth="1"/>
    <col min="15" max="15" width="17.7109375" bestFit="1" customWidth="1"/>
    <col min="16" max="16" width="14.42578125" bestFit="1" customWidth="1"/>
  </cols>
  <sheetData>
    <row r="1" spans="1:17" ht="19.5" thickBot="1">
      <c r="A1" s="87" t="s">
        <v>124</v>
      </c>
    </row>
    <row r="2" spans="1:17" ht="15.75" thickBot="1">
      <c r="E2" s="40" t="s">
        <v>66</v>
      </c>
      <c r="F2" s="41" t="s">
        <v>125</v>
      </c>
      <c r="G2" s="41" t="s">
        <v>126</v>
      </c>
      <c r="H2" s="41" t="s">
        <v>80</v>
      </c>
      <c r="I2" s="41" t="s">
        <v>3</v>
      </c>
      <c r="J2" s="42" t="s">
        <v>127</v>
      </c>
    </row>
    <row r="3" spans="1:17" ht="15.75" thickBot="1">
      <c r="E3" s="88" t="s">
        <v>128</v>
      </c>
      <c r="F3" s="89">
        <v>89994</v>
      </c>
      <c r="G3" s="89">
        <v>846.43</v>
      </c>
      <c r="H3" s="89">
        <f>0.01*($C$6/1.5)</f>
        <v>0.01</v>
      </c>
      <c r="I3" s="89" t="s">
        <v>50</v>
      </c>
      <c r="J3" s="94">
        <f>(G3*H3)*C7</f>
        <v>8.4642999999999997</v>
      </c>
      <c r="K3" t="s">
        <v>129</v>
      </c>
    </row>
    <row r="4" spans="1:17" ht="15.75" thickBot="1">
      <c r="E4" s="1" t="s">
        <v>130</v>
      </c>
      <c r="F4">
        <v>89995</v>
      </c>
      <c r="G4">
        <v>982.65</v>
      </c>
      <c r="H4">
        <f>0.01*($C$6/1.5)</f>
        <v>0.01</v>
      </c>
      <c r="I4" t="s">
        <v>50</v>
      </c>
      <c r="J4" s="76">
        <f>(G4*H4)*C7</f>
        <v>9.8264999999999993</v>
      </c>
      <c r="O4" s="34" t="s">
        <v>64</v>
      </c>
      <c r="P4" s="35" t="s">
        <v>65</v>
      </c>
    </row>
    <row r="5" spans="1:17" ht="15.75" thickBot="1">
      <c r="A5" s="91" t="s">
        <v>0</v>
      </c>
      <c r="B5" s="92" t="s">
        <v>131</v>
      </c>
      <c r="C5" s="93" t="s">
        <v>89</v>
      </c>
      <c r="E5" s="1" t="s">
        <v>132</v>
      </c>
      <c r="F5">
        <v>89993</v>
      </c>
      <c r="G5">
        <v>1029.47</v>
      </c>
      <c r="H5">
        <f>0.0342*($C$6/1.5)</f>
        <v>3.4200000000000001E-2</v>
      </c>
      <c r="I5" t="s">
        <v>50</v>
      </c>
      <c r="J5" s="76">
        <f>(G5*H5)*C7</f>
        <v>35.207874000000004</v>
      </c>
      <c r="O5" s="1" t="s">
        <v>66</v>
      </c>
      <c r="P5" s="76">
        <f>J3+J4+J5+J8+J9+J10+J11+J12+J13</f>
        <v>258.43882600000001</v>
      </c>
    </row>
    <row r="6" spans="1:17">
      <c r="A6" s="1" t="s">
        <v>133</v>
      </c>
      <c r="B6" t="s">
        <v>9</v>
      </c>
      <c r="C6" s="90">
        <v>1.5</v>
      </c>
      <c r="E6" s="1" t="s">
        <v>134</v>
      </c>
      <c r="F6">
        <v>88316</v>
      </c>
      <c r="G6">
        <v>29.05</v>
      </c>
      <c r="H6">
        <f>0.83*($C$6/1.5)</f>
        <v>0.83</v>
      </c>
      <c r="I6" t="s">
        <v>135</v>
      </c>
      <c r="J6" s="76">
        <f>G6*H6</f>
        <v>24.111499999999999</v>
      </c>
      <c r="O6" s="1" t="s">
        <v>136</v>
      </c>
      <c r="P6" s="76">
        <f>J6+J7</f>
        <v>61.172972000000001</v>
      </c>
    </row>
    <row r="7" spans="1:17">
      <c r="A7" s="1" t="s">
        <v>137</v>
      </c>
      <c r="B7" t="s">
        <v>9</v>
      </c>
      <c r="C7" s="90">
        <v>1</v>
      </c>
      <c r="E7" s="1" t="s">
        <v>138</v>
      </c>
      <c r="F7">
        <v>88309</v>
      </c>
      <c r="G7">
        <v>33.68</v>
      </c>
      <c r="H7">
        <f>1.1004*($C$6/1.5)</f>
        <v>1.1004</v>
      </c>
      <c r="I7" t="s">
        <v>135</v>
      </c>
      <c r="J7" s="76">
        <f>G7*H7</f>
        <v>37.061472000000002</v>
      </c>
      <c r="O7" s="1" t="s">
        <v>69</v>
      </c>
      <c r="P7" s="95">
        <f>J13</f>
        <v>11.765256000000001</v>
      </c>
    </row>
    <row r="8" spans="1:17">
      <c r="A8" s="1" t="s">
        <v>139</v>
      </c>
      <c r="B8" t="s">
        <v>9</v>
      </c>
      <c r="C8" s="2">
        <f>0.5*C6</f>
        <v>0.75</v>
      </c>
      <c r="E8" s="1" t="s">
        <v>140</v>
      </c>
      <c r="F8">
        <v>89997</v>
      </c>
      <c r="G8">
        <v>8.7799999999999994</v>
      </c>
      <c r="H8">
        <f>8.883*($C$6/1.5)</f>
        <v>8.8829999999999991</v>
      </c>
      <c r="I8" t="s">
        <v>141</v>
      </c>
      <c r="J8" s="76">
        <f>G8*H8*C7</f>
        <v>77.992739999999984</v>
      </c>
      <c r="O8" s="1" t="s">
        <v>71</v>
      </c>
      <c r="P8" s="76">
        <f>(P5+P6+P7)*0.2</f>
        <v>66.275410800000017</v>
      </c>
    </row>
    <row r="9" spans="1:17" ht="15.75" thickBot="1">
      <c r="A9" s="1" t="s">
        <v>142</v>
      </c>
      <c r="B9" t="s">
        <v>9</v>
      </c>
      <c r="C9" s="2">
        <f>C8*0.25</f>
        <v>0.1875</v>
      </c>
      <c r="E9" s="1" t="s">
        <v>143</v>
      </c>
      <c r="F9">
        <v>102920</v>
      </c>
      <c r="G9">
        <v>8.27</v>
      </c>
      <c r="H9">
        <f>1.1962*($C$6/1.5)</f>
        <v>1.1961999999999999</v>
      </c>
      <c r="I9" t="s">
        <v>141</v>
      </c>
      <c r="J9" s="76">
        <f>G9*H9*C7</f>
        <v>9.8925739999999998</v>
      </c>
      <c r="O9" s="55" t="s">
        <v>73</v>
      </c>
      <c r="P9" s="77">
        <f>P5+P6+P7+P8</f>
        <v>397.65246480000008</v>
      </c>
      <c r="Q9" t="s">
        <v>53</v>
      </c>
    </row>
    <row r="10" spans="1:17" ht="15.75" thickBot="1">
      <c r="A10" s="3" t="s">
        <v>144</v>
      </c>
      <c r="B10" s="4" t="s">
        <v>9</v>
      </c>
      <c r="C10" s="5">
        <f>C8</f>
        <v>0.75</v>
      </c>
      <c r="E10" s="1" t="s">
        <v>145</v>
      </c>
      <c r="F10">
        <v>9841</v>
      </c>
      <c r="G10">
        <v>28.3</v>
      </c>
      <c r="H10">
        <f>0.2009*($C$6/1.5)</f>
        <v>0.2009</v>
      </c>
      <c r="I10" t="s">
        <v>50</v>
      </c>
      <c r="J10" s="76">
        <f>G10*H10*C7</f>
        <v>5.6854699999999996</v>
      </c>
    </row>
    <row r="11" spans="1:17">
      <c r="E11" s="1" t="s">
        <v>146</v>
      </c>
      <c r="F11">
        <v>370</v>
      </c>
      <c r="G11">
        <v>78</v>
      </c>
      <c r="H11">
        <f>0.4321*($C$6/1.5)</f>
        <v>0.43209999999999998</v>
      </c>
      <c r="I11" t="s">
        <v>50</v>
      </c>
      <c r="J11" s="76">
        <f>G11*H11*C7</f>
        <v>33.703800000000001</v>
      </c>
    </row>
    <row r="12" spans="1:17">
      <c r="E12" s="1" t="s">
        <v>147</v>
      </c>
      <c r="F12">
        <v>34580</v>
      </c>
      <c r="G12">
        <v>5.84</v>
      </c>
      <c r="H12">
        <f>11.2843*($C$6/1.5)</f>
        <v>11.2843</v>
      </c>
      <c r="I12" t="s">
        <v>148</v>
      </c>
      <c r="J12" s="76">
        <f>G12*H12*C7</f>
        <v>65.900312</v>
      </c>
    </row>
    <row r="13" spans="1:17" ht="15.75" thickBot="1">
      <c r="E13" s="3" t="s">
        <v>149</v>
      </c>
      <c r="F13" s="4">
        <v>87286</v>
      </c>
      <c r="G13" s="4">
        <v>516.02</v>
      </c>
      <c r="H13" s="4">
        <v>2.2800000000000001E-2</v>
      </c>
      <c r="I13" s="4" t="s">
        <v>50</v>
      </c>
      <c r="J13" s="78">
        <f>G13*H13*C7</f>
        <v>11.765256000000001</v>
      </c>
    </row>
    <row r="14" spans="1:17">
      <c r="A14" t="s">
        <v>150</v>
      </c>
      <c r="E14" t="s">
        <v>151</v>
      </c>
    </row>
    <row r="17" spans="1:16" ht="15.75">
      <c r="A17" s="86" t="s">
        <v>152</v>
      </c>
    </row>
    <row r="18" spans="1:16">
      <c r="A18" s="14" t="s">
        <v>153</v>
      </c>
      <c r="P18">
        <v>45.655999999999999</v>
      </c>
    </row>
    <row r="22" spans="1:16">
      <c r="O22">
        <v>273.93599999999998</v>
      </c>
    </row>
  </sheetData>
  <hyperlinks>
    <hyperlink ref="A18" r:id="rId1" xr:uid="{CE6FD015-B1EF-44F5-AF2A-C35FE6CB44F5}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72F4-F3B9-4CB9-B354-BB500DFCA0E3}">
  <dimension ref="A1:N24"/>
  <sheetViews>
    <sheetView workbookViewId="0">
      <selection activeCell="B6" sqref="B6"/>
    </sheetView>
  </sheetViews>
  <sheetFormatPr defaultRowHeight="15"/>
  <cols>
    <col min="1" max="1" width="27.28515625" bestFit="1" customWidth="1"/>
    <col min="2" max="2" width="12.7109375" customWidth="1"/>
    <col min="3" max="3" width="10.140625" bestFit="1" customWidth="1"/>
    <col min="4" max="4" width="13.140625" bestFit="1" customWidth="1"/>
    <col min="5" max="5" width="9.5703125" bestFit="1" customWidth="1"/>
    <col min="10" max="10" width="21.7109375" bestFit="1" customWidth="1"/>
    <col min="11" max="11" width="10.85546875" bestFit="1" customWidth="1"/>
    <col min="13" max="13" width="13.140625" bestFit="1" customWidth="1"/>
    <col min="14" max="14" width="12.5703125" bestFit="1" customWidth="1"/>
  </cols>
  <sheetData>
    <row r="1" spans="1:14" ht="15.75" thickBot="1">
      <c r="A1" s="121" t="s">
        <v>154</v>
      </c>
      <c r="B1" s="122" t="s">
        <v>2</v>
      </c>
    </row>
    <row r="2" spans="1:14" ht="15.75" thickBot="1">
      <c r="A2" s="123" t="s">
        <v>155</v>
      </c>
      <c r="B2" s="124">
        <v>2</v>
      </c>
    </row>
    <row r="3" spans="1:14" ht="15.75" thickBot="1">
      <c r="A3" s="100" t="s">
        <v>156</v>
      </c>
      <c r="B3" s="111">
        <v>2</v>
      </c>
      <c r="J3" s="115" t="s">
        <v>64</v>
      </c>
      <c r="K3" s="116" t="s">
        <v>80</v>
      </c>
      <c r="L3" s="117" t="s">
        <v>3</v>
      </c>
      <c r="M3" s="118" t="s">
        <v>157</v>
      </c>
      <c r="N3" s="119" t="s">
        <v>158</v>
      </c>
    </row>
    <row r="4" spans="1:14">
      <c r="A4" s="100" t="s">
        <v>159</v>
      </c>
      <c r="B4" s="111">
        <v>1</v>
      </c>
      <c r="J4" s="88" t="s">
        <v>160</v>
      </c>
      <c r="K4" s="89">
        <f>B8</f>
        <v>4</v>
      </c>
      <c r="L4" s="89" t="s">
        <v>53</v>
      </c>
      <c r="M4" s="126">
        <f>D16</f>
        <v>42.88</v>
      </c>
      <c r="N4" s="125">
        <f>K4*M4</f>
        <v>171.52</v>
      </c>
    </row>
    <row r="5" spans="1:14">
      <c r="A5" s="100" t="s">
        <v>161</v>
      </c>
      <c r="B5" s="111">
        <v>1</v>
      </c>
      <c r="J5" s="1" t="s">
        <v>162</v>
      </c>
      <c r="K5">
        <f>B6</f>
        <v>5</v>
      </c>
      <c r="L5" t="s">
        <v>163</v>
      </c>
      <c r="M5" s="83">
        <f>D17</f>
        <v>201.36</v>
      </c>
      <c r="N5" s="76">
        <f>K5*M5</f>
        <v>1006.8000000000001</v>
      </c>
    </row>
    <row r="6" spans="1:14">
      <c r="A6" s="100" t="s">
        <v>164</v>
      </c>
      <c r="B6" s="111">
        <v>5</v>
      </c>
      <c r="J6" s="1" t="s">
        <v>76</v>
      </c>
      <c r="K6">
        <f>B6</f>
        <v>5</v>
      </c>
      <c r="L6" t="s">
        <v>163</v>
      </c>
      <c r="M6" s="83">
        <f>D18</f>
        <v>150.26</v>
      </c>
      <c r="N6" s="76">
        <f>K6*M6</f>
        <v>751.3</v>
      </c>
    </row>
    <row r="7" spans="1:14">
      <c r="A7" s="100" t="s">
        <v>165</v>
      </c>
      <c r="B7" s="120">
        <v>10</v>
      </c>
      <c r="J7" s="1" t="s">
        <v>71</v>
      </c>
      <c r="K7" s="99">
        <v>0.3</v>
      </c>
      <c r="L7" t="s">
        <v>30</v>
      </c>
      <c r="M7" t="s">
        <v>30</v>
      </c>
      <c r="N7" s="76">
        <f>(N4+N8+N6+N5)*0.2</f>
        <v>401.83600000000001</v>
      </c>
    </row>
    <row r="8" spans="1:14">
      <c r="A8" s="100" t="s">
        <v>166</v>
      </c>
      <c r="B8" s="120">
        <f>B2*B3*B5</f>
        <v>4</v>
      </c>
      <c r="J8" s="1" t="s">
        <v>167</v>
      </c>
      <c r="K8">
        <f>B9</f>
        <v>4</v>
      </c>
      <c r="L8" t="s">
        <v>50</v>
      </c>
      <c r="M8" s="83">
        <f>D19</f>
        <v>19.89</v>
      </c>
      <c r="N8" s="76">
        <f>K8*M8</f>
        <v>79.56</v>
      </c>
    </row>
    <row r="9" spans="1:14" ht="15.75" thickBot="1">
      <c r="A9" s="101" t="s">
        <v>168</v>
      </c>
      <c r="B9" s="110">
        <f>B2*B3*B4</f>
        <v>4</v>
      </c>
      <c r="J9" s="3" t="s">
        <v>169</v>
      </c>
      <c r="K9" s="4"/>
      <c r="L9" s="4"/>
      <c r="M9" s="4"/>
      <c r="N9" s="78">
        <f>N4+N5+N6+N7+N8</f>
        <v>2411.0160000000001</v>
      </c>
    </row>
    <row r="14" spans="1:14" ht="15.75" thickBot="1"/>
    <row r="15" spans="1:14" ht="15.75" thickBot="1">
      <c r="A15" s="112" t="s">
        <v>170</v>
      </c>
      <c r="B15" s="113" t="s">
        <v>125</v>
      </c>
      <c r="C15" s="113" t="s">
        <v>131</v>
      </c>
      <c r="D15" s="114" t="s">
        <v>171</v>
      </c>
    </row>
    <row r="16" spans="1:14">
      <c r="A16" s="102" t="s">
        <v>160</v>
      </c>
      <c r="B16" s="103">
        <v>34804</v>
      </c>
      <c r="C16" s="104" t="s">
        <v>53</v>
      </c>
      <c r="D16" s="105">
        <v>42.88</v>
      </c>
    </row>
    <row r="17" spans="1:4" ht="30">
      <c r="A17" s="102" t="s">
        <v>162</v>
      </c>
      <c r="B17" s="104" t="s">
        <v>172</v>
      </c>
      <c r="C17" s="104" t="s">
        <v>173</v>
      </c>
      <c r="D17" s="105">
        <v>201.36</v>
      </c>
    </row>
    <row r="18" spans="1:4" ht="30">
      <c r="A18" s="102" t="s">
        <v>174</v>
      </c>
      <c r="B18" s="104">
        <v>5678</v>
      </c>
      <c r="C18" s="104" t="s">
        <v>175</v>
      </c>
      <c r="D18" s="105">
        <v>150.26</v>
      </c>
    </row>
    <row r="19" spans="1:4" ht="15.75" thickBot="1">
      <c r="A19" s="106" t="s">
        <v>167</v>
      </c>
      <c r="B19" s="107">
        <v>6077</v>
      </c>
      <c r="C19" s="108" t="s">
        <v>50</v>
      </c>
      <c r="D19" s="109">
        <v>19.89</v>
      </c>
    </row>
    <row r="22" spans="1:4">
      <c r="A22" t="s">
        <v>176</v>
      </c>
    </row>
    <row r="23" spans="1:4">
      <c r="A23" s="1" t="s">
        <v>177</v>
      </c>
      <c r="B23" s="19"/>
      <c r="C23" s="81"/>
    </row>
    <row r="24" spans="1:4">
      <c r="A24" s="1"/>
      <c r="B24" s="19"/>
      <c r="C24" s="82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4F1B-F704-4262-B302-7A8614FF99C1}">
  <dimension ref="A1:Q22"/>
  <sheetViews>
    <sheetView workbookViewId="0">
      <selection activeCell="B3" sqref="B3"/>
    </sheetView>
  </sheetViews>
  <sheetFormatPr defaultRowHeight="15"/>
  <cols>
    <col min="1" max="1" width="25.28515625" customWidth="1"/>
    <col min="2" max="2" width="11.140625" customWidth="1"/>
    <col min="3" max="3" width="8.28515625" customWidth="1"/>
    <col min="4" max="4" width="10.85546875" bestFit="1" customWidth="1"/>
    <col min="5" max="5" width="7.7109375" bestFit="1" customWidth="1"/>
    <col min="6" max="6" width="56.28515625" bestFit="1" customWidth="1"/>
    <col min="9" max="9" width="7.7109375" bestFit="1" customWidth="1"/>
    <col min="10" max="10" width="19.28515625" customWidth="1"/>
    <col min="11" max="11" width="21" customWidth="1"/>
    <col min="12" max="12" width="11.28515625" customWidth="1"/>
    <col min="13" max="13" width="11.7109375" customWidth="1"/>
    <col min="15" max="15" width="11.5703125" customWidth="1"/>
  </cols>
  <sheetData>
    <row r="1" spans="1:17" ht="30.75" thickBot="1">
      <c r="A1" s="135" t="s">
        <v>0</v>
      </c>
      <c r="B1" s="137" t="s">
        <v>5</v>
      </c>
      <c r="E1" s="135" t="s">
        <v>125</v>
      </c>
      <c r="F1" s="136" t="s">
        <v>64</v>
      </c>
      <c r="G1" s="136" t="s">
        <v>3</v>
      </c>
      <c r="H1" s="143" t="s">
        <v>80</v>
      </c>
      <c r="I1" s="136" t="s">
        <v>178</v>
      </c>
      <c r="J1" s="137" t="s">
        <v>169</v>
      </c>
      <c r="P1" s="8"/>
      <c r="Q1" s="8"/>
    </row>
    <row r="2" spans="1:17" ht="18.600000000000001" customHeight="1">
      <c r="A2" s="131" t="s">
        <v>179</v>
      </c>
      <c r="B2" s="138">
        <v>10</v>
      </c>
      <c r="E2" s="131">
        <v>104181</v>
      </c>
      <c r="F2" s="129" t="s">
        <v>180</v>
      </c>
      <c r="G2" s="129" t="s">
        <v>9</v>
      </c>
      <c r="H2" s="129">
        <f>15*B6</f>
        <v>375</v>
      </c>
      <c r="I2" s="129">
        <v>81.56</v>
      </c>
      <c r="J2" s="141">
        <f t="shared" ref="J2:J7" si="0">H2*I2</f>
        <v>30585</v>
      </c>
      <c r="P2" s="9"/>
      <c r="Q2" s="127"/>
    </row>
    <row r="3" spans="1:17" ht="33" customHeight="1">
      <c r="A3" s="131" t="s">
        <v>155</v>
      </c>
      <c r="B3" s="138">
        <v>10</v>
      </c>
      <c r="E3" s="131">
        <v>93957</v>
      </c>
      <c r="F3" s="129" t="s">
        <v>181</v>
      </c>
      <c r="G3" s="129" t="s">
        <v>9</v>
      </c>
      <c r="H3" s="129">
        <f>B6</f>
        <v>25</v>
      </c>
      <c r="I3" s="129">
        <v>163.72999999999999</v>
      </c>
      <c r="J3" s="141">
        <f t="shared" si="0"/>
        <v>4093.2499999999995</v>
      </c>
      <c r="P3" s="127"/>
      <c r="Q3" s="127"/>
    </row>
    <row r="4" spans="1:17">
      <c r="A4" s="131" t="s">
        <v>182</v>
      </c>
      <c r="B4" s="132">
        <f>3.14*((0.1/2)*(0.1/2)*15)*B6</f>
        <v>2.9437500000000005</v>
      </c>
      <c r="C4" t="s">
        <v>183</v>
      </c>
      <c r="E4" s="131">
        <v>94968</v>
      </c>
      <c r="F4" s="129" t="s">
        <v>184</v>
      </c>
      <c r="G4" s="129" t="s">
        <v>50</v>
      </c>
      <c r="H4" s="139">
        <f>B4</f>
        <v>2.9437500000000005</v>
      </c>
      <c r="I4" s="129">
        <v>360.44</v>
      </c>
      <c r="J4" s="141">
        <f t="shared" si="0"/>
        <v>1061.0452500000001</v>
      </c>
      <c r="P4" s="9"/>
      <c r="Q4" s="127"/>
    </row>
    <row r="5" spans="1:17">
      <c r="A5" s="131" t="s">
        <v>185</v>
      </c>
      <c r="B5" s="132">
        <f>B2*B3</f>
        <v>100</v>
      </c>
      <c r="E5" s="131">
        <v>36376</v>
      </c>
      <c r="F5" s="129" t="s">
        <v>186</v>
      </c>
      <c r="G5" s="129" t="s">
        <v>9</v>
      </c>
      <c r="H5" s="129">
        <f>B8*15</f>
        <v>30</v>
      </c>
      <c r="I5" s="129">
        <v>30.7</v>
      </c>
      <c r="J5" s="141">
        <f t="shared" si="0"/>
        <v>921</v>
      </c>
      <c r="P5" s="127"/>
      <c r="Q5" s="127"/>
    </row>
    <row r="6" spans="1:17">
      <c r="A6" s="131" t="s">
        <v>187</v>
      </c>
      <c r="B6" s="132">
        <f>(B2/2)*(B3/2)</f>
        <v>25</v>
      </c>
      <c r="E6" s="131">
        <v>7156</v>
      </c>
      <c r="F6" s="129" t="s">
        <v>188</v>
      </c>
      <c r="G6" s="129" t="s">
        <v>189</v>
      </c>
      <c r="H6" s="140">
        <f>B7</f>
        <v>6.666666666666667</v>
      </c>
      <c r="I6" s="129">
        <v>25</v>
      </c>
      <c r="J6" s="141">
        <f t="shared" si="0"/>
        <v>166.66666666666669</v>
      </c>
      <c r="P6" s="127"/>
      <c r="Q6" s="127"/>
    </row>
    <row r="7" spans="1:17" ht="30.75" thickBot="1">
      <c r="A7" s="131" t="s">
        <v>190</v>
      </c>
      <c r="B7" s="132">
        <f>(B3/2.5)*(B2/6)</f>
        <v>6.666666666666667</v>
      </c>
      <c r="E7" s="133"/>
      <c r="F7" s="130" t="s">
        <v>191</v>
      </c>
      <c r="G7" s="130" t="s">
        <v>192</v>
      </c>
      <c r="H7" s="130">
        <f>B6</f>
        <v>25</v>
      </c>
      <c r="I7" s="130">
        <v>0.65</v>
      </c>
      <c r="J7" s="142">
        <f t="shared" si="0"/>
        <v>16.25</v>
      </c>
      <c r="P7" s="127"/>
      <c r="Q7" s="127"/>
    </row>
    <row r="8" spans="1:17" ht="15.75" thickBot="1">
      <c r="A8" s="133" t="s">
        <v>193</v>
      </c>
      <c r="B8" s="134">
        <f>B2/5</f>
        <v>2</v>
      </c>
      <c r="J8" s="141">
        <f>SUM(J2:J7)</f>
        <v>36843.211916666667</v>
      </c>
      <c r="P8" s="9"/>
      <c r="Q8" s="128"/>
    </row>
    <row r="11" spans="1:17">
      <c r="J11" t="s">
        <v>194</v>
      </c>
      <c r="K11" s="129"/>
      <c r="L11">
        <v>0.1</v>
      </c>
    </row>
    <row r="14" spans="1:17">
      <c r="A14" t="s">
        <v>195</v>
      </c>
    </row>
    <row r="15" spans="1:17">
      <c r="A15" t="s">
        <v>196</v>
      </c>
      <c r="B15" t="s">
        <v>197</v>
      </c>
    </row>
    <row r="16" spans="1:17">
      <c r="A16" t="s">
        <v>198</v>
      </c>
    </row>
    <row r="17" spans="1:1">
      <c r="A17" t="s">
        <v>199</v>
      </c>
    </row>
    <row r="19" spans="1:1">
      <c r="A19" t="s">
        <v>200</v>
      </c>
    </row>
    <row r="20" spans="1:1">
      <c r="A20" t="s">
        <v>201</v>
      </c>
    </row>
    <row r="21" spans="1:1">
      <c r="A21" t="s">
        <v>202</v>
      </c>
    </row>
    <row r="22" spans="1:1">
      <c r="A22" t="s">
        <v>203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danilo de carvalho moraes</dc:creator>
  <cp:keywords/>
  <dc:description/>
  <cp:lastModifiedBy>Usuário Convidado</cp:lastModifiedBy>
  <cp:revision/>
  <dcterms:created xsi:type="dcterms:W3CDTF">2024-09-24T12:25:21Z</dcterms:created>
  <dcterms:modified xsi:type="dcterms:W3CDTF">2025-03-08T15:38:22Z</dcterms:modified>
  <cp:category/>
  <cp:contentStatus/>
</cp:coreProperties>
</file>