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a\OneDrive\Desktop\Dev Personal\MPRE_assignment\"/>
    </mc:Choice>
  </mc:AlternateContent>
  <xr:revisionPtr revIDLastSave="0" documentId="8_{DD60AB70-7E20-478D-B57B-76F696C717B8}" xr6:coauthVersionLast="47" xr6:coauthVersionMax="47" xr10:uidLastSave="{00000000-0000-0000-0000-000000000000}"/>
  <bookViews>
    <workbookView xWindow="-108" yWindow="-108" windowWidth="23256" windowHeight="12456" xr2:uid="{8134E874-9EAB-4ACD-AB81-C128E846CF15}"/>
  </bookViews>
  <sheets>
    <sheet name="Bubble_Column_Desig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Bubble_Column_Design!$P$27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D26" i="1"/>
  <c r="D24" i="1"/>
  <c r="S18" i="1"/>
  <c r="P27" i="1" s="1"/>
  <c r="K18" i="1"/>
  <c r="S17" i="1"/>
  <c r="P29" i="1" s="1"/>
  <c r="O17" i="1"/>
  <c r="B17" i="1"/>
  <c r="K16" i="1"/>
  <c r="B13" i="1"/>
  <c r="B12" i="1"/>
  <c r="K13" i="1" s="1"/>
  <c r="O7" i="1" s="1"/>
  <c r="K11" i="1"/>
  <c r="O9" i="1"/>
  <c r="R27" i="1" s="1"/>
  <c r="K7" i="1"/>
  <c r="K9" i="1" s="1"/>
  <c r="O5" i="1"/>
  <c r="N5" i="1"/>
  <c r="K21" i="1" l="1"/>
  <c r="B18" i="1"/>
  <c r="T20" i="1"/>
  <c r="P31" i="1" s="1"/>
</calcChain>
</file>

<file path=xl/sharedStrings.xml><?xml version="1.0" encoding="utf-8"?>
<sst xmlns="http://schemas.openxmlformats.org/spreadsheetml/2006/main" count="98" uniqueCount="80">
  <si>
    <t>CO2​+DIPA→Products(1st order in CO₂, 2nd order in DIPA)</t>
  </si>
  <si>
    <r>
      <rPr>
        <b/>
        <sz val="12"/>
        <color theme="8" tint="0.39997558519241921"/>
        <rFont val="Times New Roman"/>
        <family val="1"/>
      </rPr>
      <t xml:space="preserve"> #</t>
    </r>
    <r>
      <rPr>
        <b/>
        <sz val="12"/>
        <color theme="4" tint="-0.249977111117893"/>
        <rFont val="Times New Roman"/>
        <family val="1"/>
      </rPr>
      <t xml:space="preserve"> Given:</t>
    </r>
  </si>
  <si>
    <t>m</t>
  </si>
  <si>
    <r>
      <rPr>
        <b/>
        <sz val="12"/>
        <color theme="8" tint="0.39997558519241921"/>
        <rFont val="Times New Roman"/>
        <family val="1"/>
      </rPr>
      <t>#</t>
    </r>
    <r>
      <rPr>
        <b/>
        <sz val="12"/>
        <color theme="4" tint="-0.249977111117893"/>
        <rFont val="Times New Roman"/>
        <family val="1"/>
      </rPr>
      <t xml:space="preserve"> BC Design:</t>
    </r>
  </si>
  <si>
    <r>
      <rPr>
        <b/>
        <sz val="12"/>
        <color theme="8" tint="0.39997558519241921"/>
        <rFont val="Times New Roman"/>
        <family val="1"/>
      </rPr>
      <t>#</t>
    </r>
    <r>
      <rPr>
        <b/>
        <sz val="12"/>
        <color theme="4" tint="-0.249977111117893"/>
        <rFont val="Times New Roman"/>
        <family val="1"/>
      </rPr>
      <t xml:space="preserve"> Rate law:</t>
    </r>
  </si>
  <si>
    <r>
      <t>k</t>
    </r>
    <r>
      <rPr>
        <vertAlign val="subscript"/>
        <sz val="12"/>
        <color theme="1"/>
        <rFont val="Times New Roman"/>
        <family val="1"/>
      </rPr>
      <t>1,2</t>
    </r>
    <r>
      <rPr>
        <sz val="12"/>
        <color theme="1"/>
        <rFont val="Times New Roman"/>
        <family val="1"/>
      </rPr>
      <t>​</t>
    </r>
    <r>
      <rPr>
        <i/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CO2​​</t>
    </r>
    <r>
      <rPr>
        <i/>
        <sz val="12"/>
        <color theme="1"/>
        <rFont val="Times New Roman"/>
        <family val="1"/>
      </rPr>
      <t>C</t>
    </r>
    <r>
      <rPr>
        <vertAlign val="subscript"/>
        <sz val="12"/>
        <color rgb="FF404040"/>
        <rFont val="Times New Roman"/>
        <family val="1"/>
      </rPr>
      <t>DIPA</t>
    </r>
    <r>
      <rPr>
        <vertAlign val="superscript"/>
        <sz val="12"/>
        <color rgb="FF404040"/>
        <rFont val="Times New Roman"/>
        <family val="1"/>
      </rPr>
      <t>2​</t>
    </r>
  </si>
  <si>
    <t>n</t>
  </si>
  <si>
    <t>g</t>
  </si>
  <si>
    <t>m2/s</t>
  </si>
  <si>
    <t>Conditions to be satisfied :</t>
  </si>
  <si>
    <t>z</t>
  </si>
  <si>
    <r>
      <t>k</t>
    </r>
    <r>
      <rPr>
        <i/>
        <vertAlign val="subscript"/>
        <sz val="12"/>
        <color rgb="FF404040"/>
        <rFont val="Times New Roman"/>
        <family val="1"/>
      </rPr>
      <t>L</t>
    </r>
    <r>
      <rPr>
        <sz val="12"/>
        <color rgb="FF404040"/>
        <rFont val="Times New Roman"/>
        <family val="1"/>
      </rPr>
      <t>​</t>
    </r>
    <r>
      <rPr>
        <i/>
        <sz val="12"/>
        <color rgb="FF404040"/>
        <rFont val="Times New Roman"/>
        <family val="1"/>
      </rPr>
      <t>a</t>
    </r>
  </si>
  <si>
    <r>
      <t>R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a</t>
    </r>
  </si>
  <si>
    <t>Operating Conditions:</t>
  </si>
  <si>
    <t>Temperature</t>
  </si>
  <si>
    <t>K</t>
  </si>
  <si>
    <r>
      <t xml:space="preserve"> </t>
    </r>
    <r>
      <rPr>
        <b/>
        <sz val="12"/>
        <color theme="8" tint="0.39997558519241921"/>
        <rFont val="Times New Roman"/>
        <family val="1"/>
      </rPr>
      <t>#</t>
    </r>
    <r>
      <rPr>
        <b/>
        <sz val="12"/>
        <color theme="4" tint="-0.249977111117893"/>
        <rFont val="Times New Roman"/>
        <family val="1"/>
      </rPr>
      <t xml:space="preserve"> Calculations :</t>
    </r>
  </si>
  <si>
    <r>
      <t>C</t>
    </r>
    <r>
      <rPr>
        <sz val="12"/>
        <color rgb="FF404040"/>
        <rFont val="Times New Roman"/>
        <family val="1"/>
      </rPr>
      <t>DIPA</t>
    </r>
  </si>
  <si>
    <t>kmol/m3</t>
  </si>
  <si>
    <t>(mid-range from experiments).</t>
  </si>
  <si>
    <t>He</t>
  </si>
  <si>
    <t>kPa·m³/kmol</t>
  </si>
  <si>
    <t>Ha</t>
  </si>
  <si>
    <r>
      <t>p</t>
    </r>
    <r>
      <rPr>
        <sz val="12"/>
        <color rgb="FF404040"/>
        <rFont val="Times New Roman"/>
        <family val="1"/>
      </rPr>
      <t>CO2​</t>
    </r>
  </si>
  <si>
    <t>kPa</t>
  </si>
  <si>
    <t>(from Table 1).</t>
  </si>
  <si>
    <t>(Assumption)</t>
  </si>
  <si>
    <t>s−1</t>
  </si>
  <si>
    <t>(assumed within book).</t>
  </si>
  <si>
    <r>
      <t>C</t>
    </r>
    <r>
      <rPr>
        <i/>
        <vertAlign val="subscript"/>
        <sz val="12"/>
        <color rgb="FF404040"/>
        <rFont val="Times New Roman"/>
        <family val="1"/>
      </rPr>
      <t>CO</t>
    </r>
    <r>
      <rPr>
        <vertAlign val="subscript"/>
        <sz val="12"/>
        <color rgb="FF404040"/>
        <rFont val="Times New Roman"/>
        <family val="1"/>
      </rPr>
      <t>2​∗​</t>
    </r>
  </si>
  <si>
    <t>G</t>
  </si>
  <si>
    <t>m/s</t>
  </si>
  <si>
    <t>a</t>
  </si>
  <si>
    <t>m2/m3</t>
  </si>
  <si>
    <t>(specific interfacial area for stirred tanks).</t>
  </si>
  <si>
    <r>
      <t>ε</t>
    </r>
    <r>
      <rPr>
        <vertAlign val="subscript"/>
        <sz val="12"/>
        <color theme="1"/>
        <rFont val="Times New Roman"/>
        <family val="1"/>
      </rPr>
      <t>g</t>
    </r>
  </si>
  <si>
    <r>
      <t>k</t>
    </r>
    <r>
      <rPr>
        <sz val="12"/>
        <color rgb="FF404040"/>
        <rFont val="Times New Roman"/>
        <family val="1"/>
      </rPr>
      <t>1,2</t>
    </r>
  </si>
  <si>
    <r>
      <t>m</t>
    </r>
    <r>
      <rPr>
        <vertAlign val="superscript"/>
        <sz val="12"/>
        <color rgb="FF404040"/>
        <rFont val="Times New Roman"/>
        <family val="1"/>
      </rPr>
      <t>6</t>
    </r>
    <r>
      <rPr>
        <sz val="12"/>
        <color rgb="FF404040"/>
        <rFont val="Times New Roman"/>
        <family val="1"/>
      </rPr>
      <t>/kmol</t>
    </r>
    <r>
      <rPr>
        <vertAlign val="superscript"/>
        <sz val="12"/>
        <color rgb="FF404040"/>
        <rFont val="Times New Roman"/>
        <family val="1"/>
      </rPr>
      <t>2</t>
    </r>
    <r>
      <rPr>
        <sz val="12"/>
        <color rgb="FF404040"/>
        <rFont val="Times New Roman"/>
        <family val="1"/>
      </rPr>
      <t>⋅s</t>
    </r>
  </si>
  <si>
    <t>(at 298 K, from Table 2)</t>
  </si>
  <si>
    <r>
      <t>k</t>
    </r>
    <r>
      <rPr>
        <vertAlign val="subscript"/>
        <sz val="12"/>
        <color theme="1"/>
        <rFont val="Times New Roman"/>
        <family val="1"/>
      </rPr>
      <t>L</t>
    </r>
    <r>
      <rPr>
        <sz val="12"/>
        <color theme="1"/>
        <rFont val="Times New Roman"/>
        <family val="1"/>
      </rPr>
      <t>​</t>
    </r>
  </si>
  <si>
    <t>Antoines constant (Taken from NIST)</t>
  </si>
  <si>
    <r>
      <t>D</t>
    </r>
    <r>
      <rPr>
        <vertAlign val="subscript"/>
        <sz val="12"/>
        <color rgb="FF404040"/>
        <rFont val="Times New Roman"/>
        <family val="1"/>
      </rPr>
      <t>CO2​</t>
    </r>
  </si>
  <si>
    <r>
      <t>μ</t>
    </r>
    <r>
      <rPr>
        <vertAlign val="subscript"/>
        <sz val="12"/>
        <color theme="1"/>
        <rFont val="Times New Roman"/>
        <family val="1"/>
      </rPr>
      <t>b</t>
    </r>
  </si>
  <si>
    <t>Pa/s</t>
  </si>
  <si>
    <t>A</t>
  </si>
  <si>
    <r>
      <rPr>
        <sz val="12"/>
        <color theme="1"/>
        <rFont val="Tw Cen MT"/>
        <family val="2"/>
      </rPr>
      <t>∆</t>
    </r>
    <r>
      <rPr>
        <sz val="12"/>
        <color theme="1"/>
        <rFont val="Times New Roman"/>
        <family val="1"/>
      </rPr>
      <t>H</t>
    </r>
  </si>
  <si>
    <t>KJ/mol</t>
  </si>
  <si>
    <t>B</t>
  </si>
  <si>
    <r>
      <t>density</t>
    </r>
    <r>
      <rPr>
        <vertAlign val="subscript"/>
        <sz val="12"/>
        <color theme="1"/>
        <rFont val="Times New Roman"/>
        <family val="1"/>
      </rPr>
      <t>CO2</t>
    </r>
  </si>
  <si>
    <t>kg/m³</t>
  </si>
  <si>
    <t>C</t>
  </si>
  <si>
    <r>
      <rPr>
        <b/>
        <sz val="12"/>
        <color theme="8" tint="0.39997558519241921"/>
        <rFont val="Times New Roman"/>
        <family val="1"/>
      </rPr>
      <t>#</t>
    </r>
    <r>
      <rPr>
        <b/>
        <sz val="12"/>
        <color theme="4" tint="-0.249977111117893"/>
        <rFont val="Times New Roman"/>
        <family val="1"/>
      </rPr>
      <t xml:space="preserve"> Regime Identification</t>
    </r>
  </si>
  <si>
    <t>Unit Conv</t>
  </si>
  <si>
    <t>Rate of Reaction</t>
  </si>
  <si>
    <r>
      <t>P</t>
    </r>
    <r>
      <rPr>
        <vertAlign val="subscript"/>
        <sz val="12"/>
        <color theme="1"/>
        <rFont val="Times New Roman"/>
        <family val="1"/>
      </rPr>
      <t>vap</t>
    </r>
  </si>
  <si>
    <t>bar</t>
  </si>
  <si>
    <t>pascal</t>
  </si>
  <si>
    <r>
      <t>k</t>
    </r>
    <r>
      <rPr>
        <i/>
        <vertAlign val="subscript"/>
        <sz val="12"/>
        <color rgb="FF404040"/>
        <rFont val="Times New Roman"/>
        <family val="1"/>
      </rPr>
      <t>L</t>
    </r>
    <r>
      <rPr>
        <sz val="12"/>
        <color rgb="FF404040"/>
        <rFont val="Times New Roman"/>
        <family val="1"/>
      </rPr>
      <t>​</t>
    </r>
    <r>
      <rPr>
        <i/>
        <sz val="12"/>
        <color rgb="FF404040"/>
        <rFont val="Times New Roman"/>
        <family val="1"/>
      </rPr>
      <t>a * C</t>
    </r>
    <r>
      <rPr>
        <i/>
        <vertAlign val="subscript"/>
        <sz val="12"/>
        <color rgb="FF404040"/>
        <rFont val="Times New Roman"/>
        <family val="1"/>
      </rPr>
      <t>CO2​∗​</t>
    </r>
  </si>
  <si>
    <r>
      <t>D</t>
    </r>
    <r>
      <rPr>
        <vertAlign val="subscript"/>
        <sz val="12"/>
        <color rgb="FF404040"/>
        <rFont val="Times New Roman"/>
        <family val="1"/>
      </rPr>
      <t>B</t>
    </r>
  </si>
  <si>
    <r>
      <t>P</t>
    </r>
    <r>
      <rPr>
        <vertAlign val="subscript"/>
        <sz val="12"/>
        <color theme="1"/>
        <rFont val="Times New Roman"/>
        <family val="1"/>
      </rPr>
      <t>top</t>
    </r>
  </si>
  <si>
    <t>Result</t>
  </si>
  <si>
    <r>
      <t>k</t>
    </r>
    <r>
      <rPr>
        <b/>
        <i/>
        <vertAlign val="subscript"/>
        <sz val="12"/>
        <color rgb="FF404040"/>
        <rFont val="Times New Roman"/>
        <family val="1"/>
      </rPr>
      <t>L</t>
    </r>
    <r>
      <rPr>
        <b/>
        <sz val="12"/>
        <color rgb="FF404040"/>
        <rFont val="Times New Roman"/>
        <family val="1"/>
      </rPr>
      <t>​</t>
    </r>
    <r>
      <rPr>
        <b/>
        <i/>
        <sz val="12"/>
        <color rgb="FF404040"/>
        <rFont val="Times New Roman"/>
        <family val="1"/>
      </rPr>
      <t>a * C</t>
    </r>
    <r>
      <rPr>
        <b/>
        <i/>
        <vertAlign val="subscript"/>
        <sz val="12"/>
        <color rgb="FF404040"/>
        <rFont val="Times New Roman"/>
        <family val="1"/>
      </rPr>
      <t>CO2​∗​</t>
    </r>
  </si>
  <si>
    <t>&gt;</t>
  </si>
  <si>
    <t>Constant Values of Integration</t>
  </si>
  <si>
    <t>Regime 1 (Very Slow Reaction)</t>
  </si>
  <si>
    <t xml:space="preserve"> Cross-sectional Area</t>
  </si>
  <si>
    <r>
      <t>m</t>
    </r>
    <r>
      <rPr>
        <vertAlign val="superscript"/>
        <sz val="12"/>
        <color theme="1"/>
        <rFont val="Times New Roman"/>
        <family val="1"/>
      </rPr>
      <t>2</t>
    </r>
  </si>
  <si>
    <r>
      <t>K</t>
    </r>
    <r>
      <rPr>
        <vertAlign val="subscript"/>
        <sz val="12"/>
        <color theme="1"/>
        <rFont val="Times New Roman"/>
        <family val="1"/>
      </rPr>
      <t>L</t>
    </r>
    <r>
      <rPr>
        <sz val="12"/>
        <color theme="1"/>
        <rFont val="Times New Roman"/>
        <family val="1"/>
      </rPr>
      <t>a*S/Hw</t>
    </r>
  </si>
  <si>
    <r>
      <t>ε</t>
    </r>
    <r>
      <rPr>
        <vertAlign val="subscript"/>
        <sz val="12"/>
        <color theme="1"/>
        <rFont val="Times New Roman"/>
        <family val="1"/>
      </rPr>
      <t>L</t>
    </r>
  </si>
  <si>
    <t>φ</t>
  </si>
  <si>
    <t>Assumed Height</t>
  </si>
  <si>
    <t>Therefore,</t>
  </si>
  <si>
    <t xml:space="preserve">Capacity of co2 absorbed  per day </t>
  </si>
  <si>
    <t>t/day</t>
  </si>
  <si>
    <t>RHS</t>
  </si>
  <si>
    <t>LHS</t>
  </si>
  <si>
    <t>Integration1</t>
  </si>
  <si>
    <t>Integration2</t>
  </si>
  <si>
    <t>Integration3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</si>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</sst>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b/>
      <sz val="12"/>
      <color theme="4" tint="-0.249977111117893"/>
      <name val="Times New Roman"/>
      <family val="1"/>
    </font>
    <font>
      <sz val="12"/>
      <color theme="1"/>
      <name val="Times New Roman"/>
      <family val="1"/>
    </font>
    <font>
      <b/>
      <sz val="12"/>
      <color theme="8" tint="0.39997558519241921"/>
      <name val="Times New Roman"/>
      <family val="1"/>
    </font>
    <font>
      <sz val="12"/>
      <color rgb="FF404040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12"/>
      <color rgb="FF404040"/>
      <name val="Times New Roman"/>
      <family val="1"/>
    </font>
    <font>
      <vertAlign val="superscript"/>
      <sz val="12"/>
      <color rgb="FF404040"/>
      <name val="Times New Roman"/>
      <family val="1"/>
    </font>
    <font>
      <b/>
      <sz val="12"/>
      <color theme="1"/>
      <name val="Times New Roman"/>
      <family val="1"/>
    </font>
    <font>
      <i/>
      <sz val="12"/>
      <color rgb="FF404040"/>
      <name val="Times New Roman"/>
      <family val="1"/>
    </font>
    <font>
      <i/>
      <vertAlign val="subscript"/>
      <sz val="12"/>
      <color rgb="FF404040"/>
      <name val="Times New Roman"/>
      <family val="1"/>
    </font>
    <font>
      <sz val="12"/>
      <color theme="1"/>
      <name val="Times New Roman"/>
      <family val="2"/>
    </font>
    <font>
      <sz val="12"/>
      <color rgb="FF00B0F0"/>
      <name val="Times New Roman"/>
      <family val="1"/>
    </font>
    <font>
      <sz val="12"/>
      <color rgb="FF404040"/>
      <name val="Segoe UI"/>
      <family val="2"/>
    </font>
    <font>
      <sz val="12"/>
      <color theme="1"/>
      <name val="Tw Cen MT"/>
      <family val="2"/>
    </font>
    <font>
      <sz val="12"/>
      <color theme="1"/>
      <name val="Aptos Narrow"/>
      <family val="2"/>
      <scheme val="minor"/>
    </font>
    <font>
      <sz val="12"/>
      <color rgb="FF000000"/>
      <name val="Source Sans Pro"/>
      <family val="2"/>
    </font>
    <font>
      <sz val="12"/>
      <color rgb="FF001D35"/>
      <name val="Arial"/>
      <family val="2"/>
    </font>
    <font>
      <u/>
      <sz val="11"/>
      <color theme="1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i/>
      <sz val="12"/>
      <color theme="1"/>
      <name val="Times New Roman"/>
      <family val="1"/>
    </font>
    <font>
      <b/>
      <i/>
      <sz val="12"/>
      <color rgb="FF404040"/>
      <name val="Times New Roman"/>
      <family val="1"/>
    </font>
    <font>
      <b/>
      <i/>
      <vertAlign val="subscript"/>
      <sz val="12"/>
      <color rgb="FF404040"/>
      <name val="Times New Roman"/>
      <family val="1"/>
    </font>
    <font>
      <b/>
      <sz val="12"/>
      <color rgb="FF404040"/>
      <name val="Times New Roman"/>
      <family val="1"/>
    </font>
    <font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1" xfId="0" applyNumberFormat="1" applyFont="1" applyBorder="1"/>
    <xf numFmtId="0" fontId="12" fillId="0" borderId="0" xfId="0" applyFont="1"/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5" fillId="0" borderId="0" xfId="0" applyFont="1"/>
    <xf numFmtId="0" fontId="1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20" fillId="0" borderId="0" xfId="1" applyFont="1" applyBorder="1"/>
    <xf numFmtId="0" fontId="16" fillId="0" borderId="1" xfId="0" applyFont="1" applyBorder="1"/>
    <xf numFmtId="0" fontId="2" fillId="0" borderId="3" xfId="0" applyFont="1" applyBorder="1"/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198120</xdr:colOff>
      <xdr:row>6</xdr:row>
      <xdr:rowOff>53340</xdr:rowOff>
    </xdr:from>
    <xdr:to>
      <xdr:col>8</xdr:col>
      <xdr:colOff>418659</xdr:colOff>
      <xdr:row>7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0B89EC-0CDF-40E4-A639-A857FA6BE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3260" y="1310640"/>
          <a:ext cx="1775019" cy="236220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8</xdr:row>
      <xdr:rowOff>19684</xdr:rowOff>
    </xdr:from>
    <xdr:to>
      <xdr:col>7</xdr:col>
      <xdr:colOff>388621</xdr:colOff>
      <xdr:row>9</xdr:row>
      <xdr:rowOff>153398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082F1F-FB7E-4B60-8B55-BAD353239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5680" y="1673224"/>
          <a:ext cx="822961" cy="377554"/>
        </a:xfrm>
        <a:prstGeom prst="rect">
          <a:avLst/>
        </a:prstGeom>
      </xdr:spPr>
    </xdr:pic>
    <xdr:clientData/>
  </xdr:twoCellAnchor>
  <xdr:twoCellAnchor>
    <xdr:from>
      <xdr:col>6</xdr:col>
      <xdr:colOff>182880</xdr:colOff>
      <xdr:row>10</xdr:row>
      <xdr:rowOff>99060</xdr:rowOff>
    </xdr:from>
    <xdr:to>
      <xdr:col>8</xdr:col>
      <xdr:colOff>373380</xdr:colOff>
      <xdr:row>13</xdr:row>
      <xdr:rowOff>116687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8FB85C-E787-4832-8D55-1AEECC7D2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8020" y="2225040"/>
          <a:ext cx="1744980" cy="711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426720</xdr:colOff>
      <xdr:row>20</xdr:row>
      <xdr:rowOff>38100</xdr:rowOff>
    </xdr:from>
    <xdr:to>
      <xdr:col>8</xdr:col>
      <xdr:colOff>76200</xdr:colOff>
      <xdr:row>22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62BDF4-BAD6-4EB9-AFB3-D67320EEF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860" y="4869180"/>
          <a:ext cx="120396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130695</xdr:colOff>
      <xdr:row>14</xdr:row>
      <xdr:rowOff>122396</xdr:rowOff>
    </xdr:from>
    <xdr:to>
      <xdr:col>8</xdr:col>
      <xdr:colOff>594361</xdr:colOff>
      <xdr:row>15</xdr:row>
      <xdr:rowOff>116137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697FBA-C358-48FB-B783-EF74D9463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5835" y="3139916"/>
          <a:ext cx="2018146" cy="222341"/>
        </a:xfrm>
        <a:prstGeom prst="rect">
          <a:avLst/>
        </a:prstGeom>
      </xdr:spPr>
    </xdr:pic>
    <xdr:clientData/>
  </xdr:twoCellAnchor>
  <xdr:twoCellAnchor editAs="oneCell">
    <xdr:from>
      <xdr:col>6</xdr:col>
      <xdr:colOff>83820</xdr:colOff>
      <xdr:row>16</xdr:row>
      <xdr:rowOff>83820</xdr:rowOff>
    </xdr:from>
    <xdr:to>
      <xdr:col>9</xdr:col>
      <xdr:colOff>180</xdr:colOff>
      <xdr:row>18</xdr:row>
      <xdr:rowOff>140469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CD5CE1-F239-41EA-A770-0E6007AB6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18960" y="3558540"/>
          <a:ext cx="2080440" cy="513849"/>
        </a:xfrm>
        <a:prstGeom prst="rect">
          <a:avLst/>
        </a:prstGeom>
      </xdr:spPr>
    </xdr:pic>
    <xdr:clientData/>
  </xdr:twoCellAnchor>
  <xdr:twoCellAnchor>
    <xdr:from>
      <xdr:col>3</xdr:col>
      <xdr:colOff>579120</xdr:colOff>
      <xdr:row>16</xdr:row>
      <xdr:rowOff>7620</xdr:rowOff>
    </xdr:from>
    <xdr:to>
      <xdr:col>3</xdr:col>
      <xdr:colOff>1653540</xdr:colOff>
      <xdr:row>17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C7BADAA-B3D7-451A-AF56-1F71533F8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5160" y="3482340"/>
          <a:ext cx="107442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586740</xdr:colOff>
      <xdr:row>21</xdr:row>
      <xdr:rowOff>22860</xdr:rowOff>
    </xdr:from>
    <xdr:to>
      <xdr:col>3</xdr:col>
      <xdr:colOff>2042286</xdr:colOff>
      <xdr:row>22</xdr:row>
      <xdr:rowOff>182912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1A95B8-74EF-4514-8F81-49A157E8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92780" y="5082540"/>
          <a:ext cx="1455546" cy="358172"/>
        </a:xfrm>
        <a:prstGeom prst="rect">
          <a:avLst/>
        </a:prstGeom>
      </xdr:spPr>
    </xdr:pic>
    <xdr:clientData/>
  </xdr:twoCellAnchor>
  <xdr:twoCellAnchor editAs="oneCell">
    <xdr:from>
      <xdr:col>16</xdr:col>
      <xdr:colOff>362857</xdr:colOff>
      <xdr:row>2</xdr:row>
      <xdr:rowOff>90716</xdr:rowOff>
    </xdr:from>
    <xdr:to>
      <xdr:col>18</xdr:col>
      <xdr:colOff>308429</xdr:colOff>
      <xdr:row>8</xdr:row>
      <xdr:rowOff>221352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5BA3A4B-0D29-4C0B-93EF-EA38E847D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78957" y="486956"/>
          <a:ext cx="1721032" cy="1387936"/>
        </a:xfrm>
        <a:prstGeom prst="rect">
          <a:avLst/>
        </a:prstGeom>
      </xdr:spPr>
    </xdr:pic>
    <xdr:clientData/>
  </xdr:twoCellAnchor>
  <xdr:twoCellAnchor editAs="oneCell">
    <xdr:from>
      <xdr:col>15</xdr:col>
      <xdr:colOff>199571</xdr:colOff>
      <xdr:row>10</xdr:row>
      <xdr:rowOff>127000</xdr:rowOff>
    </xdr:from>
    <xdr:to>
      <xdr:col>17</xdr:col>
      <xdr:colOff>662214</xdr:colOff>
      <xdr:row>14</xdr:row>
      <xdr:rowOff>134631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C69AB28-508F-4D9C-A103-6F0E01E38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76531" y="2252980"/>
          <a:ext cx="2139043" cy="899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E00B-8B07-41DE-B93E-ED56DA9A4ABD}">
  <dimension ref="A1:AI31"/>
  <sheetViews>
    <sheetView tabSelected="1" zoomScale="84" zoomScaleNormal="84" workbookViewId="0">
      <selection activeCell="U30" sqref="U30"/>
    </sheetView>
  </sheetViews>
  <sheetFormatPr defaultColWidth="8.88671875" defaultRowHeight="15.6" x14ac:dyDescent="0.3"/>
  <cols>
    <col min="1" max="1" width="16.5546875" style="4" customWidth="1"/>
    <col min="2" max="2" width="10.33203125" style="4" customWidth="1"/>
    <col min="3" max="3" width="11.109375" style="4" customWidth="1"/>
    <col min="4" max="4" width="38.44140625" style="4" customWidth="1"/>
    <col min="5" max="5" width="14.33203125" style="4" customWidth="1"/>
    <col min="6" max="6" width="8.88671875" style="4"/>
    <col min="7" max="7" width="13.77734375" style="4" customWidth="1"/>
    <col min="8" max="10" width="8.88671875" style="4"/>
    <col min="11" max="11" width="10.5546875" style="4" customWidth="1"/>
    <col min="12" max="12" width="12.109375" style="4" customWidth="1"/>
    <col min="13" max="13" width="8.88671875" style="4"/>
    <col min="14" max="14" width="16" style="4" customWidth="1"/>
    <col min="15" max="15" width="13.21875" style="4" customWidth="1"/>
    <col min="16" max="16" width="10.77734375" style="4" customWidth="1"/>
    <col min="17" max="17" width="13.6640625" style="4" customWidth="1"/>
    <col min="18" max="18" width="12.21875" style="4" customWidth="1"/>
    <col min="19" max="25" width="8.88671875" style="4"/>
    <col min="26" max="26" width="14.6640625" style="4" bestFit="1" customWidth="1"/>
    <col min="27" max="16384" width="8.88671875" style="4"/>
  </cols>
  <sheetData>
    <row r="1" spans="1:35" x14ac:dyDescent="0.3">
      <c r="A1" s="1" t="s">
        <v>0</v>
      </c>
      <c r="B1" s="1"/>
      <c r="C1" s="1"/>
      <c r="D1" s="1"/>
      <c r="E1" s="2"/>
      <c r="F1" s="2"/>
      <c r="G1" s="3" t="s">
        <v>1</v>
      </c>
      <c r="H1" s="3"/>
      <c r="I1" s="2"/>
      <c r="J1" s="2"/>
      <c r="K1" s="2"/>
      <c r="L1" s="2"/>
    </row>
    <row r="2" spans="1:35" x14ac:dyDescent="0.3">
      <c r="A2" s="5"/>
      <c r="B2" s="5"/>
      <c r="C2" s="5"/>
      <c r="D2" s="5"/>
      <c r="E2" s="2"/>
      <c r="F2" s="2"/>
      <c r="G2" s="6" t="s">
        <v>2</v>
      </c>
      <c r="H2" s="6">
        <v>1</v>
      </c>
      <c r="I2" s="2"/>
      <c r="J2" s="2"/>
      <c r="K2" s="2"/>
      <c r="L2" s="2"/>
      <c r="N2" s="7" t="s">
        <v>3</v>
      </c>
    </row>
    <row r="3" spans="1:35" ht="18.600000000000001" x14ac:dyDescent="0.3">
      <c r="A3" s="8" t="s">
        <v>4</v>
      </c>
      <c r="B3" s="9" t="s">
        <v>5</v>
      </c>
      <c r="C3" s="9"/>
      <c r="D3" s="9"/>
      <c r="E3" s="2"/>
      <c r="F3" s="2"/>
      <c r="G3" s="6" t="s">
        <v>6</v>
      </c>
      <c r="H3" s="6">
        <v>2</v>
      </c>
      <c r="I3" s="2"/>
      <c r="J3" s="10" t="s">
        <v>7</v>
      </c>
      <c r="K3" s="10">
        <v>9.81</v>
      </c>
      <c r="L3" s="10" t="s">
        <v>8</v>
      </c>
      <c r="N3" s="11" t="s">
        <v>9</v>
      </c>
      <c r="O3" s="11"/>
      <c r="Q3" s="12"/>
      <c r="R3" s="12"/>
      <c r="S3" s="12"/>
      <c r="V3" s="13"/>
      <c r="W3" s="13"/>
    </row>
    <row r="4" spans="1:35" ht="18" x14ac:dyDescent="0.4">
      <c r="A4" s="5"/>
      <c r="B4" s="14"/>
      <c r="C4" s="14"/>
      <c r="D4" s="14"/>
      <c r="E4" s="2"/>
      <c r="F4" s="2"/>
      <c r="G4" s="6" t="s">
        <v>10</v>
      </c>
      <c r="H4" s="6">
        <v>1</v>
      </c>
      <c r="I4" s="2"/>
      <c r="J4" s="2"/>
      <c r="K4" s="2"/>
      <c r="L4" s="2"/>
      <c r="N4" s="15" t="s">
        <v>11</v>
      </c>
      <c r="O4" s="16" t="s">
        <v>12</v>
      </c>
      <c r="Q4" s="12"/>
      <c r="R4" s="12"/>
      <c r="S4" s="12"/>
    </row>
    <row r="5" spans="1:35" x14ac:dyDescent="0.3">
      <c r="A5" s="17" t="s">
        <v>13</v>
      </c>
      <c r="B5" s="17"/>
      <c r="C5" s="18"/>
      <c r="D5" s="18"/>
      <c r="E5" s="2"/>
      <c r="F5" s="2"/>
      <c r="G5" s="2"/>
      <c r="H5" s="2"/>
      <c r="I5" s="2"/>
      <c r="J5" s="2"/>
      <c r="K5" s="2"/>
      <c r="L5" s="2"/>
      <c r="N5" s="19">
        <f>B9</f>
        <v>0.03</v>
      </c>
      <c r="O5" s="16">
        <f>D24</f>
        <v>2.8953600000000003E-2</v>
      </c>
      <c r="Q5" s="12"/>
      <c r="R5" s="12"/>
      <c r="S5" s="12"/>
    </row>
    <row r="6" spans="1:35" x14ac:dyDescent="0.3">
      <c r="A6" s="20" t="s">
        <v>14</v>
      </c>
      <c r="B6" s="20">
        <v>298</v>
      </c>
      <c r="C6" s="10" t="s">
        <v>15</v>
      </c>
      <c r="D6" s="10"/>
      <c r="E6" s="2"/>
      <c r="F6" s="2"/>
      <c r="G6" s="21" t="s">
        <v>16</v>
      </c>
      <c r="H6" s="2"/>
      <c r="I6" s="2"/>
      <c r="J6" s="2"/>
      <c r="K6" s="2"/>
      <c r="L6" s="2"/>
      <c r="Q6" s="12"/>
      <c r="R6" s="12"/>
      <c r="S6" s="12"/>
    </row>
    <row r="7" spans="1:35" x14ac:dyDescent="0.3">
      <c r="A7" s="22" t="s">
        <v>17</v>
      </c>
      <c r="B7" s="20">
        <v>0.4</v>
      </c>
      <c r="C7" s="10" t="s">
        <v>18</v>
      </c>
      <c r="D7" s="20" t="s">
        <v>19</v>
      </c>
      <c r="E7" s="2"/>
      <c r="F7" s="2"/>
      <c r="G7" s="23"/>
      <c r="H7" s="23"/>
      <c r="I7" s="23"/>
      <c r="J7" s="24" t="s">
        <v>20</v>
      </c>
      <c r="K7" s="25">
        <f>10^(5.3+0.035*B7-1140/B6)</f>
        <v>30.796165458428419</v>
      </c>
      <c r="L7" s="26" t="s">
        <v>21</v>
      </c>
      <c r="N7" s="25" t="s">
        <v>22</v>
      </c>
      <c r="O7" s="27">
        <f>K13</f>
        <v>0.11343838268710758</v>
      </c>
      <c r="Q7" s="12"/>
      <c r="R7" s="12"/>
      <c r="S7" s="12"/>
      <c r="Z7" s="28"/>
    </row>
    <row r="8" spans="1:35" x14ac:dyDescent="0.3">
      <c r="A8" s="22" t="s">
        <v>23</v>
      </c>
      <c r="B8" s="20">
        <v>91.2</v>
      </c>
      <c r="C8" s="10" t="s">
        <v>24</v>
      </c>
      <c r="D8" s="20" t="s">
        <v>25</v>
      </c>
      <c r="E8" s="2"/>
      <c r="F8" s="2"/>
      <c r="G8" s="23"/>
      <c r="H8" s="23"/>
      <c r="I8" s="23"/>
      <c r="J8" s="24"/>
      <c r="K8" s="25"/>
      <c r="L8" s="25"/>
      <c r="N8" s="29" t="s">
        <v>26</v>
      </c>
      <c r="O8" s="29"/>
      <c r="P8" s="30"/>
      <c r="Q8" s="12"/>
      <c r="R8" s="12"/>
      <c r="S8" s="12"/>
      <c r="Z8" s="28"/>
    </row>
    <row r="9" spans="1:35" ht="19.2" x14ac:dyDescent="0.45">
      <c r="A9" s="22" t="s">
        <v>11</v>
      </c>
      <c r="B9" s="20">
        <v>0.03</v>
      </c>
      <c r="C9" s="10" t="s">
        <v>27</v>
      </c>
      <c r="D9" s="20" t="s">
        <v>28</v>
      </c>
      <c r="E9" s="2"/>
      <c r="F9" s="2"/>
      <c r="G9" s="12"/>
      <c r="H9" s="12"/>
      <c r="I9" s="12"/>
      <c r="J9" s="31" t="s">
        <v>29</v>
      </c>
      <c r="K9" s="25">
        <f>B8/K7</f>
        <v>2.9614076506736011</v>
      </c>
      <c r="L9" s="10" t="s">
        <v>18</v>
      </c>
      <c r="N9" s="32" t="s">
        <v>30</v>
      </c>
      <c r="O9" s="10">
        <f>50000*10^-2</f>
        <v>500</v>
      </c>
      <c r="P9" s="33" t="s">
        <v>31</v>
      </c>
      <c r="Q9" s="12"/>
      <c r="R9" s="12"/>
      <c r="S9" s="12"/>
    </row>
    <row r="10" spans="1:35" ht="18" x14ac:dyDescent="0.3">
      <c r="A10" s="22" t="s">
        <v>32</v>
      </c>
      <c r="B10" s="20">
        <v>100</v>
      </c>
      <c r="C10" s="10" t="s">
        <v>33</v>
      </c>
      <c r="D10" s="20" t="s">
        <v>34</v>
      </c>
      <c r="E10" s="2"/>
      <c r="F10" s="2"/>
      <c r="G10" s="12"/>
      <c r="H10" s="12"/>
      <c r="I10" s="12"/>
      <c r="J10" s="2"/>
      <c r="K10" s="2"/>
      <c r="L10" s="2"/>
      <c r="N10" s="10" t="s">
        <v>35</v>
      </c>
      <c r="O10" s="6">
        <v>0.8</v>
      </c>
      <c r="AG10" s="34"/>
      <c r="AH10" s="34"/>
      <c r="AI10" s="34"/>
    </row>
    <row r="11" spans="1:35" ht="18.600000000000001" customHeight="1" x14ac:dyDescent="0.4">
      <c r="A11" s="22" t="s">
        <v>36</v>
      </c>
      <c r="B11" s="20">
        <v>3.77</v>
      </c>
      <c r="C11" s="20" t="s">
        <v>37</v>
      </c>
      <c r="D11" s="20" t="s">
        <v>38</v>
      </c>
      <c r="E11" s="2"/>
      <c r="F11" s="2"/>
      <c r="G11" s="12"/>
      <c r="H11" s="12"/>
      <c r="I11" s="12"/>
      <c r="J11" s="24" t="s">
        <v>39</v>
      </c>
      <c r="K11" s="25">
        <f>B9/B10</f>
        <v>2.9999999999999997E-4</v>
      </c>
      <c r="L11" s="25"/>
      <c r="N11" s="35" t="s">
        <v>40</v>
      </c>
      <c r="O11" s="35"/>
      <c r="P11" s="12"/>
      <c r="Q11" s="12"/>
      <c r="R11" s="12"/>
      <c r="AA11" s="36"/>
    </row>
    <row r="12" spans="1:35" ht="18" x14ac:dyDescent="0.4">
      <c r="A12" s="37" t="s">
        <v>41</v>
      </c>
      <c r="B12" s="26">
        <f>1.92*10^(-9)</f>
        <v>1.92E-9</v>
      </c>
      <c r="C12" s="26" t="s">
        <v>8</v>
      </c>
      <c r="D12" s="25"/>
      <c r="E12" s="2"/>
      <c r="F12" s="2"/>
      <c r="G12" s="12"/>
      <c r="H12" s="12"/>
      <c r="I12" s="12"/>
      <c r="J12" s="24"/>
      <c r="K12" s="25"/>
      <c r="L12" s="25"/>
      <c r="N12" s="35"/>
      <c r="O12" s="35"/>
      <c r="P12" s="12"/>
      <c r="Q12" s="12"/>
      <c r="R12" s="12"/>
      <c r="AA12" s="34"/>
      <c r="AB12" s="34"/>
    </row>
    <row r="13" spans="1:35" ht="18" x14ac:dyDescent="0.4">
      <c r="A13" s="25" t="s">
        <v>42</v>
      </c>
      <c r="B13" s="25">
        <f>0.89*10^-3</f>
        <v>8.9000000000000006E-4</v>
      </c>
      <c r="C13" s="38" t="s">
        <v>43</v>
      </c>
      <c r="D13" s="25"/>
      <c r="E13" s="2"/>
      <c r="F13" s="2"/>
      <c r="G13" s="12"/>
      <c r="H13" s="12"/>
      <c r="I13" s="12"/>
      <c r="J13" s="24" t="s">
        <v>22</v>
      </c>
      <c r="K13" s="25">
        <f>SQRT(B11*B12*(B7^2))/K11</f>
        <v>0.11343838268710758</v>
      </c>
      <c r="L13" s="25"/>
      <c r="N13" s="6" t="s">
        <v>44</v>
      </c>
      <c r="O13" s="39">
        <v>6.8122800000000003</v>
      </c>
      <c r="P13" s="12"/>
      <c r="Q13" s="12"/>
      <c r="R13" s="12"/>
      <c r="AA13" s="34"/>
      <c r="AB13" s="34"/>
    </row>
    <row r="14" spans="1:35" x14ac:dyDescent="0.3">
      <c r="A14" s="40" t="s">
        <v>45</v>
      </c>
      <c r="B14" s="25">
        <v>11.9</v>
      </c>
      <c r="C14" s="25" t="s">
        <v>46</v>
      </c>
      <c r="D14" s="41" t="s">
        <v>26</v>
      </c>
      <c r="E14" s="2"/>
      <c r="F14" s="2"/>
      <c r="G14" s="12"/>
      <c r="H14" s="12"/>
      <c r="I14" s="12"/>
      <c r="J14" s="24"/>
      <c r="K14" s="25"/>
      <c r="L14" s="25"/>
      <c r="N14" s="6" t="s">
        <v>47</v>
      </c>
      <c r="O14" s="39">
        <v>1301.6790000000001</v>
      </c>
      <c r="P14" s="12"/>
      <c r="Q14" s="12"/>
      <c r="R14" s="12"/>
      <c r="W14" s="13"/>
      <c r="X14" s="13"/>
    </row>
    <row r="15" spans="1:35" ht="18" x14ac:dyDescent="0.3">
      <c r="A15" s="10" t="s">
        <v>48</v>
      </c>
      <c r="B15" s="42">
        <v>1.9650000000000001</v>
      </c>
      <c r="C15" s="42" t="s">
        <v>49</v>
      </c>
      <c r="D15" s="10"/>
      <c r="E15" s="2"/>
      <c r="F15" s="2"/>
      <c r="G15" s="12"/>
      <c r="H15" s="12"/>
      <c r="I15" s="12"/>
      <c r="J15" s="24"/>
      <c r="K15" s="25"/>
      <c r="L15" s="25"/>
      <c r="N15" s="6" t="s">
        <v>50</v>
      </c>
      <c r="O15" s="39">
        <v>-3.4940000000000002</v>
      </c>
      <c r="P15" s="12"/>
      <c r="Q15" s="12"/>
      <c r="R15" s="43"/>
    </row>
    <row r="16" spans="1:35" ht="18" x14ac:dyDescent="0.4">
      <c r="A16" s="44" t="s">
        <v>51</v>
      </c>
      <c r="B16" s="44"/>
      <c r="G16" s="12"/>
      <c r="H16" s="12"/>
      <c r="I16" s="12"/>
      <c r="J16" s="45" t="s">
        <v>41</v>
      </c>
      <c r="K16" s="6">
        <f>2.35*10^(-6)*EXP(-2119/B6)</f>
        <v>1.9182865238833547E-9</v>
      </c>
      <c r="L16" s="26" t="s">
        <v>8</v>
      </c>
      <c r="R16" s="12" t="s">
        <v>52</v>
      </c>
      <c r="S16" s="12"/>
      <c r="T16" s="12"/>
      <c r="AD16" s="46"/>
    </row>
    <row r="17" spans="1:24" ht="18" x14ac:dyDescent="0.4">
      <c r="A17" s="6" t="s">
        <v>53</v>
      </c>
      <c r="B17" s="6">
        <f>B11*(B7^2)*0.06</f>
        <v>3.6192000000000002E-2</v>
      </c>
      <c r="C17" s="6"/>
      <c r="D17" s="47"/>
      <c r="G17" s="12"/>
      <c r="H17" s="12"/>
      <c r="I17" s="12"/>
      <c r="J17" s="48"/>
      <c r="K17" s="6"/>
      <c r="L17" s="6"/>
      <c r="N17" s="6" t="s">
        <v>54</v>
      </c>
      <c r="O17" s="6">
        <f>(O13-(O14/(O15+B6)))</f>
        <v>2.3924073997813284</v>
      </c>
      <c r="P17" s="6" t="s">
        <v>55</v>
      </c>
      <c r="R17" s="6" t="s">
        <v>54</v>
      </c>
      <c r="S17" s="6">
        <f>O17*10^5</f>
        <v>239240.73997813286</v>
      </c>
      <c r="T17" s="6" t="s">
        <v>56</v>
      </c>
    </row>
    <row r="18" spans="1:24" ht="18" x14ac:dyDescent="0.4">
      <c r="A18" s="22" t="s">
        <v>57</v>
      </c>
      <c r="B18" s="20">
        <f>B9*K9</f>
        <v>8.8842229520208024E-2</v>
      </c>
      <c r="C18" s="6"/>
      <c r="D18" s="6"/>
      <c r="G18" s="12"/>
      <c r="H18" s="12"/>
      <c r="I18" s="12"/>
      <c r="J18" s="45" t="s">
        <v>58</v>
      </c>
      <c r="K18" s="6">
        <f>2.16*10^(-15)*B6/B13</f>
        <v>7.2323595505617988E-10</v>
      </c>
      <c r="L18" s="26" t="s">
        <v>8</v>
      </c>
      <c r="N18" s="6" t="s">
        <v>59</v>
      </c>
      <c r="O18" s="6">
        <v>4</v>
      </c>
      <c r="P18" s="6" t="s">
        <v>55</v>
      </c>
      <c r="Q18" s="41" t="s">
        <v>26</v>
      </c>
      <c r="R18" s="6" t="s">
        <v>59</v>
      </c>
      <c r="S18" s="6">
        <f>O18*10^5</f>
        <v>400000</v>
      </c>
      <c r="T18" s="6" t="s">
        <v>56</v>
      </c>
    </row>
    <row r="19" spans="1:24" ht="37.200000000000003" x14ac:dyDescent="0.3">
      <c r="A19" s="49" t="s">
        <v>60</v>
      </c>
      <c r="B19" s="50" t="s">
        <v>61</v>
      </c>
      <c r="C19" s="51" t="s">
        <v>62</v>
      </c>
      <c r="D19" s="52" t="s">
        <v>53</v>
      </c>
      <c r="G19" s="12"/>
      <c r="H19" s="12"/>
      <c r="I19" s="12"/>
      <c r="J19" s="48"/>
      <c r="K19" s="6"/>
      <c r="L19" s="6"/>
      <c r="S19" s="35" t="s">
        <v>63</v>
      </c>
      <c r="T19" s="35"/>
    </row>
    <row r="20" spans="1:24" ht="33.6" x14ac:dyDescent="0.3">
      <c r="D20" s="53" t="s">
        <v>64</v>
      </c>
      <c r="G20" s="12"/>
      <c r="H20" s="12"/>
      <c r="I20" s="12"/>
      <c r="J20" s="48"/>
      <c r="K20" s="6"/>
      <c r="L20" s="6"/>
      <c r="N20" s="54" t="s">
        <v>65</v>
      </c>
      <c r="O20" s="10">
        <v>1.1519999999999999</v>
      </c>
      <c r="P20" s="10" t="s">
        <v>66</v>
      </c>
      <c r="Q20" s="55" t="s">
        <v>26</v>
      </c>
      <c r="S20" s="56" t="s">
        <v>67</v>
      </c>
      <c r="T20" s="6">
        <f>N5*O20/K7</f>
        <v>1.1222176360447327E-3</v>
      </c>
    </row>
    <row r="21" spans="1:24" ht="18" x14ac:dyDescent="0.4">
      <c r="C21" s="4" t="s">
        <v>68</v>
      </c>
      <c r="D21" s="18">
        <v>0.8</v>
      </c>
      <c r="E21" s="57" t="s">
        <v>26</v>
      </c>
      <c r="G21" s="58"/>
      <c r="H21" s="58"/>
      <c r="I21" s="58"/>
      <c r="J21" s="59" t="s">
        <v>69</v>
      </c>
      <c r="K21" s="6">
        <f>1+((B7/K9)*((K16/K18)^0.5))</f>
        <v>1.2199776361822874</v>
      </c>
      <c r="L21" s="6"/>
      <c r="N21" s="6" t="s">
        <v>70</v>
      </c>
      <c r="O21" s="6">
        <v>6.38</v>
      </c>
      <c r="P21" s="6" t="s">
        <v>2</v>
      </c>
      <c r="Q21" s="55" t="s">
        <v>26</v>
      </c>
    </row>
    <row r="22" spans="1:24" x14ac:dyDescent="0.3">
      <c r="C22" s="60" t="s">
        <v>71</v>
      </c>
      <c r="D22" s="12"/>
      <c r="G22" s="58"/>
      <c r="H22" s="58"/>
      <c r="I22" s="58"/>
    </row>
    <row r="23" spans="1:24" x14ac:dyDescent="0.3">
      <c r="C23" s="61"/>
      <c r="D23" s="12"/>
      <c r="G23" s="58"/>
      <c r="H23" s="58"/>
      <c r="I23" s="58"/>
    </row>
    <row r="24" spans="1:24" x14ac:dyDescent="0.3">
      <c r="C24" s="62"/>
      <c r="D24" s="10">
        <f>B17*D21</f>
        <v>2.8953600000000003E-2</v>
      </c>
    </row>
    <row r="26" spans="1:24" ht="46.8" x14ac:dyDescent="0.3">
      <c r="A26" s="63" t="s">
        <v>72</v>
      </c>
      <c r="B26" s="64"/>
      <c r="C26" s="64"/>
      <c r="D26" s="64">
        <f>80</f>
        <v>80</v>
      </c>
      <c r="E26" s="64" t="s">
        <v>73</v>
      </c>
      <c r="O26" s="12" t="s">
        <v>74</v>
      </c>
      <c r="P26" s="12"/>
      <c r="R26" s="10" t="s">
        <v>75</v>
      </c>
      <c r="W26" s="13"/>
      <c r="X26" s="13"/>
    </row>
    <row r="27" spans="1:24" x14ac:dyDescent="0.3">
      <c r="O27" s="6" t="s">
        <v>76</v>
      </c>
      <c r="P27" s="6">
        <f>S18*O21</f>
        <v>2552000</v>
      </c>
      <c r="R27" s="10">
        <f>O9*(LN(0.995)-LN(0.0995))</f>
        <v>1151.2925464970228</v>
      </c>
    </row>
    <row r="28" spans="1:24" x14ac:dyDescent="0.3">
      <c r="O28" s="6" t="s">
        <v>77</v>
      </c>
      <c r="P28" s="6">
        <f>B15*K3*(O21^2)*O10/2</f>
        <v>313.85778890400002</v>
      </c>
    </row>
    <row r="29" spans="1:24" x14ac:dyDescent="0.3">
      <c r="O29" s="6" t="s">
        <v>78</v>
      </c>
      <c r="P29" s="6">
        <f>-S17*O21</f>
        <v>-1526355.9210604876</v>
      </c>
    </row>
    <row r="30" spans="1:24" x14ac:dyDescent="0.3">
      <c r="O30" s="6"/>
      <c r="P30" s="6"/>
    </row>
    <row r="31" spans="1:24" x14ac:dyDescent="0.3">
      <c r="O31" s="6" t="s">
        <v>79</v>
      </c>
      <c r="P31" s="6">
        <f>T20*(P27+P28+P29)</f>
        <v>1151.348090436695</v>
      </c>
    </row>
  </sheetData>
  <mergeCells count="22">
    <mergeCell ref="O26:P26"/>
    <mergeCell ref="A16:B16"/>
    <mergeCell ref="R16:T16"/>
    <mergeCell ref="S19:T19"/>
    <mergeCell ref="G21:I23"/>
    <mergeCell ref="C22:C24"/>
    <mergeCell ref="D22:D23"/>
    <mergeCell ref="AG10:AI10"/>
    <mergeCell ref="G11:I14"/>
    <mergeCell ref="N11:O12"/>
    <mergeCell ref="P11:R15"/>
    <mergeCell ref="AA12:AB13"/>
    <mergeCell ref="G15:I20"/>
    <mergeCell ref="A1:D1"/>
    <mergeCell ref="G1:H1"/>
    <mergeCell ref="B3:D3"/>
    <mergeCell ref="N3:O3"/>
    <mergeCell ref="Q3:S9"/>
    <mergeCell ref="A5:B5"/>
    <mergeCell ref="G7:I8"/>
    <mergeCell ref="N8:P8"/>
    <mergeCell ref="G9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Bubble_Column_Design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Patra</dc:creator>
  <cp:lastModifiedBy>Dev Patra</cp:lastModifiedBy>
  <dcterms:created xsi:type="dcterms:W3CDTF">2025-06-09T06:59:19Z</dcterms:created>
  <dcterms:modified xsi:type="dcterms:W3CDTF">2025-06-09T06:59:53Z</dcterms:modified>
</cp:coreProperties>
</file>