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a\OneDrive\Desktop\Dev Personal\MPRE_assignment\"/>
    </mc:Choice>
  </mc:AlternateContent>
  <xr:revisionPtr revIDLastSave="0" documentId="8_{99B0FD9A-970A-4BAC-9EA2-AA066AAC8465}" xr6:coauthVersionLast="47" xr6:coauthVersionMax="47" xr10:uidLastSave="{00000000-0000-0000-0000-000000000000}"/>
  <bookViews>
    <workbookView xWindow="-108" yWindow="-108" windowWidth="23256" windowHeight="12456" xr2:uid="{5B5C6752-16CA-472B-B963-1C8D7564B4F3}"/>
  </bookViews>
  <sheets>
    <sheet name="CSTR_Desig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6" i="1" l="1"/>
  <c r="D26" i="1"/>
  <c r="AB19" i="1"/>
  <c r="AB21" i="1" s="1"/>
  <c r="AD17" i="1"/>
  <c r="B17" i="1"/>
  <c r="D24" i="1" s="1"/>
  <c r="K16" i="1"/>
  <c r="K13" i="1"/>
  <c r="B13" i="1"/>
  <c r="K18" i="1" s="1"/>
  <c r="B12" i="1"/>
  <c r="K11" i="1"/>
  <c r="Z9" i="1"/>
  <c r="AA8" i="1"/>
  <c r="AA7" i="1"/>
  <c r="Z11" i="1" s="1"/>
  <c r="K7" i="1"/>
  <c r="K9" i="1" s="1"/>
  <c r="B18" i="1" l="1"/>
  <c r="K21" i="1"/>
  <c r="O14" i="1"/>
  <c r="O13" i="1" s="1"/>
  <c r="Y5" i="1" l="1"/>
  <c r="AA5" i="1" s="1"/>
  <c r="AH11" i="1" s="1"/>
  <c r="Z10" i="1" s="1"/>
  <c r="O15" i="1"/>
  <c r="P17" i="1" s="1"/>
  <c r="P19" i="1" l="1"/>
  <c r="P24" i="1"/>
  <c r="Z12" i="1"/>
  <c r="P26" i="1" l="1"/>
  <c r="P21" i="1"/>
  <c r="AB20" i="1" s="1"/>
  <c r="AB22" i="1" s="1"/>
  <c r="AB24" i="1" s="1"/>
  <c r="AA28" i="1"/>
  <c r="P20" i="1"/>
  <c r="AE23" i="1" s="1"/>
  <c r="AA32" i="1" l="1"/>
  <c r="AA33" i="1" s="1"/>
  <c r="AA35" i="1" s="1"/>
  <c r="AA37" i="1" s="1"/>
  <c r="AA38" i="1" s="1"/>
  <c r="Z41" i="1" s="1"/>
  <c r="Z43" i="1" s="1"/>
  <c r="P25" i="1"/>
  <c r="P27" i="1" s="1"/>
</calcChain>
</file>

<file path=xl/sharedStrings.xml><?xml version="1.0" encoding="utf-8"?>
<sst xmlns="http://schemas.openxmlformats.org/spreadsheetml/2006/main" count="155" uniqueCount="127">
  <si>
    <t>CO2​+DIPA→Products(1st order in CO₂, 2nd order in DIPA)</t>
  </si>
  <si>
    <r>
      <rPr>
        <b/>
        <sz val="12"/>
        <color theme="8" tint="0.39997558519241921"/>
        <rFont val="Times New Roman"/>
        <family val="1"/>
      </rPr>
      <t xml:space="preserve"> #</t>
    </r>
    <r>
      <rPr>
        <b/>
        <sz val="12"/>
        <color theme="4" tint="-0.249977111117893"/>
        <rFont val="Times New Roman"/>
        <family val="1"/>
      </rPr>
      <t xml:space="preserve"> Given:</t>
    </r>
  </si>
  <si>
    <t>m</t>
  </si>
  <si>
    <r>
      <rPr>
        <b/>
        <sz val="12"/>
        <color theme="8" tint="0.39997558519241921"/>
        <rFont val="Times New Roman"/>
        <family val="1"/>
      </rPr>
      <t>#</t>
    </r>
    <r>
      <rPr>
        <b/>
        <sz val="12"/>
        <color theme="4" tint="-0.249977111117893"/>
        <rFont val="Times New Roman"/>
        <family val="1"/>
      </rPr>
      <t xml:space="preserve"> Rate law:</t>
    </r>
  </si>
  <si>
    <r>
      <t>k</t>
    </r>
    <r>
      <rPr>
        <vertAlign val="subscript"/>
        <sz val="12"/>
        <color theme="1"/>
        <rFont val="Times New Roman"/>
        <family val="1"/>
      </rPr>
      <t>1,2</t>
    </r>
    <r>
      <rPr>
        <sz val="12"/>
        <color theme="1"/>
        <rFont val="Times New Roman"/>
        <family val="1"/>
      </rPr>
      <t>​</t>
    </r>
    <r>
      <rPr>
        <i/>
        <sz val="12"/>
        <color theme="1"/>
        <rFont val="Times New Roman"/>
        <family val="1"/>
      </rPr>
      <t>C</t>
    </r>
    <r>
      <rPr>
        <vertAlign val="subscript"/>
        <sz val="12"/>
        <color theme="1"/>
        <rFont val="Times New Roman"/>
        <family val="1"/>
      </rPr>
      <t>CO2​​</t>
    </r>
    <r>
      <rPr>
        <i/>
        <sz val="12"/>
        <color theme="1"/>
        <rFont val="Times New Roman"/>
        <family val="1"/>
      </rPr>
      <t>C</t>
    </r>
    <r>
      <rPr>
        <vertAlign val="subscript"/>
        <sz val="12"/>
        <color rgb="FF404040"/>
        <rFont val="Times New Roman"/>
        <family val="1"/>
      </rPr>
      <t>DIPA</t>
    </r>
    <r>
      <rPr>
        <vertAlign val="superscript"/>
        <sz val="12"/>
        <color rgb="FF404040"/>
        <rFont val="Times New Roman"/>
        <family val="1"/>
      </rPr>
      <t>2​</t>
    </r>
  </si>
  <si>
    <t>n</t>
  </si>
  <si>
    <r>
      <rPr>
        <b/>
        <sz val="12"/>
        <color theme="8" tint="0.39997558519241921"/>
        <rFont val="Times New Roman"/>
        <family val="1"/>
      </rPr>
      <t>#</t>
    </r>
    <r>
      <rPr>
        <b/>
        <sz val="12"/>
        <color theme="4" tint="-0.249977111117893"/>
        <rFont val="Times New Roman"/>
        <family val="1"/>
      </rPr>
      <t xml:space="preserve"> CSTR Design:</t>
    </r>
  </si>
  <si>
    <t>#</t>
  </si>
  <si>
    <t>Heat Transfer Calculation</t>
  </si>
  <si>
    <t>z</t>
  </si>
  <si>
    <t>Design Equation</t>
  </si>
  <si>
    <t>Operating Conditions:</t>
  </si>
  <si>
    <t xml:space="preserve">Production </t>
  </si>
  <si>
    <t>mol/hr</t>
  </si>
  <si>
    <t>mol/sec</t>
  </si>
  <si>
    <t>Mol wt</t>
  </si>
  <si>
    <t>kg/kmol</t>
  </si>
  <si>
    <t># Given</t>
  </si>
  <si>
    <t>Temperature</t>
  </si>
  <si>
    <t>K</t>
  </si>
  <si>
    <r>
      <t xml:space="preserve"> </t>
    </r>
    <r>
      <rPr>
        <b/>
        <sz val="12"/>
        <color theme="8" tint="0.39997558519241921"/>
        <rFont val="Times New Roman"/>
        <family val="1"/>
      </rPr>
      <t>#</t>
    </r>
    <r>
      <rPr>
        <b/>
        <sz val="12"/>
        <color theme="4" tint="-0.249977111117893"/>
        <rFont val="Times New Roman"/>
        <family val="1"/>
      </rPr>
      <t xml:space="preserve"> Calculations :</t>
    </r>
  </si>
  <si>
    <t>Assumptions:</t>
  </si>
  <si>
    <r>
      <t>C</t>
    </r>
    <r>
      <rPr>
        <sz val="12"/>
        <color rgb="FF404040"/>
        <rFont val="Times New Roman"/>
        <family val="1"/>
      </rPr>
      <t>DIPA</t>
    </r>
  </si>
  <si>
    <t>kmol/m3</t>
  </si>
  <si>
    <t>(mid-range from experiments).</t>
  </si>
  <si>
    <t>He</t>
  </si>
  <si>
    <t>kPa·m³/kmol</t>
  </si>
  <si>
    <t>Conversion</t>
  </si>
  <si>
    <t>#assumption</t>
  </si>
  <si>
    <t xml:space="preserve">Assuming temp in </t>
  </si>
  <si>
    <r>
      <rPr>
        <sz val="12"/>
        <color theme="1"/>
        <rFont val="Tw Cen MT"/>
        <family val="2"/>
      </rPr>
      <t>°</t>
    </r>
    <r>
      <rPr>
        <sz val="10.1"/>
        <color theme="1"/>
        <rFont val="Times New Roman"/>
        <family val="1"/>
      </rPr>
      <t>C</t>
    </r>
  </si>
  <si>
    <r>
      <t>p</t>
    </r>
    <r>
      <rPr>
        <sz val="12"/>
        <color rgb="FF404040"/>
        <rFont val="Times New Roman"/>
        <family val="1"/>
      </rPr>
      <t>CO2​</t>
    </r>
  </si>
  <si>
    <t>kPa</t>
  </si>
  <si>
    <t>(from Table 1).</t>
  </si>
  <si>
    <t xml:space="preserve">Outlet temp </t>
  </si>
  <si>
    <r>
      <t>k</t>
    </r>
    <r>
      <rPr>
        <i/>
        <vertAlign val="subscript"/>
        <sz val="12"/>
        <color rgb="FF404040"/>
        <rFont val="Times New Roman"/>
        <family val="1"/>
      </rPr>
      <t>L</t>
    </r>
    <r>
      <rPr>
        <sz val="12"/>
        <color rgb="FF404040"/>
        <rFont val="Times New Roman"/>
        <family val="1"/>
      </rPr>
      <t>​</t>
    </r>
    <r>
      <rPr>
        <i/>
        <sz val="12"/>
        <color rgb="FF404040"/>
        <rFont val="Times New Roman"/>
        <family val="1"/>
      </rPr>
      <t>a</t>
    </r>
  </si>
  <si>
    <t>s−1</t>
  </si>
  <si>
    <t>(assumed within typical range 0.1–0.5 s⁻¹).</t>
  </si>
  <si>
    <r>
      <t>C</t>
    </r>
    <r>
      <rPr>
        <i/>
        <vertAlign val="subscript"/>
        <sz val="12"/>
        <color rgb="FF404040"/>
        <rFont val="Times New Roman"/>
        <family val="1"/>
      </rPr>
      <t>CO</t>
    </r>
    <r>
      <rPr>
        <vertAlign val="subscript"/>
        <sz val="12"/>
        <color rgb="FF404040"/>
        <rFont val="Times New Roman"/>
        <family val="1"/>
      </rPr>
      <t>2​∗​</t>
    </r>
  </si>
  <si>
    <t>Volumetric flow rate of gas (Qg)</t>
  </si>
  <si>
    <t>m³/s</t>
  </si>
  <si>
    <t xml:space="preserve">Specific heat of water </t>
  </si>
  <si>
    <t>KJ/Kg*K</t>
  </si>
  <si>
    <t>a</t>
  </si>
  <si>
    <t>m2/m3</t>
  </si>
  <si>
    <t>(specific interfacial area for stirred tanks).</t>
  </si>
  <si>
    <t xml:space="preserve">Mass flow rate </t>
  </si>
  <si>
    <t>kg/sec</t>
  </si>
  <si>
    <t xml:space="preserve">Now for Verification </t>
  </si>
  <si>
    <r>
      <t>k</t>
    </r>
    <r>
      <rPr>
        <sz val="12"/>
        <color rgb="FF404040"/>
        <rFont val="Times New Roman"/>
        <family val="1"/>
      </rPr>
      <t>1,2</t>
    </r>
  </si>
  <si>
    <r>
      <t>m</t>
    </r>
    <r>
      <rPr>
        <vertAlign val="superscript"/>
        <sz val="12"/>
        <color rgb="FF404040"/>
        <rFont val="Times New Roman"/>
        <family val="1"/>
      </rPr>
      <t>6</t>
    </r>
    <r>
      <rPr>
        <sz val="12"/>
        <color rgb="FF404040"/>
        <rFont val="Times New Roman"/>
        <family val="1"/>
      </rPr>
      <t>/kmol</t>
    </r>
    <r>
      <rPr>
        <vertAlign val="superscript"/>
        <sz val="12"/>
        <color rgb="FF404040"/>
        <rFont val="Times New Roman"/>
        <family val="1"/>
      </rPr>
      <t>2</t>
    </r>
    <r>
      <rPr>
        <sz val="12"/>
        <color rgb="FF404040"/>
        <rFont val="Times New Roman"/>
        <family val="1"/>
      </rPr>
      <t>⋅s</t>
    </r>
  </si>
  <si>
    <t>(at 298 K, from Table 2)</t>
  </si>
  <si>
    <r>
      <t>k</t>
    </r>
    <r>
      <rPr>
        <vertAlign val="subscript"/>
        <sz val="12"/>
        <color theme="1"/>
        <rFont val="Times New Roman"/>
        <family val="1"/>
      </rPr>
      <t>L</t>
    </r>
    <r>
      <rPr>
        <sz val="12"/>
        <color theme="1"/>
        <rFont val="Times New Roman"/>
        <family val="1"/>
      </rPr>
      <t>​</t>
    </r>
  </si>
  <si>
    <t>LMTD</t>
  </si>
  <si>
    <t>°K</t>
  </si>
  <si>
    <t>Q</t>
  </si>
  <si>
    <t>KJ/sec</t>
  </si>
  <si>
    <r>
      <t>D</t>
    </r>
    <r>
      <rPr>
        <vertAlign val="subscript"/>
        <sz val="12"/>
        <color rgb="FF404040"/>
        <rFont val="Times New Roman"/>
        <family val="1"/>
      </rPr>
      <t>CO2​</t>
    </r>
  </si>
  <si>
    <t>m2/s</t>
  </si>
  <si>
    <r>
      <t>μ</t>
    </r>
    <r>
      <rPr>
        <vertAlign val="subscript"/>
        <sz val="12"/>
        <color theme="1"/>
        <rFont val="Times New Roman"/>
        <family val="1"/>
      </rPr>
      <t>b</t>
    </r>
  </si>
  <si>
    <t>Pa/s</t>
  </si>
  <si>
    <t>Ha</t>
  </si>
  <si>
    <r>
      <t>F</t>
    </r>
    <r>
      <rPr>
        <vertAlign val="subscript"/>
        <sz val="12"/>
        <color theme="1"/>
        <rFont val="Times New Roman"/>
        <family val="1"/>
      </rPr>
      <t>CO2,in</t>
    </r>
  </si>
  <si>
    <r>
      <rPr>
        <sz val="12"/>
        <color theme="1"/>
        <rFont val="Tw Cen MT"/>
        <family val="2"/>
      </rPr>
      <t>∆</t>
    </r>
    <r>
      <rPr>
        <sz val="10.1"/>
        <color theme="1"/>
        <rFont val="Times New Roman"/>
        <family val="1"/>
      </rPr>
      <t>H</t>
    </r>
  </si>
  <si>
    <t>KJ/mol</t>
  </si>
  <si>
    <t>(Assumption)</t>
  </si>
  <si>
    <r>
      <t>F</t>
    </r>
    <r>
      <rPr>
        <vertAlign val="subscript"/>
        <sz val="12"/>
        <color theme="1"/>
        <rFont val="Times New Roman"/>
        <family val="1"/>
      </rPr>
      <t>CO2,out</t>
    </r>
  </si>
  <si>
    <t xml:space="preserve">For Internal Heat Transfer Coefficient </t>
  </si>
  <si>
    <t>Volume of the Reactor</t>
  </si>
  <si>
    <t>m³</t>
  </si>
  <si>
    <r>
      <rPr>
        <b/>
        <sz val="12"/>
        <color theme="8" tint="0.39997558519241921"/>
        <rFont val="Times New Roman"/>
        <family val="1"/>
      </rPr>
      <t>#</t>
    </r>
    <r>
      <rPr>
        <b/>
        <sz val="12"/>
        <color theme="4" tint="-0.249977111117893"/>
        <rFont val="Times New Roman"/>
        <family val="1"/>
      </rPr>
      <t xml:space="preserve"> Regime Identification</t>
    </r>
  </si>
  <si>
    <t>Thermal conductivity of DIPA</t>
  </si>
  <si>
    <t>W/m.K</t>
  </si>
  <si>
    <t>https://cameochemicals.noaa.gov/chris/DIP.pdf</t>
  </si>
  <si>
    <t>Rate of Reaction</t>
  </si>
  <si>
    <t>Volume(30%excess)</t>
  </si>
  <si>
    <t>m3</t>
  </si>
  <si>
    <t>Specific heat of DIPA</t>
  </si>
  <si>
    <t>KJ/Kg.K</t>
  </si>
  <si>
    <t>J/Kg.K</t>
  </si>
  <si>
    <r>
      <t>k</t>
    </r>
    <r>
      <rPr>
        <i/>
        <vertAlign val="subscript"/>
        <sz val="12"/>
        <color rgb="FF404040"/>
        <rFont val="Times New Roman"/>
        <family val="1"/>
      </rPr>
      <t>L</t>
    </r>
    <r>
      <rPr>
        <sz val="12"/>
        <color rgb="FF404040"/>
        <rFont val="Times New Roman"/>
        <family val="1"/>
      </rPr>
      <t>​</t>
    </r>
    <r>
      <rPr>
        <i/>
        <sz val="12"/>
        <color rgb="FF404040"/>
        <rFont val="Times New Roman"/>
        <family val="1"/>
      </rPr>
      <t>a * C</t>
    </r>
    <r>
      <rPr>
        <i/>
        <vertAlign val="subscript"/>
        <sz val="12"/>
        <color rgb="FF404040"/>
        <rFont val="Times New Roman"/>
        <family val="1"/>
      </rPr>
      <t>CO2​∗​</t>
    </r>
  </si>
  <si>
    <r>
      <t>D</t>
    </r>
    <r>
      <rPr>
        <vertAlign val="subscript"/>
        <sz val="12"/>
        <color rgb="FF404040"/>
        <rFont val="Times New Roman"/>
        <family val="1"/>
      </rPr>
      <t>B</t>
    </r>
  </si>
  <si>
    <t>H/D of  CSTR</t>
  </si>
  <si>
    <t>Density of DIPA</t>
  </si>
  <si>
    <t>Kg/m3</t>
  </si>
  <si>
    <t>Result</t>
  </si>
  <si>
    <r>
      <t>k</t>
    </r>
    <r>
      <rPr>
        <b/>
        <i/>
        <vertAlign val="subscript"/>
        <sz val="12"/>
        <color rgb="FF404040"/>
        <rFont val="Times New Roman"/>
        <family val="1"/>
      </rPr>
      <t>L</t>
    </r>
    <r>
      <rPr>
        <b/>
        <sz val="12"/>
        <color rgb="FF404040"/>
        <rFont val="Times New Roman"/>
        <family val="1"/>
      </rPr>
      <t>​</t>
    </r>
    <r>
      <rPr>
        <b/>
        <i/>
        <sz val="12"/>
        <color rgb="FF404040"/>
        <rFont val="Times New Roman"/>
        <family val="1"/>
      </rPr>
      <t>a * C</t>
    </r>
    <r>
      <rPr>
        <b/>
        <i/>
        <vertAlign val="subscript"/>
        <sz val="12"/>
        <color rgb="FF404040"/>
        <rFont val="Times New Roman"/>
        <family val="1"/>
      </rPr>
      <t>CO2​∗​</t>
    </r>
  </si>
  <si>
    <t>&gt;</t>
  </si>
  <si>
    <t xml:space="preserve">Diameter of CSTR </t>
  </si>
  <si>
    <t>Viscosity of DIPA</t>
  </si>
  <si>
    <t>Pa.s</t>
  </si>
  <si>
    <t>Regime 1 (Very Slow Reaction)</t>
  </si>
  <si>
    <t xml:space="preserve">Height of CSTR </t>
  </si>
  <si>
    <t xml:space="preserve">Reynolds number </t>
  </si>
  <si>
    <t>φ</t>
  </si>
  <si>
    <t xml:space="preserve">Impeller diameter </t>
  </si>
  <si>
    <t xml:space="preserve">Prandtl number </t>
  </si>
  <si>
    <t>Therefore,</t>
  </si>
  <si>
    <t xml:space="preserve">Critical power required </t>
  </si>
  <si>
    <t>KW/m3</t>
  </si>
  <si>
    <t>Nusselt number</t>
  </si>
  <si>
    <t xml:space="preserve">Characteristics length </t>
  </si>
  <si>
    <t>Power requirement(P)</t>
  </si>
  <si>
    <t>KW</t>
  </si>
  <si>
    <t>Internal HTC</t>
  </si>
  <si>
    <t>W/m2.K</t>
  </si>
  <si>
    <t xml:space="preserve">N </t>
  </si>
  <si>
    <t>RPS</t>
  </si>
  <si>
    <t xml:space="preserve">Capacity of co2 absorbed  per day </t>
  </si>
  <si>
    <t>t/day</t>
  </si>
  <si>
    <t>Vg</t>
  </si>
  <si>
    <t xml:space="preserve">For External Heat Transfer coefficient </t>
  </si>
  <si>
    <t>Kla</t>
  </si>
  <si>
    <t xml:space="preserve">Equivalent Diameter </t>
  </si>
  <si>
    <t>Specific heat of water</t>
  </si>
  <si>
    <t>Viscosity of water</t>
  </si>
  <si>
    <t>Density of water</t>
  </si>
  <si>
    <t xml:space="preserve">Cross sectional area </t>
  </si>
  <si>
    <t>m2</t>
  </si>
  <si>
    <t xml:space="preserve">Velocity of water </t>
  </si>
  <si>
    <t>m/s</t>
  </si>
  <si>
    <t>Thermal Conductivity of Steel</t>
  </si>
  <si>
    <t># Optimised using trail and error</t>
  </si>
  <si>
    <t>Note:-min 14.2 W/m.K conductivity required to remove heat with the given dia and cross-sectional area</t>
  </si>
  <si>
    <t>Prandtl number</t>
  </si>
  <si>
    <t>Jacketing HTC</t>
  </si>
  <si>
    <t>Overall HTC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</si>
</sst>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4" tint="-0.249977111117893"/>
      <name val="Times New Roman"/>
      <family val="1"/>
    </font>
    <font>
      <sz val="12"/>
      <color theme="1"/>
      <name val="Times New Roman"/>
      <family val="1"/>
    </font>
    <font>
      <b/>
      <sz val="12"/>
      <color theme="8" tint="0.39997558519241921"/>
      <name val="Times New Roman"/>
      <family val="1"/>
    </font>
    <font>
      <sz val="12"/>
      <color rgb="FF404040"/>
      <name val="Times New Roman"/>
      <family val="1"/>
    </font>
    <font>
      <i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bscript"/>
      <sz val="12"/>
      <color rgb="FF404040"/>
      <name val="Times New Roman"/>
      <family val="1"/>
    </font>
    <font>
      <vertAlign val="superscript"/>
      <sz val="12"/>
      <color rgb="FF404040"/>
      <name val="Times New Roman"/>
      <family val="1"/>
    </font>
    <font>
      <b/>
      <sz val="12"/>
      <color theme="1"/>
      <name val="Times New Roman"/>
      <family val="1"/>
    </font>
    <font>
      <i/>
      <sz val="12"/>
      <color rgb="FF404040"/>
      <name val="Times New Roman"/>
      <family val="1"/>
    </font>
    <font>
      <sz val="12"/>
      <color rgb="FF00B0F0"/>
      <name val="Times New Roman"/>
      <family val="1"/>
    </font>
    <font>
      <sz val="12"/>
      <color theme="1"/>
      <name val="Times New Roman"/>
      <family val="2"/>
    </font>
    <font>
      <sz val="12"/>
      <color theme="1"/>
      <name val="Tw Cen MT"/>
      <family val="2"/>
    </font>
    <font>
      <sz val="10.1"/>
      <color theme="1"/>
      <name val="Times New Roman"/>
      <family val="1"/>
    </font>
    <font>
      <i/>
      <vertAlign val="subscript"/>
      <sz val="12"/>
      <color rgb="FF404040"/>
      <name val="Times New Roman"/>
      <family val="1"/>
    </font>
    <font>
      <sz val="10"/>
      <color rgb="FF404040"/>
      <name val="Segoe UI"/>
      <family val="2"/>
    </font>
    <font>
      <b/>
      <i/>
      <sz val="12"/>
      <color theme="1"/>
      <name val="Times New Roman"/>
      <family val="1"/>
    </font>
    <font>
      <b/>
      <i/>
      <sz val="12"/>
      <color rgb="FF404040"/>
      <name val="Times New Roman"/>
      <family val="1"/>
    </font>
    <font>
      <b/>
      <i/>
      <vertAlign val="subscript"/>
      <sz val="12"/>
      <color rgb="FF404040"/>
      <name val="Times New Roman"/>
      <family val="1"/>
    </font>
    <font>
      <b/>
      <sz val="12"/>
      <color rgb="FF40404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 vertical="top"/>
    </xf>
    <xf numFmtId="0" fontId="3" fillId="0" borderId="0" xfId="0" applyFont="1"/>
    <xf numFmtId="0" fontId="5" fillId="0" borderId="0" xfId="0" applyFont="1" applyAlignment="1">
      <alignment horizontal="center" vertical="center"/>
    </xf>
    <xf numFmtId="0" fontId="3" fillId="0" borderId="1" xfId="0" applyFont="1" applyBorder="1"/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/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/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17" fillId="0" borderId="1" xfId="0" applyFont="1" applyBorder="1" applyAlignment="1">
      <alignment wrapText="1"/>
    </xf>
    <xf numFmtId="0" fontId="17" fillId="0" borderId="0" xfId="0" applyFont="1"/>
    <xf numFmtId="0" fontId="14" fillId="0" borderId="1" xfId="0" applyFont="1" applyBorder="1"/>
    <xf numFmtId="0" fontId="3" fillId="2" borderId="1" xfId="0" applyFont="1" applyFill="1" applyBorder="1"/>
    <xf numFmtId="0" fontId="1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11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1" fillId="0" borderId="0" xfId="1"/>
    <xf numFmtId="0" fontId="0" fillId="0" borderId="1" xfId="0" applyBorder="1"/>
    <xf numFmtId="0" fontId="3" fillId="0" borderId="3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18" fillId="0" borderId="1" xfId="0" applyFont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/>
    <xf numFmtId="0" fontId="10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10" fillId="3" borderId="1" xfId="0" applyFont="1" applyFill="1" applyBorder="1" applyAlignment="1">
      <alignment wrapText="1"/>
    </xf>
    <xf numFmtId="0" fontId="10" fillId="3" borderId="1" xfId="0" applyFont="1" applyFill="1" applyBorder="1"/>
    <xf numFmtId="0" fontId="3" fillId="0" borderId="17" xfId="0" applyFont="1" applyBorder="1"/>
    <xf numFmtId="0" fontId="3" fillId="4" borderId="17" xfId="0" applyFont="1" applyFill="1" applyBorder="1"/>
    <xf numFmtId="0" fontId="3" fillId="4" borderId="0" xfId="0" applyFont="1" applyFill="1"/>
    <xf numFmtId="0" fontId="3" fillId="4" borderId="18" xfId="0" applyFont="1" applyFill="1" applyBorder="1"/>
    <xf numFmtId="0" fontId="3" fillId="0" borderId="18" xfId="0" applyFont="1" applyBorder="1"/>
    <xf numFmtId="0" fontId="3" fillId="0" borderId="1" xfId="0" applyFont="1" applyBorder="1" applyAlignment="1">
      <alignment horizontal="center" wrapText="1"/>
    </xf>
    <xf numFmtId="0" fontId="3" fillId="2" borderId="19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198120</xdr:colOff>
      <xdr:row>6</xdr:row>
      <xdr:rowOff>53340</xdr:rowOff>
    </xdr:from>
    <xdr:to>
      <xdr:col>8</xdr:col>
      <xdr:colOff>418659</xdr:colOff>
      <xdr:row>7</xdr:row>
      <xdr:rowOff>91439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4C342A-FF91-4398-918A-97E6900D0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9880" y="1280160"/>
          <a:ext cx="1775019" cy="236219"/>
        </a:xfrm>
        <a:prstGeom prst="rect">
          <a:avLst/>
        </a:prstGeom>
      </xdr:spPr>
    </xdr:pic>
    <xdr:clientData/>
  </xdr:twoCellAnchor>
  <xdr:twoCellAnchor editAs="oneCell">
    <xdr:from>
      <xdr:col>6</xdr:col>
      <xdr:colOff>510540</xdr:colOff>
      <xdr:row>8</xdr:row>
      <xdr:rowOff>19684</xdr:rowOff>
    </xdr:from>
    <xdr:to>
      <xdr:col>7</xdr:col>
      <xdr:colOff>388620</xdr:colOff>
      <xdr:row>9</xdr:row>
      <xdr:rowOff>8255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AAF84E-6012-4894-87B9-B1D35B926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2300" y="1642744"/>
          <a:ext cx="822960" cy="377191"/>
        </a:xfrm>
        <a:prstGeom prst="rect">
          <a:avLst/>
        </a:prstGeom>
      </xdr:spPr>
    </xdr:pic>
    <xdr:clientData/>
  </xdr:twoCellAnchor>
  <xdr:twoCellAnchor>
    <xdr:from>
      <xdr:col>6</xdr:col>
      <xdr:colOff>182880</xdr:colOff>
      <xdr:row>10</xdr:row>
      <xdr:rowOff>99060</xdr:rowOff>
    </xdr:from>
    <xdr:to>
      <xdr:col>8</xdr:col>
      <xdr:colOff>373380</xdr:colOff>
      <xdr:row>13</xdr:row>
      <xdr:rowOff>116687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54448A8-0CB7-4FA6-85F4-2123BD9E9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4640" y="2308860"/>
          <a:ext cx="1744980" cy="7110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426720</xdr:colOff>
      <xdr:row>20</xdr:row>
      <xdr:rowOff>38100</xdr:rowOff>
    </xdr:from>
    <xdr:to>
      <xdr:col>8</xdr:col>
      <xdr:colOff>76200</xdr:colOff>
      <xdr:row>22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7D2EA65-CF7C-4B8D-AF41-740E9CE07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8480" y="4914900"/>
          <a:ext cx="1203960" cy="510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130695</xdr:colOff>
      <xdr:row>14</xdr:row>
      <xdr:rowOff>122396</xdr:rowOff>
    </xdr:from>
    <xdr:to>
      <xdr:col>8</xdr:col>
      <xdr:colOff>594361</xdr:colOff>
      <xdr:row>14</xdr:row>
      <xdr:rowOff>342922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A02B4F3-F232-486F-8EA2-6B9B7C9D4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92455" y="3254216"/>
          <a:ext cx="2018146" cy="220526"/>
        </a:xfrm>
        <a:prstGeom prst="rect">
          <a:avLst/>
        </a:prstGeom>
      </xdr:spPr>
    </xdr:pic>
    <xdr:clientData/>
  </xdr:twoCellAnchor>
  <xdr:twoCellAnchor editAs="oneCell">
    <xdr:from>
      <xdr:col>6</xdr:col>
      <xdr:colOff>83820</xdr:colOff>
      <xdr:row>16</xdr:row>
      <xdr:rowOff>83820</xdr:rowOff>
    </xdr:from>
    <xdr:to>
      <xdr:col>9</xdr:col>
      <xdr:colOff>180</xdr:colOff>
      <xdr:row>18</xdr:row>
      <xdr:rowOff>158613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7C2F2C-1AD5-4B7F-BE23-48CB44FA6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545580" y="3855720"/>
          <a:ext cx="2080440" cy="509133"/>
        </a:xfrm>
        <a:prstGeom prst="rect">
          <a:avLst/>
        </a:prstGeom>
      </xdr:spPr>
    </xdr:pic>
    <xdr:clientData/>
  </xdr:twoCellAnchor>
  <xdr:twoCellAnchor>
    <xdr:from>
      <xdr:col>3</xdr:col>
      <xdr:colOff>579120</xdr:colOff>
      <xdr:row>16</xdr:row>
      <xdr:rowOff>7620</xdr:rowOff>
    </xdr:from>
    <xdr:to>
      <xdr:col>3</xdr:col>
      <xdr:colOff>1653540</xdr:colOff>
      <xdr:row>17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8F3309-7BF2-452A-8377-281B68BF2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5160" y="3779520"/>
          <a:ext cx="10744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586740</xdr:colOff>
      <xdr:row>21</xdr:row>
      <xdr:rowOff>22860</xdr:rowOff>
    </xdr:from>
    <xdr:to>
      <xdr:col>3</xdr:col>
      <xdr:colOff>2042286</xdr:colOff>
      <xdr:row>22</xdr:row>
      <xdr:rowOff>182911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130C5B3-7084-4438-8227-36E44DBBD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92780" y="5097780"/>
          <a:ext cx="1455546" cy="358171"/>
        </a:xfrm>
        <a:prstGeom prst="rect">
          <a:avLst/>
        </a:prstGeom>
      </xdr:spPr>
    </xdr:pic>
    <xdr:clientData/>
  </xdr:twoCellAnchor>
  <xdr:twoCellAnchor editAs="oneCell">
    <xdr:from>
      <xdr:col>13</xdr:col>
      <xdr:colOff>167640</xdr:colOff>
      <xdr:row>3</xdr:row>
      <xdr:rowOff>39689</xdr:rowOff>
    </xdr:from>
    <xdr:to>
      <xdr:col>15</xdr:col>
      <xdr:colOff>605609</xdr:colOff>
      <xdr:row>4</xdr:row>
      <xdr:rowOff>185891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5938E32-B4A3-4489-971F-CB549C362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567160" y="672149"/>
          <a:ext cx="2442029" cy="344322"/>
        </a:xfrm>
        <a:prstGeom prst="rect">
          <a:avLst/>
        </a:prstGeom>
      </xdr:spPr>
    </xdr:pic>
    <xdr:clientData/>
  </xdr:twoCellAnchor>
  <xdr:twoCellAnchor editAs="oneCell">
    <xdr:from>
      <xdr:col>26</xdr:col>
      <xdr:colOff>90717</xdr:colOff>
      <xdr:row>11</xdr:row>
      <xdr:rowOff>99787</xdr:rowOff>
    </xdr:from>
    <xdr:to>
      <xdr:col>27</xdr:col>
      <xdr:colOff>399145</xdr:colOff>
      <xdr:row>12</xdr:row>
      <xdr:rowOff>112267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85791D3-92D1-4B00-BF66-E2C4CFA9A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1876297" y="2545807"/>
          <a:ext cx="918028" cy="241080"/>
        </a:xfrm>
        <a:prstGeom prst="rect">
          <a:avLst/>
        </a:prstGeom>
      </xdr:spPr>
    </xdr:pic>
    <xdr:clientData/>
  </xdr:twoCellAnchor>
  <xdr:twoCellAnchor editAs="oneCell">
    <xdr:from>
      <xdr:col>32</xdr:col>
      <xdr:colOff>136072</xdr:colOff>
      <xdr:row>8</xdr:row>
      <xdr:rowOff>46524</xdr:rowOff>
    </xdr:from>
    <xdr:to>
      <xdr:col>34</xdr:col>
      <xdr:colOff>13222</xdr:colOff>
      <xdr:row>8</xdr:row>
      <xdr:rowOff>382850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4670A1C-F0C4-41F8-A3B7-EED3C0F902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5579252" y="1669584"/>
          <a:ext cx="1477350" cy="336326"/>
        </a:xfrm>
        <a:prstGeom prst="rect">
          <a:avLst/>
        </a:prstGeom>
      </xdr:spPr>
    </xdr:pic>
    <xdr:clientData/>
  </xdr:twoCellAnchor>
  <xdr:twoCellAnchor editAs="oneCell">
    <xdr:from>
      <xdr:col>26</xdr:col>
      <xdr:colOff>254000</xdr:colOff>
      <xdr:row>42</xdr:row>
      <xdr:rowOff>45357</xdr:rowOff>
    </xdr:from>
    <xdr:to>
      <xdr:col>28</xdr:col>
      <xdr:colOff>226785</xdr:colOff>
      <xdr:row>43</xdr:row>
      <xdr:rowOff>184594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878E138-CDA6-4937-AD1C-B9DBCD019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039580" y="9791337"/>
          <a:ext cx="1191985" cy="3373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ameochemicals.noaa.gov/chris/DIP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0584A-D350-4E70-A403-EDD59FC3C1A5}">
  <dimension ref="A1:AJ44"/>
  <sheetViews>
    <sheetView tabSelected="1" zoomScale="84" zoomScaleNormal="84" workbookViewId="0">
      <selection activeCell="AD54" sqref="AD54"/>
    </sheetView>
  </sheetViews>
  <sheetFormatPr defaultColWidth="8.88671875" defaultRowHeight="15.6" x14ac:dyDescent="0.3"/>
  <cols>
    <col min="1" max="1" width="16.5546875" style="4" customWidth="1"/>
    <col min="2" max="2" width="10.33203125" style="4" customWidth="1"/>
    <col min="3" max="3" width="11.109375" style="4" customWidth="1"/>
    <col min="4" max="4" width="38.44140625" style="4" customWidth="1"/>
    <col min="5" max="6" width="8.88671875" style="4"/>
    <col min="7" max="7" width="13.77734375" style="4" customWidth="1"/>
    <col min="8" max="10" width="8.88671875" style="4"/>
    <col min="11" max="11" width="10.5546875" style="4" customWidth="1"/>
    <col min="12" max="12" width="12.109375" style="4" customWidth="1"/>
    <col min="13" max="13" width="8.88671875" style="4"/>
    <col min="14" max="14" width="16" style="4" customWidth="1"/>
    <col min="15" max="15" width="13.21875" style="4" customWidth="1"/>
    <col min="16" max="16" width="10.77734375" style="4" customWidth="1"/>
    <col min="17" max="17" width="8.88671875" style="4"/>
    <col min="18" max="18" width="12.21875" style="4" customWidth="1"/>
    <col min="19" max="24" width="8.88671875" style="4"/>
    <col min="25" max="25" width="22.33203125" style="4" customWidth="1"/>
    <col min="26" max="26" width="14.6640625" style="4" bestFit="1" customWidth="1"/>
    <col min="27" max="33" width="8.88671875" style="4"/>
    <col min="34" max="34" width="14.44140625" style="4" bestFit="1" customWidth="1"/>
    <col min="35" max="16384" width="8.88671875" style="4"/>
  </cols>
  <sheetData>
    <row r="1" spans="1:36" x14ac:dyDescent="0.3">
      <c r="A1" s="1" t="s">
        <v>0</v>
      </c>
      <c r="B1" s="1"/>
      <c r="C1" s="1"/>
      <c r="D1" s="1"/>
      <c r="E1" s="2"/>
      <c r="F1" s="2"/>
      <c r="G1" s="3" t="s">
        <v>1</v>
      </c>
      <c r="H1" s="3"/>
      <c r="I1" s="2"/>
      <c r="J1" s="2"/>
      <c r="K1" s="2"/>
      <c r="L1" s="2"/>
    </row>
    <row r="2" spans="1:36" x14ac:dyDescent="0.3">
      <c r="A2" s="5"/>
      <c r="B2" s="5"/>
      <c r="C2" s="5"/>
      <c r="D2" s="5"/>
      <c r="E2" s="2"/>
      <c r="F2" s="2"/>
      <c r="G2" s="6" t="s">
        <v>2</v>
      </c>
      <c r="H2" s="6">
        <v>1</v>
      </c>
      <c r="I2" s="2"/>
      <c r="J2" s="2"/>
      <c r="K2" s="2"/>
      <c r="L2" s="2"/>
    </row>
    <row r="3" spans="1:36" ht="18.600000000000001" x14ac:dyDescent="0.3">
      <c r="A3" s="7" t="s">
        <v>3</v>
      </c>
      <c r="B3" s="8" t="s">
        <v>4</v>
      </c>
      <c r="C3" s="8"/>
      <c r="D3" s="8"/>
      <c r="E3" s="2"/>
      <c r="F3" s="2"/>
      <c r="G3" s="6" t="s">
        <v>5</v>
      </c>
      <c r="H3" s="6">
        <v>2</v>
      </c>
      <c r="I3" s="2"/>
      <c r="J3" s="2"/>
      <c r="K3" s="2"/>
      <c r="L3" s="2"/>
      <c r="N3" s="9" t="s">
        <v>6</v>
      </c>
      <c r="V3" s="10" t="s">
        <v>7</v>
      </c>
      <c r="W3" s="10" t="s">
        <v>8</v>
      </c>
    </row>
    <row r="4" spans="1:36" x14ac:dyDescent="0.3">
      <c r="A4" s="5"/>
      <c r="B4" s="11"/>
      <c r="C4" s="11"/>
      <c r="D4" s="11"/>
      <c r="E4" s="2"/>
      <c r="F4" s="2"/>
      <c r="G4" s="6" t="s">
        <v>9</v>
      </c>
      <c r="H4" s="6">
        <v>1</v>
      </c>
      <c r="I4" s="2"/>
      <c r="J4" s="2"/>
      <c r="K4" s="2"/>
      <c r="L4" s="2"/>
      <c r="N4" s="12"/>
      <c r="O4" s="12"/>
      <c r="P4" s="12"/>
      <c r="Q4" s="12"/>
      <c r="R4" s="13" t="s">
        <v>10</v>
      </c>
      <c r="S4" s="13"/>
    </row>
    <row r="5" spans="1:36" x14ac:dyDescent="0.3">
      <c r="A5" s="14" t="s">
        <v>11</v>
      </c>
      <c r="B5" s="14"/>
      <c r="C5" s="15"/>
      <c r="D5" s="15"/>
      <c r="E5" s="2"/>
      <c r="F5" s="2"/>
      <c r="G5" s="2"/>
      <c r="H5" s="2"/>
      <c r="I5" s="2"/>
      <c r="J5" s="2"/>
      <c r="K5" s="2"/>
      <c r="L5" s="2"/>
      <c r="N5" s="12"/>
      <c r="O5" s="12"/>
      <c r="P5" s="12"/>
      <c r="Q5" s="12"/>
      <c r="R5" s="13"/>
      <c r="S5" s="13"/>
      <c r="W5" s="6" t="s">
        <v>12</v>
      </c>
      <c r="X5" s="6"/>
      <c r="Y5" s="6">
        <f>(O13-O14)*3600</f>
        <v>68709.514204174659</v>
      </c>
      <c r="Z5" s="6" t="s">
        <v>13</v>
      </c>
      <c r="AA5" s="6">
        <f>Y5/3600</f>
        <v>19.085976167826296</v>
      </c>
      <c r="AB5" s="6" t="s">
        <v>14</v>
      </c>
      <c r="AC5" s="6"/>
      <c r="AD5" s="6"/>
      <c r="AE5" s="6"/>
      <c r="AG5" s="6" t="s">
        <v>15</v>
      </c>
      <c r="AH5" s="6">
        <v>44</v>
      </c>
      <c r="AI5" s="6" t="s">
        <v>16</v>
      </c>
      <c r="AJ5" s="6" t="s">
        <v>17</v>
      </c>
    </row>
    <row r="6" spans="1:36" x14ac:dyDescent="0.3">
      <c r="A6" s="16" t="s">
        <v>18</v>
      </c>
      <c r="B6" s="16">
        <v>298</v>
      </c>
      <c r="C6" s="17" t="s">
        <v>19</v>
      </c>
      <c r="D6" s="17"/>
      <c r="E6" s="2"/>
      <c r="F6" s="2"/>
      <c r="G6" s="18" t="s">
        <v>20</v>
      </c>
      <c r="H6" s="2"/>
      <c r="I6" s="2"/>
      <c r="J6" s="2"/>
      <c r="K6" s="2"/>
      <c r="L6" s="2"/>
      <c r="N6" s="4" t="s">
        <v>21</v>
      </c>
      <c r="AA6" s="6"/>
      <c r="AB6" s="6"/>
      <c r="AC6" s="6"/>
      <c r="AD6" s="6"/>
      <c r="AE6" s="6"/>
      <c r="AG6" s="6"/>
      <c r="AH6" s="6"/>
      <c r="AI6" s="6"/>
      <c r="AJ6" s="6"/>
    </row>
    <row r="7" spans="1:36" x14ac:dyDescent="0.3">
      <c r="A7" s="19" t="s">
        <v>22</v>
      </c>
      <c r="B7" s="16">
        <v>0.4</v>
      </c>
      <c r="C7" s="17" t="s">
        <v>23</v>
      </c>
      <c r="D7" s="16" t="s">
        <v>24</v>
      </c>
      <c r="E7" s="2"/>
      <c r="F7" s="2"/>
      <c r="G7" s="20"/>
      <c r="H7" s="20"/>
      <c r="I7" s="20"/>
      <c r="J7" s="21" t="s">
        <v>25</v>
      </c>
      <c r="K7" s="22">
        <f>10^(5.3+0.035*B7-1140/B6)</f>
        <v>30.796165458428419</v>
      </c>
      <c r="L7" s="23" t="s">
        <v>26</v>
      </c>
      <c r="N7" s="6" t="s">
        <v>27</v>
      </c>
      <c r="O7" s="6">
        <v>0.9</v>
      </c>
      <c r="R7" s="24" t="s">
        <v>28</v>
      </c>
      <c r="W7" s="6" t="s">
        <v>29</v>
      </c>
      <c r="X7" s="6"/>
      <c r="Y7" s="6">
        <v>8</v>
      </c>
      <c r="Z7" s="25" t="s">
        <v>30</v>
      </c>
      <c r="AA7" s="6">
        <f>273.15+Y7</f>
        <v>281.14999999999998</v>
      </c>
      <c r="AB7" s="6"/>
      <c r="AC7" s="6"/>
      <c r="AD7" s="6"/>
      <c r="AE7" s="6"/>
    </row>
    <row r="8" spans="1:36" x14ac:dyDescent="0.3">
      <c r="A8" s="19" t="s">
        <v>31</v>
      </c>
      <c r="B8" s="16">
        <v>91.2</v>
      </c>
      <c r="C8" s="17" t="s">
        <v>32</v>
      </c>
      <c r="D8" s="16" t="s">
        <v>33</v>
      </c>
      <c r="E8" s="2"/>
      <c r="F8" s="2"/>
      <c r="G8" s="20"/>
      <c r="H8" s="20"/>
      <c r="I8" s="20"/>
      <c r="J8" s="21"/>
      <c r="K8" s="22"/>
      <c r="L8" s="22"/>
      <c r="W8" s="6" t="s">
        <v>34</v>
      </c>
      <c r="X8" s="6"/>
      <c r="Y8" s="6">
        <v>22</v>
      </c>
      <c r="Z8" s="25" t="s">
        <v>30</v>
      </c>
      <c r="AA8" s="6">
        <f>273.15+Y8</f>
        <v>295.14999999999998</v>
      </c>
      <c r="AB8" s="6"/>
      <c r="AC8" s="6"/>
      <c r="AD8" s="6"/>
      <c r="AE8" s="6"/>
    </row>
    <row r="9" spans="1:36" ht="30.6" x14ac:dyDescent="0.4">
      <c r="A9" s="26" t="s">
        <v>35</v>
      </c>
      <c r="B9" s="27">
        <v>1</v>
      </c>
      <c r="C9" s="17" t="s">
        <v>36</v>
      </c>
      <c r="D9" s="16" t="s">
        <v>37</v>
      </c>
      <c r="E9" s="2"/>
      <c r="F9" s="2"/>
      <c r="G9" s="12"/>
      <c r="H9" s="12"/>
      <c r="I9" s="12"/>
      <c r="J9" s="28" t="s">
        <v>38</v>
      </c>
      <c r="K9" s="22">
        <f>B8/K7</f>
        <v>2.9614076506736011</v>
      </c>
      <c r="L9" s="17" t="s">
        <v>23</v>
      </c>
      <c r="N9" s="29" t="s">
        <v>39</v>
      </c>
      <c r="O9" s="6">
        <v>0.71609999999999996</v>
      </c>
      <c r="P9" s="30" t="s">
        <v>40</v>
      </c>
      <c r="W9" s="6" t="s">
        <v>41</v>
      </c>
      <c r="X9" s="6"/>
      <c r="Y9" s="6"/>
      <c r="Z9" s="6">
        <f>4.18</f>
        <v>4.18</v>
      </c>
      <c r="AA9" s="6" t="s">
        <v>42</v>
      </c>
      <c r="AB9" s="6"/>
      <c r="AC9" s="6"/>
      <c r="AD9" s="6"/>
      <c r="AE9" s="6"/>
      <c r="AG9" s="12"/>
      <c r="AH9" s="12"/>
      <c r="AI9" s="12"/>
    </row>
    <row r="10" spans="1:36" x14ac:dyDescent="0.3">
      <c r="A10" s="19" t="s">
        <v>43</v>
      </c>
      <c r="B10" s="16">
        <v>100</v>
      </c>
      <c r="C10" s="17" t="s">
        <v>44</v>
      </c>
      <c r="D10" s="16" t="s">
        <v>45</v>
      </c>
      <c r="E10" s="2"/>
      <c r="F10" s="2"/>
      <c r="G10" s="12"/>
      <c r="H10" s="12"/>
      <c r="I10" s="12"/>
      <c r="J10" s="2"/>
      <c r="K10" s="2"/>
      <c r="L10" s="2"/>
      <c r="W10" s="6" t="s">
        <v>46</v>
      </c>
      <c r="X10" s="6"/>
      <c r="Y10" s="6"/>
      <c r="Z10" s="6">
        <f>AH11/(Z9*(Y8-Y7))</f>
        <v>3.8811195556584575</v>
      </c>
      <c r="AA10" s="6" t="s">
        <v>47</v>
      </c>
      <c r="AB10" s="6"/>
      <c r="AC10" s="6"/>
      <c r="AD10" s="6"/>
      <c r="AE10" s="6"/>
      <c r="AG10" s="12" t="s">
        <v>48</v>
      </c>
      <c r="AH10" s="12"/>
      <c r="AI10" s="12"/>
    </row>
    <row r="11" spans="1:36" ht="18.600000000000001" x14ac:dyDescent="0.4">
      <c r="A11" s="19" t="s">
        <v>49</v>
      </c>
      <c r="B11" s="16">
        <v>3.77</v>
      </c>
      <c r="C11" s="16" t="s">
        <v>50</v>
      </c>
      <c r="D11" s="16" t="s">
        <v>51</v>
      </c>
      <c r="E11" s="2"/>
      <c r="F11" s="2"/>
      <c r="G11" s="12"/>
      <c r="H11" s="12"/>
      <c r="I11" s="12"/>
      <c r="J11" s="21" t="s">
        <v>52</v>
      </c>
      <c r="K11" s="22">
        <f>B9/B10</f>
        <v>0.01</v>
      </c>
      <c r="L11" s="22"/>
      <c r="W11" s="6" t="s">
        <v>53</v>
      </c>
      <c r="X11" s="6"/>
      <c r="Y11" s="6"/>
      <c r="Z11" s="6">
        <f>((B6-AA7)-(B6-AA8)/LN((B6-AA7/B6-AA8)))</f>
        <v>12.433394680046678</v>
      </c>
      <c r="AA11" s="31" t="s">
        <v>54</v>
      </c>
      <c r="AB11" s="6"/>
      <c r="AC11" s="6"/>
      <c r="AD11" s="6"/>
      <c r="AE11" s="6"/>
      <c r="AG11" s="32" t="s">
        <v>55</v>
      </c>
      <c r="AH11" s="32">
        <f>B14*AA5</f>
        <v>227.12311639713292</v>
      </c>
      <c r="AI11" s="6" t="s">
        <v>56</v>
      </c>
    </row>
    <row r="12" spans="1:36" ht="18" x14ac:dyDescent="0.4">
      <c r="A12" s="33" t="s">
        <v>57</v>
      </c>
      <c r="B12" s="23">
        <f>1.92*10^(-9)</f>
        <v>1.92E-9</v>
      </c>
      <c r="C12" s="23" t="s">
        <v>58</v>
      </c>
      <c r="D12" s="22"/>
      <c r="E12" s="2"/>
      <c r="F12" s="2"/>
      <c r="G12" s="12"/>
      <c r="H12" s="12"/>
      <c r="I12" s="12"/>
      <c r="J12" s="21"/>
      <c r="K12" s="22"/>
      <c r="L12" s="22"/>
      <c r="Y12" s="32" t="s">
        <v>55</v>
      </c>
      <c r="Z12" s="32">
        <f>Z10*Z9*(Y8-Y7)</f>
        <v>227.12311639713295</v>
      </c>
      <c r="AA12" s="12"/>
      <c r="AB12" s="12"/>
    </row>
    <row r="13" spans="1:36" ht="18" x14ac:dyDescent="0.4">
      <c r="A13" s="22" t="s">
        <v>59</v>
      </c>
      <c r="B13" s="22">
        <f>0.89*10^-3</f>
        <v>8.9000000000000006E-4</v>
      </c>
      <c r="C13" s="34" t="s">
        <v>60</v>
      </c>
      <c r="D13" s="22"/>
      <c r="E13" s="2"/>
      <c r="F13" s="2"/>
      <c r="G13" s="12"/>
      <c r="H13" s="12"/>
      <c r="I13" s="12"/>
      <c r="J13" s="21" t="s">
        <v>61</v>
      </c>
      <c r="K13" s="22">
        <f>SQRT(B11*B12*(B7^2))/K11</f>
        <v>3.4031514806132273E-3</v>
      </c>
      <c r="L13" s="22"/>
      <c r="N13" s="6" t="s">
        <v>62</v>
      </c>
      <c r="O13" s="6">
        <f>O14/(1-O7)</f>
        <v>21.20664018647366</v>
      </c>
      <c r="P13" s="6"/>
      <c r="Z13" s="6" t="s">
        <v>56</v>
      </c>
      <c r="AA13" s="12"/>
      <c r="AB13" s="12"/>
    </row>
    <row r="14" spans="1:36" ht="18" x14ac:dyDescent="0.4">
      <c r="A14" s="35" t="s">
        <v>63</v>
      </c>
      <c r="B14" s="22">
        <v>11.9</v>
      </c>
      <c r="C14" s="22" t="s">
        <v>64</v>
      </c>
      <c r="D14" s="36" t="s">
        <v>65</v>
      </c>
      <c r="E14" s="2"/>
      <c r="F14" s="2"/>
      <c r="G14" s="12"/>
      <c r="H14" s="12"/>
      <c r="I14" s="12"/>
      <c r="J14" s="21"/>
      <c r="K14" s="22"/>
      <c r="L14" s="22"/>
      <c r="N14" s="6" t="s">
        <v>66</v>
      </c>
      <c r="O14" s="6">
        <f>K9*O9</f>
        <v>2.1206640186473655</v>
      </c>
      <c r="P14" s="6"/>
      <c r="W14" s="10" t="s">
        <v>7</v>
      </c>
      <c r="X14" s="10" t="s">
        <v>67</v>
      </c>
    </row>
    <row r="15" spans="1:36" ht="31.8" thickBot="1" x14ac:dyDescent="0.35">
      <c r="A15" s="2"/>
      <c r="B15" s="2"/>
      <c r="C15" s="2"/>
      <c r="D15" s="2"/>
      <c r="E15" s="2"/>
      <c r="F15" s="2"/>
      <c r="G15" s="12"/>
      <c r="H15" s="12"/>
      <c r="I15" s="12"/>
      <c r="J15" s="21"/>
      <c r="K15" s="22"/>
      <c r="L15" s="22"/>
      <c r="N15" s="37" t="s">
        <v>68</v>
      </c>
      <c r="O15" s="6">
        <f>(O13-O14)/D24</f>
        <v>527.35345291297233</v>
      </c>
      <c r="P15" s="17" t="s">
        <v>69</v>
      </c>
    </row>
    <row r="16" spans="1:36" ht="18.600000000000001" thickBot="1" x14ac:dyDescent="0.45">
      <c r="A16" s="38" t="s">
        <v>70</v>
      </c>
      <c r="B16" s="38"/>
      <c r="G16" s="12"/>
      <c r="H16" s="12"/>
      <c r="I16" s="12"/>
      <c r="J16" s="39" t="s">
        <v>57</v>
      </c>
      <c r="K16" s="6">
        <f>2.35*10^(-6)*EXP(-2119/B6)</f>
        <v>1.9182865238833547E-9</v>
      </c>
      <c r="L16" s="23" t="s">
        <v>58</v>
      </c>
      <c r="X16" s="40" t="s">
        <v>71</v>
      </c>
      <c r="Y16" s="41"/>
      <c r="Z16" s="41"/>
      <c r="AA16" s="41"/>
      <c r="AB16" s="41">
        <v>1.33</v>
      </c>
      <c r="AC16" s="42" t="s">
        <v>72</v>
      </c>
      <c r="AD16" s="43" t="s">
        <v>73</v>
      </c>
    </row>
    <row r="17" spans="1:31" ht="16.2" thickBot="1" x14ac:dyDescent="0.35">
      <c r="A17" s="6" t="s">
        <v>74</v>
      </c>
      <c r="B17" s="6">
        <f>B11*(B7^2)*0.06</f>
        <v>3.6192000000000002E-2</v>
      </c>
      <c r="C17" s="6"/>
      <c r="D17" s="44"/>
      <c r="G17" s="12"/>
      <c r="H17" s="12"/>
      <c r="I17" s="12"/>
      <c r="J17" s="45"/>
      <c r="K17" s="6"/>
      <c r="L17" s="6"/>
      <c r="N17" s="6" t="s">
        <v>75</v>
      </c>
      <c r="O17" s="6"/>
      <c r="P17" s="6">
        <f>O15*1.3</f>
        <v>685.55948878686411</v>
      </c>
      <c r="Q17" s="6" t="s">
        <v>76</v>
      </c>
      <c r="X17" s="46" t="s">
        <v>77</v>
      </c>
      <c r="Y17" s="6"/>
      <c r="Z17" s="6"/>
      <c r="AA17" s="6"/>
      <c r="AB17" s="6">
        <v>2.2000000000000002</v>
      </c>
      <c r="AC17" s="47" t="s">
        <v>78</v>
      </c>
      <c r="AD17" s="48">
        <f>2.2*10^3</f>
        <v>2200</v>
      </c>
      <c r="AE17" s="49" t="s">
        <v>79</v>
      </c>
    </row>
    <row r="18" spans="1:31" ht="18" x14ac:dyDescent="0.4">
      <c r="A18" s="19" t="s">
        <v>80</v>
      </c>
      <c r="B18" s="16">
        <f>B9*K9</f>
        <v>2.9614076506736011</v>
      </c>
      <c r="C18" s="6"/>
      <c r="D18" s="6"/>
      <c r="G18" s="12"/>
      <c r="H18" s="12"/>
      <c r="I18" s="12"/>
      <c r="J18" s="39" t="s">
        <v>81</v>
      </c>
      <c r="K18" s="6">
        <f>2.16*10^(-15)*B6/B13</f>
        <v>7.2323595505617988E-10</v>
      </c>
      <c r="L18" s="23" t="s">
        <v>58</v>
      </c>
      <c r="N18" s="6" t="s">
        <v>82</v>
      </c>
      <c r="O18" s="6"/>
      <c r="P18" s="6">
        <v>1.2</v>
      </c>
      <c r="R18" s="24" t="s">
        <v>28</v>
      </c>
      <c r="X18" s="46" t="s">
        <v>83</v>
      </c>
      <c r="Y18" s="6"/>
      <c r="Z18" s="6"/>
      <c r="AA18" s="6"/>
      <c r="AB18" s="6">
        <v>1004</v>
      </c>
      <c r="AC18" s="47" t="s">
        <v>84</v>
      </c>
    </row>
    <row r="19" spans="1:31" ht="37.200000000000003" x14ac:dyDescent="0.3">
      <c r="A19" s="50" t="s">
        <v>85</v>
      </c>
      <c r="B19" s="51" t="s">
        <v>86</v>
      </c>
      <c r="C19" s="52" t="s">
        <v>87</v>
      </c>
      <c r="D19" s="53" t="s">
        <v>74</v>
      </c>
      <c r="G19" s="12"/>
      <c r="H19" s="12"/>
      <c r="I19" s="12"/>
      <c r="J19" s="45"/>
      <c r="K19" s="6"/>
      <c r="L19" s="6"/>
      <c r="N19" s="6" t="s">
        <v>88</v>
      </c>
      <c r="O19" s="6"/>
      <c r="P19" s="6">
        <f>((P17*4)/(P18*PI()))^0.333</f>
        <v>8.9736835059335576</v>
      </c>
      <c r="Q19" s="6" t="s">
        <v>2</v>
      </c>
      <c r="X19" s="46" t="s">
        <v>89</v>
      </c>
      <c r="Y19" s="6"/>
      <c r="Z19" s="6"/>
      <c r="AA19" s="6"/>
      <c r="AB19" s="6">
        <f>450*10^-3</f>
        <v>0.45</v>
      </c>
      <c r="AC19" s="47" t="s">
        <v>90</v>
      </c>
    </row>
    <row r="20" spans="1:31" x14ac:dyDescent="0.3">
      <c r="D20" s="54" t="s">
        <v>91</v>
      </c>
      <c r="G20" s="12"/>
      <c r="H20" s="12"/>
      <c r="I20" s="12"/>
      <c r="J20" s="45"/>
      <c r="K20" s="6"/>
      <c r="L20" s="6"/>
      <c r="N20" s="6" t="s">
        <v>92</v>
      </c>
      <c r="O20" s="6"/>
      <c r="P20" s="6">
        <f>P19*P18</f>
        <v>10.768420207120268</v>
      </c>
      <c r="Q20" s="6" t="s">
        <v>2</v>
      </c>
      <c r="X20" s="46" t="s">
        <v>93</v>
      </c>
      <c r="Y20" s="6"/>
      <c r="Z20" s="6"/>
      <c r="AA20" s="6"/>
      <c r="AB20" s="6">
        <f>(AB18*P21*P26)/(AB19)</f>
        <v>187141.6482537566</v>
      </c>
      <c r="AC20" s="47"/>
    </row>
    <row r="21" spans="1:31" x14ac:dyDescent="0.3">
      <c r="G21" s="55"/>
      <c r="H21" s="55"/>
      <c r="I21" s="55"/>
      <c r="J21" s="56" t="s">
        <v>94</v>
      </c>
      <c r="K21" s="6">
        <f>1+((B7/K9)*((K16/K18)^0.5))</f>
        <v>1.2199776361822874</v>
      </c>
      <c r="L21" s="6"/>
      <c r="N21" s="6" t="s">
        <v>95</v>
      </c>
      <c r="O21" s="6"/>
      <c r="P21" s="6">
        <f>0.68*P19</f>
        <v>6.1021047840348199</v>
      </c>
      <c r="Q21" s="6" t="s">
        <v>2</v>
      </c>
      <c r="X21" s="46" t="s">
        <v>96</v>
      </c>
      <c r="Y21" s="6"/>
      <c r="Z21" s="6"/>
      <c r="AA21" s="6"/>
      <c r="AB21" s="6">
        <f>((AB19*AD17)/(AB16))</f>
        <v>744.36090225563908</v>
      </c>
      <c r="AC21" s="47"/>
    </row>
    <row r="22" spans="1:31" x14ac:dyDescent="0.3">
      <c r="C22" s="57" t="s">
        <v>97</v>
      </c>
      <c r="D22" s="12"/>
      <c r="G22" s="55"/>
      <c r="H22" s="55"/>
      <c r="I22" s="55"/>
      <c r="N22" s="6" t="s">
        <v>98</v>
      </c>
      <c r="O22" s="6"/>
      <c r="P22" s="6">
        <v>0.12</v>
      </c>
      <c r="Q22" s="6" t="s">
        <v>99</v>
      </c>
      <c r="X22" s="46" t="s">
        <v>100</v>
      </c>
      <c r="Y22" s="6"/>
      <c r="Z22" s="6"/>
      <c r="AA22" s="6"/>
      <c r="AB22" s="6">
        <f>(0.39*AB20^0.57*AB21^0.33)</f>
        <v>3498.5681356734226</v>
      </c>
      <c r="AC22" s="47"/>
    </row>
    <row r="23" spans="1:31" x14ac:dyDescent="0.3">
      <c r="C23" s="58"/>
      <c r="D23" s="12"/>
      <c r="G23" s="55"/>
      <c r="H23" s="55"/>
      <c r="I23" s="55"/>
      <c r="N23" s="6" t="s">
        <v>65</v>
      </c>
      <c r="O23" s="6"/>
      <c r="P23" s="6"/>
      <c r="Q23" s="6"/>
      <c r="X23" s="46" t="s">
        <v>101</v>
      </c>
      <c r="Y23" s="6"/>
      <c r="Z23" s="6"/>
      <c r="AA23" s="6"/>
      <c r="AB23" s="6">
        <v>3</v>
      </c>
      <c r="AC23" s="47" t="s">
        <v>2</v>
      </c>
      <c r="AE23" s="4">
        <f>(P19^2*P20)/(4*(P19*P20+(P19^2/2)))</f>
        <v>1.5835912069294513</v>
      </c>
    </row>
    <row r="24" spans="1:31" ht="16.2" thickBot="1" x14ac:dyDescent="0.35">
      <c r="C24" s="59"/>
      <c r="D24" s="17">
        <f>B17</f>
        <v>3.6192000000000002E-2</v>
      </c>
      <c r="N24" s="6" t="s">
        <v>102</v>
      </c>
      <c r="O24" s="6"/>
      <c r="P24" s="6">
        <f>P22*P17</f>
        <v>82.26713865442369</v>
      </c>
      <c r="Q24" s="6" t="s">
        <v>103</v>
      </c>
      <c r="X24" s="60" t="s">
        <v>104</v>
      </c>
      <c r="Y24" s="61"/>
      <c r="Z24" s="61"/>
      <c r="AA24" s="61"/>
      <c r="AB24" s="61">
        <f>(AB22*AB16)/(AB23)</f>
        <v>1551.0318734818841</v>
      </c>
      <c r="AC24" s="62" t="s">
        <v>105</v>
      </c>
    </row>
    <row r="25" spans="1:31" x14ac:dyDescent="0.3">
      <c r="N25" s="6" t="s">
        <v>106</v>
      </c>
      <c r="O25" s="6"/>
      <c r="P25" s="6">
        <f>(P24/(1000*2*(P21)^5))^0.333</f>
        <v>1.7009978494785138E-2</v>
      </c>
      <c r="Q25" s="6" t="s">
        <v>107</v>
      </c>
    </row>
    <row r="26" spans="1:31" ht="46.8" x14ac:dyDescent="0.3">
      <c r="A26" s="63" t="s">
        <v>108</v>
      </c>
      <c r="B26" s="64"/>
      <c r="C26" s="64"/>
      <c r="D26" s="64">
        <f>80</f>
        <v>80</v>
      </c>
      <c r="E26" s="64" t="s">
        <v>109</v>
      </c>
      <c r="N26" s="6" t="s">
        <v>110</v>
      </c>
      <c r="O26" s="6"/>
      <c r="P26" s="6">
        <f>(P19/(O9)^2*0.7855)</f>
        <v>13.745786374964988</v>
      </c>
      <c r="Q26" s="6"/>
      <c r="W26" s="10" t="s">
        <v>7</v>
      </c>
      <c r="X26" s="10" t="s">
        <v>111</v>
      </c>
    </row>
    <row r="27" spans="1:31" ht="16.2" thickBot="1" x14ac:dyDescent="0.35">
      <c r="N27" s="32" t="s">
        <v>112</v>
      </c>
      <c r="O27" s="32"/>
      <c r="P27" s="32">
        <f>(3.95*(P25)^0.91*(P26)^0.56*(P21)^0.46)</f>
        <v>0.96656960911218159</v>
      </c>
      <c r="Q27" s="6"/>
    </row>
    <row r="28" spans="1:31" ht="16.2" thickBot="1" x14ac:dyDescent="0.35">
      <c r="X28" s="65" t="s">
        <v>113</v>
      </c>
      <c r="Y28" s="65"/>
      <c r="Z28" s="65"/>
      <c r="AA28" s="65">
        <f>P19+0.01</f>
        <v>8.9836835059335574</v>
      </c>
      <c r="AB28" s="65" t="s">
        <v>2</v>
      </c>
      <c r="AC28" s="65"/>
      <c r="AD28" s="65"/>
    </row>
    <row r="29" spans="1:31" ht="16.2" thickBot="1" x14ac:dyDescent="0.35">
      <c r="X29" s="65" t="s">
        <v>114</v>
      </c>
      <c r="Y29" s="65"/>
      <c r="Z29" s="65"/>
      <c r="AA29" s="65">
        <v>4.1840000000000002</v>
      </c>
      <c r="AB29" s="65" t="s">
        <v>78</v>
      </c>
      <c r="AC29" s="65">
        <v>4184</v>
      </c>
      <c r="AD29" s="65" t="s">
        <v>79</v>
      </c>
    </row>
    <row r="30" spans="1:31" ht="16.2" thickBot="1" x14ac:dyDescent="0.35">
      <c r="X30" s="65" t="s">
        <v>115</v>
      </c>
      <c r="Y30" s="65"/>
      <c r="Z30" s="65"/>
      <c r="AA30" s="65">
        <v>1E-3</v>
      </c>
      <c r="AB30" s="65" t="s">
        <v>90</v>
      </c>
      <c r="AC30" s="65"/>
      <c r="AD30" s="65"/>
    </row>
    <row r="31" spans="1:31" ht="16.2" thickBot="1" x14ac:dyDescent="0.35">
      <c r="X31" s="65" t="s">
        <v>116</v>
      </c>
      <c r="Y31" s="65"/>
      <c r="Z31" s="65"/>
      <c r="AA31" s="65">
        <v>999</v>
      </c>
      <c r="AB31" s="65" t="s">
        <v>84</v>
      </c>
      <c r="AC31" s="65"/>
      <c r="AD31" s="65"/>
    </row>
    <row r="32" spans="1:31" ht="16.2" thickBot="1" x14ac:dyDescent="0.35">
      <c r="X32" s="65" t="s">
        <v>117</v>
      </c>
      <c r="Y32" s="65"/>
      <c r="Z32" s="65"/>
      <c r="AA32" s="65">
        <f>(PI()*P19*P20)*0.5</f>
        <v>151.7898107974593</v>
      </c>
      <c r="AB32" s="65" t="s">
        <v>118</v>
      </c>
      <c r="AC32" s="65"/>
      <c r="AD32" s="65"/>
    </row>
    <row r="33" spans="23:34" ht="16.2" thickBot="1" x14ac:dyDescent="0.35">
      <c r="X33" s="65" t="s">
        <v>119</v>
      </c>
      <c r="Y33" s="65"/>
      <c r="Z33" s="65"/>
      <c r="AA33" s="65">
        <f>Z10/(AA32*AA31)</f>
        <v>2.5594633393427384E-5</v>
      </c>
      <c r="AB33" s="65" t="s">
        <v>120</v>
      </c>
      <c r="AC33" s="65"/>
      <c r="AD33" s="65"/>
    </row>
    <row r="34" spans="23:34" ht="16.2" thickBot="1" x14ac:dyDescent="0.35">
      <c r="X34" s="66" t="s">
        <v>121</v>
      </c>
      <c r="Y34" s="66"/>
      <c r="Z34" s="66"/>
      <c r="AA34" s="66">
        <v>14.2</v>
      </c>
      <c r="AB34" s="67"/>
      <c r="AC34" s="66" t="s">
        <v>72</v>
      </c>
      <c r="AD34" s="68"/>
      <c r="AE34" s="12" t="s">
        <v>122</v>
      </c>
      <c r="AF34" s="12"/>
      <c r="AG34" s="12"/>
      <c r="AH34" s="12"/>
    </row>
    <row r="35" spans="23:34" ht="16.2" customHeight="1" thickBot="1" x14ac:dyDescent="0.35">
      <c r="X35" s="65" t="s">
        <v>93</v>
      </c>
      <c r="Y35" s="65"/>
      <c r="Z35" s="65"/>
      <c r="AA35" s="65">
        <f>(AA33*AA31*AA28)/(AA30)</f>
        <v>229.70415177109288</v>
      </c>
      <c r="AB35" s="65"/>
      <c r="AC35" s="65"/>
      <c r="AD35" s="69"/>
      <c r="AE35" s="70" t="s">
        <v>123</v>
      </c>
      <c r="AF35" s="70"/>
      <c r="AG35" s="70"/>
      <c r="AH35" s="70"/>
    </row>
    <row r="36" spans="23:34" ht="16.2" thickBot="1" x14ac:dyDescent="0.35">
      <c r="X36" s="65" t="s">
        <v>124</v>
      </c>
      <c r="Y36" s="65"/>
      <c r="Z36" s="65"/>
      <c r="AA36" s="65">
        <f>(AA30*AA29)/(AA34)</f>
        <v>2.9464788732394369E-4</v>
      </c>
      <c r="AB36" s="65"/>
      <c r="AC36" s="65"/>
      <c r="AD36" s="69"/>
      <c r="AE36" s="70"/>
      <c r="AF36" s="70"/>
      <c r="AG36" s="70"/>
      <c r="AH36" s="70"/>
    </row>
    <row r="37" spans="23:34" ht="16.2" thickBot="1" x14ac:dyDescent="0.35">
      <c r="X37" s="65" t="s">
        <v>100</v>
      </c>
      <c r="Y37" s="65"/>
      <c r="Z37" s="65"/>
      <c r="AA37" s="65">
        <f>(0.39*AA35^0.57*AA36^0.33)</f>
        <v>0.59129056339276276</v>
      </c>
      <c r="AB37" s="65"/>
      <c r="AC37" s="65"/>
      <c r="AD37" s="69"/>
      <c r="AE37" s="70"/>
      <c r="AF37" s="70"/>
      <c r="AG37" s="70"/>
      <c r="AH37" s="70"/>
    </row>
    <row r="38" spans="23:34" ht="16.2" thickBot="1" x14ac:dyDescent="0.35">
      <c r="X38" s="65" t="s">
        <v>125</v>
      </c>
      <c r="Y38" s="65"/>
      <c r="Z38" s="65"/>
      <c r="AA38" s="65">
        <f>(0.6*AA37)/(AB23)</f>
        <v>0.11825811267855256</v>
      </c>
      <c r="AB38" s="65" t="s">
        <v>105</v>
      </c>
      <c r="AC38" s="65"/>
      <c r="AD38" s="65"/>
    </row>
    <row r="40" spans="23:34" ht="16.2" thickBot="1" x14ac:dyDescent="0.35"/>
    <row r="41" spans="23:34" ht="16.2" thickBot="1" x14ac:dyDescent="0.35">
      <c r="W41" s="4" t="s">
        <v>7</v>
      </c>
      <c r="X41" s="69" t="s">
        <v>126</v>
      </c>
      <c r="Y41" s="48"/>
      <c r="Z41" s="48">
        <f>1/((1/AB24)+(1/AA38)+(LN((AA28-P19))/(2*AA34)))</f>
        <v>0.12056079578604541</v>
      </c>
      <c r="AA41" s="49" t="s">
        <v>72</v>
      </c>
    </row>
    <row r="43" spans="23:34" x14ac:dyDescent="0.3">
      <c r="Y43" s="32" t="s">
        <v>55</v>
      </c>
      <c r="Z43" s="71">
        <f>Z41*AA32*Z11</f>
        <v>227.52988405438296</v>
      </c>
      <c r="AA43" s="12"/>
      <c r="AB43" s="12"/>
      <c r="AC43" s="12"/>
    </row>
    <row r="44" spans="23:34" x14ac:dyDescent="0.3">
      <c r="AA44" s="12"/>
      <c r="AB44" s="12"/>
      <c r="AC44" s="12"/>
    </row>
  </sheetData>
  <mergeCells count="20">
    <mergeCell ref="AE35:AH37"/>
    <mergeCell ref="AA43:AC44"/>
    <mergeCell ref="G15:I20"/>
    <mergeCell ref="A16:B16"/>
    <mergeCell ref="G21:I23"/>
    <mergeCell ref="C22:C24"/>
    <mergeCell ref="D22:D23"/>
    <mergeCell ref="AE34:AH34"/>
    <mergeCell ref="G7:I8"/>
    <mergeCell ref="G9:I10"/>
    <mergeCell ref="AG9:AI9"/>
    <mergeCell ref="AG10:AI10"/>
    <mergeCell ref="G11:I14"/>
    <mergeCell ref="AA12:AB13"/>
    <mergeCell ref="A1:D1"/>
    <mergeCell ref="G1:H1"/>
    <mergeCell ref="B3:D3"/>
    <mergeCell ref="N4:Q5"/>
    <mergeCell ref="R4:S5"/>
    <mergeCell ref="A5:B5"/>
  </mergeCells>
  <hyperlinks>
    <hyperlink ref="AD16" r:id="rId1" xr:uid="{D7BE7598-2F9A-4E86-9406-7FA9BF587F4C}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92FFD4EFC3C74DA378DD9FDD449DC3" ma:contentTypeVersion="15" ma:contentTypeDescription="Create a new document." ma:contentTypeScope="" ma:versionID="45d647cb2c3c88bc551a8b2b5ae494db">
  <xsd:schema xmlns:xsd="http://www.w3.org/2001/XMLSchema" xmlns:xs="http://www.w3.org/2001/XMLSchema" xmlns:p="http://schemas.microsoft.com/office/2006/metadata/properties" xmlns:ns3="c0030444-d461-43bd-8652-21f2bdb2ebc0" xmlns:ns4="189337b0-f531-408c-b303-3c39bbbaf883" targetNamespace="http://schemas.microsoft.com/office/2006/metadata/properties" ma:root="true" ma:fieldsID="0f9f850f4ed30fa9824bdc12fd2a92be" ns3:_="" ns4:_="">
    <xsd:import namespace="c0030444-d461-43bd-8652-21f2bdb2ebc0"/>
    <xsd:import namespace="189337b0-f531-408c-b303-3c39bbbaf88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030444-d461-43bd-8652-21f2bdb2eb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9337b0-f531-408c-b303-3c39bbbaf883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0030444-d461-43bd-8652-21f2bdb2ebc0" xsi:nil="true"/>
  </documentManagement>
</p:properties>
</file>

<file path=customXml/itemProps1.xml><?xml version="1.0" encoding="utf-8"?>
<ds:datastoreItem xmlns:ds="http://schemas.openxmlformats.org/officeDocument/2006/customXml" ds:itemID="{1738C237-6950-4EDF-81A1-973A342957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030444-d461-43bd-8652-21f2bdb2ebc0"/>
    <ds:schemaRef ds:uri="189337b0-f531-408c-b303-3c39bbbaf8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88BE90-16C6-4B62-BC86-AB8178596F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DC1387-2355-473E-B299-64EC451E9250}">
  <ds:schemaRefs>
    <ds:schemaRef ds:uri="189337b0-f531-408c-b303-3c39bbbaf883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c0030444-d461-43bd-8652-21f2bdb2ebc0"/>
    <ds:schemaRef ds:uri="http://www.w3.org/XML/1998/namespace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CSTR_Design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Patra</dc:creator>
  <cp:lastModifiedBy>Dev Patra</cp:lastModifiedBy>
  <dcterms:created xsi:type="dcterms:W3CDTF">2025-06-09T06:58:20Z</dcterms:created>
  <dcterms:modified xsi:type="dcterms:W3CDTF">2025-06-09T06:59:03Z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0x0101009392FFD4EFC3C74DA378DD9FDD449DC3</vt:lpwstr>
  </property>
</Properties>
</file>