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so\Google Drive (PRS)\Scheffer - Cooking\"/>
    </mc:Choice>
  </mc:AlternateContent>
  <bookViews>
    <workbookView xWindow="0" yWindow="0" windowWidth="20490" windowHeight="7170" activeTab="3"/>
  </bookViews>
  <sheets>
    <sheet name="Ingredients" sheetId="1" r:id="rId1"/>
    <sheet name="DATA" sheetId="5" r:id="rId2"/>
    <sheet name="INDEX" sheetId="3" r:id="rId3"/>
    <sheet name="Lasagna" sheetId="8" r:id="rId4"/>
    <sheet name="Bolo de amor" sheetId="6" r:id="rId5"/>
    <sheet name="Bolo de cenoura" sheetId="7" r:id="rId6"/>
    <sheet name="Brownies" sheetId="4" r:id="rId7"/>
  </sheets>
  <definedNames>
    <definedName name="_xlnm._FilterDatabase" localSheetId="2" hidden="1">INDEX!$A$1:$O$1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8" l="1"/>
  <c r="E47" i="1"/>
  <c r="A47" i="1" s="1"/>
  <c r="F47" i="1" s="1"/>
  <c r="G47" i="1"/>
  <c r="Q22" i="8"/>
  <c r="E46" i="1"/>
  <c r="A46" i="1" s="1"/>
  <c r="F46" i="1" s="1"/>
  <c r="G46" i="1"/>
  <c r="Q21" i="8"/>
  <c r="E44" i="1"/>
  <c r="A44" i="1" s="1"/>
  <c r="F44" i="1" s="1"/>
  <c r="E45" i="1"/>
  <c r="A45" i="1" s="1"/>
  <c r="F45" i="1" s="1"/>
  <c r="G44" i="1"/>
  <c r="G45" i="1"/>
  <c r="E43" i="1"/>
  <c r="A43" i="1" s="1"/>
  <c r="F43" i="1" s="1"/>
  <c r="G43" i="1"/>
  <c r="E42" i="1"/>
  <c r="A42" i="1" s="1"/>
  <c r="F42" i="1" s="1"/>
  <c r="G42" i="1"/>
  <c r="E41" i="1"/>
  <c r="A41" i="1" s="1"/>
  <c r="F41" i="1" s="1"/>
  <c r="G41" i="1"/>
  <c r="E40" i="1"/>
  <c r="A40" i="1" s="1"/>
  <c r="F40" i="1" s="1"/>
  <c r="G40" i="1"/>
  <c r="E39" i="1"/>
  <c r="A39" i="1" s="1"/>
  <c r="F39" i="1" s="1"/>
  <c r="G39" i="1"/>
  <c r="B6" i="6"/>
  <c r="K5" i="3"/>
  <c r="B10" i="8" s="1"/>
  <c r="K3" i="3"/>
  <c r="B10" i="7" s="1"/>
  <c r="K4" i="3"/>
  <c r="B10" i="4" s="1"/>
  <c r="K2" i="3"/>
  <c r="B10" i="6" s="1"/>
  <c r="B30" i="8"/>
  <c r="A30" i="8"/>
  <c r="B29" i="8"/>
  <c r="A29" i="8"/>
  <c r="B28" i="8"/>
  <c r="A28" i="8"/>
  <c r="B27" i="8"/>
  <c r="A27" i="8"/>
  <c r="B26" i="8"/>
  <c r="A26" i="8"/>
  <c r="Q20" i="8"/>
  <c r="E20" i="8" s="1"/>
  <c r="C20" i="8"/>
  <c r="A20" i="8"/>
  <c r="Q19" i="8"/>
  <c r="E19" i="8" s="1"/>
  <c r="C19" i="8"/>
  <c r="A19" i="8"/>
  <c r="Q18" i="8"/>
  <c r="E18" i="8" s="1"/>
  <c r="C18" i="8"/>
  <c r="A18" i="8"/>
  <c r="Q17" i="8"/>
  <c r="E17" i="8" s="1"/>
  <c r="C17" i="8"/>
  <c r="A17" i="8"/>
  <c r="Q16" i="8"/>
  <c r="E16" i="8" s="1"/>
  <c r="C16" i="8"/>
  <c r="A16" i="8"/>
  <c r="Q15" i="8"/>
  <c r="E15" i="8" s="1"/>
  <c r="J15" i="8"/>
  <c r="I15" i="8"/>
  <c r="C15" i="8"/>
  <c r="A15" i="8"/>
  <c r="Q14" i="8"/>
  <c r="E14" i="8" s="1"/>
  <c r="J14" i="8"/>
  <c r="I14" i="8"/>
  <c r="C14" i="8"/>
  <c r="A14" i="8"/>
  <c r="Q13" i="8"/>
  <c r="E13" i="8" s="1"/>
  <c r="J13" i="8"/>
  <c r="I13" i="8"/>
  <c r="C13" i="8"/>
  <c r="A13" i="8"/>
  <c r="B7" i="8"/>
  <c r="B6" i="8"/>
  <c r="F2" i="3"/>
  <c r="F3" i="3"/>
  <c r="H4" i="3"/>
  <c r="H2" i="3"/>
  <c r="E3" i="3"/>
  <c r="D3" i="3"/>
  <c r="C23" i="7"/>
  <c r="C24" i="7"/>
  <c r="C25" i="7"/>
  <c r="C23" i="6"/>
  <c r="E2" i="3"/>
  <c r="D2" i="3"/>
  <c r="C27" i="8" l="1"/>
  <c r="E9" i="5"/>
  <c r="E10" i="5"/>
  <c r="E11" i="5"/>
  <c r="E12" i="5"/>
  <c r="E13" i="5"/>
  <c r="E14" i="5"/>
  <c r="E15" i="5"/>
  <c r="B14" i="8" l="1"/>
  <c r="B15" i="8"/>
  <c r="K13" i="8"/>
  <c r="K15" i="8"/>
  <c r="B8" i="8" s="1"/>
  <c r="C26" i="8"/>
  <c r="D19" i="8"/>
  <c r="G19" i="8" s="1"/>
  <c r="C30" i="8"/>
  <c r="D14" i="8"/>
  <c r="G14" i="8" s="1"/>
  <c r="K14" i="8"/>
  <c r="D15" i="8"/>
  <c r="D17" i="8"/>
  <c r="G17" i="8" s="1"/>
  <c r="B16" i="8"/>
  <c r="D16" i="8"/>
  <c r="G16" i="8" s="1"/>
  <c r="C29" i="8"/>
  <c r="D18" i="8"/>
  <c r="G18" i="8" s="1"/>
  <c r="B19" i="8"/>
  <c r="B13" i="8"/>
  <c r="D13" i="8"/>
  <c r="G13" i="8" s="1"/>
  <c r="G21" i="8" s="1"/>
  <c r="B20" i="8"/>
  <c r="D20" i="8"/>
  <c r="G20" i="8" s="1"/>
  <c r="B17" i="8"/>
  <c r="C28" i="8"/>
  <c r="B18" i="8"/>
  <c r="B7" i="4"/>
  <c r="B6" i="4"/>
  <c r="B7" i="7"/>
  <c r="B6" i="7"/>
  <c r="B7" i="6"/>
  <c r="G8" i="1"/>
  <c r="B25" i="7"/>
  <c r="A25" i="7"/>
  <c r="B24" i="7"/>
  <c r="A24" i="7"/>
  <c r="B23" i="7"/>
  <c r="A23" i="7"/>
  <c r="J15" i="7"/>
  <c r="I15" i="7"/>
  <c r="J14" i="7"/>
  <c r="I14" i="7"/>
  <c r="J13" i="7"/>
  <c r="I13" i="7"/>
  <c r="Q16" i="7"/>
  <c r="C19" i="7"/>
  <c r="A19" i="7"/>
  <c r="Q15" i="7"/>
  <c r="C18" i="7"/>
  <c r="A18" i="7"/>
  <c r="Q13" i="7"/>
  <c r="C17" i="7"/>
  <c r="A17" i="7"/>
  <c r="Q19" i="7"/>
  <c r="C16" i="7"/>
  <c r="A16" i="7"/>
  <c r="Q18" i="7"/>
  <c r="C15" i="7"/>
  <c r="A15" i="7"/>
  <c r="Q17" i="7"/>
  <c r="C14" i="7"/>
  <c r="A14" i="7"/>
  <c r="Q14" i="7"/>
  <c r="C13" i="7"/>
  <c r="A13" i="7"/>
  <c r="E15" i="7" l="1"/>
  <c r="C11" i="5" s="1"/>
  <c r="E13" i="7"/>
  <c r="C9" i="5" s="1"/>
  <c r="E19" i="7"/>
  <c r="C15" i="5" s="1"/>
  <c r="E17" i="7"/>
  <c r="C13" i="5" s="1"/>
  <c r="E16" i="7"/>
  <c r="C12" i="5" s="1"/>
  <c r="E14" i="7"/>
  <c r="C10" i="5" s="1"/>
  <c r="E18" i="7"/>
  <c r="C14" i="5" s="1"/>
  <c r="A24" i="6"/>
  <c r="B24" i="6"/>
  <c r="C24" i="6"/>
  <c r="A25" i="6"/>
  <c r="B25" i="6"/>
  <c r="C25" i="6"/>
  <c r="A26" i="6"/>
  <c r="B26" i="6"/>
  <c r="C26" i="6"/>
  <c r="A27" i="6"/>
  <c r="B27" i="6"/>
  <c r="C27" i="6"/>
  <c r="B23" i="6"/>
  <c r="A23" i="6"/>
  <c r="D17" i="7" l="1"/>
  <c r="B13" i="5" s="1"/>
  <c r="D14" i="7"/>
  <c r="B10" i="5" s="1"/>
  <c r="K13" i="7"/>
  <c r="B13" i="7"/>
  <c r="D18" i="7"/>
  <c r="B14" i="5" s="1"/>
  <c r="B18" i="7"/>
  <c r="D15" i="7"/>
  <c r="B11" i="5" s="1"/>
  <c r="B14" i="7"/>
  <c r="B15" i="7"/>
  <c r="B17" i="7"/>
  <c r="B19" i="7"/>
  <c r="D16" i="7"/>
  <c r="B12" i="5" s="1"/>
  <c r="K14" i="7"/>
  <c r="B8" i="7" s="1"/>
  <c r="G3" i="3" s="1"/>
  <c r="K15" i="7"/>
  <c r="B16" i="7"/>
  <c r="D19" i="7"/>
  <c r="B15" i="5" s="1"/>
  <c r="D13" i="7"/>
  <c r="B9" i="5" s="1"/>
  <c r="J14" i="6"/>
  <c r="J15" i="6"/>
  <c r="J16" i="6"/>
  <c r="J13" i="6"/>
  <c r="I13" i="6"/>
  <c r="I15" i="6"/>
  <c r="I16" i="6"/>
  <c r="I14" i="6"/>
  <c r="A19" i="6" l="1"/>
  <c r="C19" i="6"/>
  <c r="A18" i="6"/>
  <c r="C18" i="6"/>
  <c r="G23" i="1"/>
  <c r="G27" i="1"/>
  <c r="G22" i="1"/>
  <c r="Q13" i="6"/>
  <c r="E13" i="6" s="1"/>
  <c r="Q15" i="6"/>
  <c r="D5" i="5"/>
  <c r="E5" i="5" s="1"/>
  <c r="Q19" i="6"/>
  <c r="Q18" i="6"/>
  <c r="Q16" i="6"/>
  <c r="E16" i="6" s="1"/>
  <c r="Q17" i="6"/>
  <c r="Q14" i="6"/>
  <c r="E14" i="6" s="1"/>
  <c r="C17" i="6"/>
  <c r="A17" i="6"/>
  <c r="C16" i="6"/>
  <c r="A16" i="6"/>
  <c r="C15" i="6"/>
  <c r="A15" i="6"/>
  <c r="C14" i="6"/>
  <c r="A14" i="6"/>
  <c r="C13" i="6"/>
  <c r="A13" i="6"/>
  <c r="C3" i="5" l="1"/>
  <c r="C2" i="5"/>
  <c r="C5" i="5"/>
  <c r="E15" i="6"/>
  <c r="C4" i="5" s="1"/>
  <c r="E17" i="6"/>
  <c r="C6" i="5" s="1"/>
  <c r="E18" i="6"/>
  <c r="C7" i="5" s="1"/>
  <c r="D2" i="5"/>
  <c r="E2" i="5" s="1"/>
  <c r="D6" i="5"/>
  <c r="E6" i="5" s="1"/>
  <c r="D4" i="5"/>
  <c r="E4" i="5" s="1"/>
  <c r="D3" i="5"/>
  <c r="E3" i="5" s="1"/>
  <c r="D7" i="5"/>
  <c r="E7" i="5" s="1"/>
  <c r="D8" i="5"/>
  <c r="E8" i="5" s="1"/>
  <c r="E19" i="6"/>
  <c r="C8" i="5" s="1"/>
  <c r="H3" i="3"/>
  <c r="G2" i="1"/>
  <c r="G3" i="1"/>
  <c r="G4" i="1"/>
  <c r="G5" i="1"/>
  <c r="G6" i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4" i="1"/>
  <c r="G25" i="1"/>
  <c r="G26" i="1"/>
  <c r="G28" i="1"/>
  <c r="G29" i="1"/>
  <c r="G30" i="1"/>
  <c r="G31" i="1"/>
  <c r="G32" i="1"/>
  <c r="G33" i="1"/>
  <c r="G34" i="1"/>
  <c r="G35" i="1"/>
  <c r="G15" i="7" s="1"/>
  <c r="G36" i="1"/>
  <c r="G37" i="1"/>
  <c r="G38" i="1"/>
  <c r="G14" i="7" l="1"/>
  <c r="G15" i="8"/>
  <c r="G17" i="7"/>
  <c r="G13" i="7"/>
  <c r="G20" i="7" s="1"/>
  <c r="N3" i="3" s="1"/>
  <c r="G18" i="7"/>
  <c r="G19" i="7"/>
  <c r="G16" i="7"/>
  <c r="K14" i="6"/>
  <c r="K13" i="6"/>
  <c r="K15" i="6"/>
  <c r="K16" i="6"/>
  <c r="B8" i="6" s="1"/>
  <c r="G2" i="3" s="1"/>
  <c r="D13" i="6"/>
  <c r="B2" i="5" s="1"/>
  <c r="B13" i="6"/>
  <c r="B19" i="6"/>
  <c r="D19" i="6"/>
  <c r="B8" i="5" s="1"/>
  <c r="B16" i="6"/>
  <c r="B18" i="6"/>
  <c r="D18" i="6"/>
  <c r="B7" i="5" s="1"/>
  <c r="D15" i="6"/>
  <c r="B4" i="5" s="1"/>
  <c r="D16" i="6"/>
  <c r="B5" i="5" s="1"/>
  <c r="B14" i="6"/>
  <c r="D17" i="6"/>
  <c r="B6" i="5" s="1"/>
  <c r="B17" i="6"/>
  <c r="B15" i="6"/>
  <c r="D14" i="6"/>
  <c r="B3" i="5" s="1"/>
  <c r="G17" i="6"/>
  <c r="A25" i="4"/>
  <c r="B25" i="4"/>
  <c r="A26" i="4"/>
  <c r="B26" i="4"/>
  <c r="A27" i="4"/>
  <c r="B27" i="4"/>
  <c r="A28" i="4"/>
  <c r="B28" i="4"/>
  <c r="B24" i="4"/>
  <c r="A24" i="4"/>
  <c r="I14" i="4"/>
  <c r="J14" i="4"/>
  <c r="I15" i="4"/>
  <c r="J15" i="4"/>
  <c r="J13" i="4"/>
  <c r="I13" i="4"/>
  <c r="C15" i="4"/>
  <c r="A15" i="4"/>
  <c r="C13" i="4"/>
  <c r="A13" i="4"/>
  <c r="C14" i="4"/>
  <c r="A14" i="4"/>
  <c r="C17" i="4"/>
  <c r="A17" i="4"/>
  <c r="C19" i="4"/>
  <c r="A19" i="4"/>
  <c r="C20" i="4"/>
  <c r="A20" i="4"/>
  <c r="C18" i="4"/>
  <c r="A18" i="4"/>
  <c r="A16" i="4"/>
  <c r="C16" i="4"/>
  <c r="O3" i="3" l="1"/>
  <c r="G13" i="6"/>
  <c r="G15" i="6"/>
  <c r="G16" i="6"/>
  <c r="G19" i="6"/>
  <c r="G18" i="6"/>
  <c r="G14" i="6"/>
  <c r="A22" i="5"/>
  <c r="A19" i="5"/>
  <c r="A21" i="5"/>
  <c r="A23" i="5"/>
  <c r="A17" i="5"/>
  <c r="A20" i="5"/>
  <c r="A18" i="5"/>
  <c r="A16" i="5"/>
  <c r="K15" i="4"/>
  <c r="E3" i="1" l="1"/>
  <c r="A3" i="1" s="1"/>
  <c r="F3" i="1" s="1"/>
  <c r="E7" i="1"/>
  <c r="A7" i="1" s="1"/>
  <c r="F7" i="1" s="1"/>
  <c r="E12" i="1"/>
  <c r="A12" i="1" s="1"/>
  <c r="F12" i="1" s="1"/>
  <c r="E19" i="1"/>
  <c r="A19" i="1" s="1"/>
  <c r="F19" i="1" s="1"/>
  <c r="E25" i="1"/>
  <c r="A25" i="1" s="1"/>
  <c r="F25" i="1" s="1"/>
  <c r="E31" i="1"/>
  <c r="A31" i="1" s="1"/>
  <c r="F31" i="1" s="1"/>
  <c r="E37" i="1"/>
  <c r="A37" i="1" s="1"/>
  <c r="F37" i="1" s="1"/>
  <c r="E18" i="1"/>
  <c r="A18" i="1" s="1"/>
  <c r="F18" i="1" s="1"/>
  <c r="E4" i="1"/>
  <c r="A4" i="1" s="1"/>
  <c r="F4" i="1" s="1"/>
  <c r="E9" i="1"/>
  <c r="A9" i="1" s="1"/>
  <c r="F9" i="1" s="1"/>
  <c r="E13" i="1"/>
  <c r="A13" i="1" s="1"/>
  <c r="F13" i="1" s="1"/>
  <c r="E20" i="1"/>
  <c r="A20" i="1" s="1"/>
  <c r="F20" i="1" s="1"/>
  <c r="E26" i="1"/>
  <c r="A26" i="1" s="1"/>
  <c r="F26" i="1" s="1"/>
  <c r="E32" i="1"/>
  <c r="A32" i="1" s="1"/>
  <c r="F32" i="1" s="1"/>
  <c r="E24" i="1"/>
  <c r="A24" i="1" s="1"/>
  <c r="F24" i="1" s="1"/>
  <c r="E36" i="1"/>
  <c r="A36" i="1" s="1"/>
  <c r="F36" i="1" s="1"/>
  <c r="E5" i="1"/>
  <c r="A5" i="1" s="1"/>
  <c r="F5" i="1" s="1"/>
  <c r="E10" i="1"/>
  <c r="A10" i="1" s="1"/>
  <c r="F10" i="1" s="1"/>
  <c r="E14" i="1"/>
  <c r="A14" i="1" s="1"/>
  <c r="F14" i="1" s="1"/>
  <c r="E21" i="1"/>
  <c r="A21" i="1" s="1"/>
  <c r="F21" i="1" s="1"/>
  <c r="E28" i="1"/>
  <c r="A28" i="1" s="1"/>
  <c r="F28" i="1" s="1"/>
  <c r="E33" i="1"/>
  <c r="A33" i="1" s="1"/>
  <c r="F33" i="1" s="1"/>
  <c r="E11" i="1"/>
  <c r="A11" i="1" s="1"/>
  <c r="F11" i="1" s="1"/>
  <c r="E30" i="1"/>
  <c r="A30" i="1" s="1"/>
  <c r="F30" i="1" s="1"/>
  <c r="E6" i="1"/>
  <c r="A6" i="1" s="1"/>
  <c r="F6" i="1" s="1"/>
  <c r="O2" i="3"/>
  <c r="G20" i="6"/>
  <c r="B8" i="4"/>
  <c r="G4" i="3" s="1"/>
  <c r="K14" i="4"/>
  <c r="K13" i="4"/>
  <c r="C27" i="4"/>
  <c r="D13" i="4"/>
  <c r="B16" i="5" s="1"/>
  <c r="D20" i="4"/>
  <c r="B23" i="5" s="1"/>
  <c r="B14" i="4"/>
  <c r="B18" i="4"/>
  <c r="D16" i="4"/>
  <c r="B15" i="4"/>
  <c r="C26" i="4"/>
  <c r="D15" i="4"/>
  <c r="B18" i="5" s="1"/>
  <c r="D19" i="4"/>
  <c r="B22" i="5" s="1"/>
  <c r="B20" i="4"/>
  <c r="C28" i="4"/>
  <c r="E4" i="3" s="1"/>
  <c r="D14" i="4"/>
  <c r="D18" i="4"/>
  <c r="B21" i="5" s="1"/>
  <c r="B17" i="4"/>
  <c r="B16" i="4"/>
  <c r="C25" i="4"/>
  <c r="C24" i="4"/>
  <c r="D17" i="4"/>
  <c r="B20" i="5" s="1"/>
  <c r="B19" i="4"/>
  <c r="Q17" i="4"/>
  <c r="Q18" i="4"/>
  <c r="Q13" i="4"/>
  <c r="Q19" i="4"/>
  <c r="Q15" i="4"/>
  <c r="Q16" i="4"/>
  <c r="Q14" i="4"/>
  <c r="Q20" i="4"/>
  <c r="D4" i="3" l="1"/>
  <c r="F4" i="3" s="1"/>
  <c r="B19" i="5"/>
  <c r="B17" i="5"/>
  <c r="N2" i="3"/>
  <c r="G20" i="4"/>
  <c r="G17" i="4"/>
  <c r="G18" i="4"/>
  <c r="G19" i="4"/>
  <c r="G16" i="4"/>
  <c r="G13" i="4"/>
  <c r="G14" i="4"/>
  <c r="G15" i="4"/>
  <c r="E14" i="4"/>
  <c r="C17" i="5" s="1"/>
  <c r="E19" i="4"/>
  <c r="C22" i="5" s="1"/>
  <c r="E15" i="4"/>
  <c r="C18" i="5" s="1"/>
  <c r="E16" i="4"/>
  <c r="C19" i="5" s="1"/>
  <c r="E20" i="4"/>
  <c r="C23" i="5" s="1"/>
  <c r="E18" i="4"/>
  <c r="C21" i="5" s="1"/>
  <c r="E17" i="4"/>
  <c r="C20" i="5" s="1"/>
  <c r="E13" i="4"/>
  <c r="C16" i="5" s="1"/>
  <c r="N13" i="4"/>
  <c r="B13" i="4" s="1"/>
  <c r="G21" i="4" l="1"/>
  <c r="N4" i="3" s="1"/>
  <c r="O4" i="3"/>
  <c r="D17" i="5"/>
  <c r="E17" i="5" s="1"/>
  <c r="E15" i="1" s="1"/>
  <c r="D21" i="5"/>
  <c r="E21" i="5" s="1"/>
  <c r="D16" i="5"/>
  <c r="E16" i="5" s="1"/>
  <c r="D20" i="5"/>
  <c r="D18" i="5"/>
  <c r="E18" i="5" s="1"/>
  <c r="D22" i="5"/>
  <c r="E22" i="5" s="1"/>
  <c r="D19" i="5"/>
  <c r="E19" i="5" s="1"/>
  <c r="E17" i="1" s="1"/>
  <c r="D23" i="5"/>
  <c r="E23" i="5" s="1"/>
  <c r="E27" i="1" l="1"/>
  <c r="A27" i="1" s="1"/>
  <c r="F16" i="6" s="1"/>
  <c r="E20" i="5"/>
  <c r="E8" i="1"/>
  <c r="A8" i="1" s="1"/>
  <c r="F8" i="1" s="1"/>
  <c r="E34" i="1"/>
  <c r="A34" i="1" s="1"/>
  <c r="F18" i="8" s="1"/>
  <c r="E2" i="1"/>
  <c r="A2" i="1" s="1"/>
  <c r="F13" i="8" s="1"/>
  <c r="E29" i="1"/>
  <c r="A29" i="1" s="1"/>
  <c r="F17" i="8" s="1"/>
  <c r="E22" i="1"/>
  <c r="A22" i="1" s="1"/>
  <c r="E16" i="1"/>
  <c r="A16" i="1" s="1"/>
  <c r="A17" i="1"/>
  <c r="A15" i="1"/>
  <c r="F14" i="4" l="1"/>
  <c r="F14" i="8"/>
  <c r="F15" i="4"/>
  <c r="F15" i="8"/>
  <c r="F16" i="4"/>
  <c r="F16" i="8"/>
  <c r="F27" i="1"/>
  <c r="F14" i="7"/>
  <c r="E35" i="1"/>
  <c r="A35" i="1" s="1"/>
  <c r="E38" i="1"/>
  <c r="A38" i="1" s="1"/>
  <c r="E23" i="1"/>
  <c r="A23" i="1" s="1"/>
  <c r="F15" i="6" s="1"/>
  <c r="F14" i="6"/>
  <c r="F15" i="7"/>
  <c r="F22" i="1"/>
  <c r="F17" i="7"/>
  <c r="F18" i="4"/>
  <c r="F17" i="6"/>
  <c r="F17" i="4"/>
  <c r="F13" i="6"/>
  <c r="F13" i="4"/>
  <c r="F13" i="7"/>
  <c r="F17" i="1"/>
  <c r="F16" i="1"/>
  <c r="F2" i="1"/>
  <c r="F15" i="1"/>
  <c r="F34" i="1"/>
  <c r="F29" i="1"/>
  <c r="F20" i="4" l="1"/>
  <c r="F20" i="8"/>
  <c r="F18" i="6"/>
  <c r="F19" i="8"/>
  <c r="F19" i="6"/>
  <c r="F18" i="7"/>
  <c r="F38" i="1"/>
  <c r="F35" i="1"/>
  <c r="F19" i="4"/>
  <c r="L4" i="3" s="1"/>
  <c r="F19" i="7"/>
  <c r="F23" i="1"/>
  <c r="F16" i="7"/>
  <c r="L2" i="3"/>
  <c r="L3" i="3" l="1"/>
</calcChain>
</file>

<file path=xl/comments1.xml><?xml version="1.0" encoding="utf-8"?>
<comments xmlns="http://schemas.openxmlformats.org/spreadsheetml/2006/main">
  <authors>
    <author>Gerson Scheffer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Gerson Scheffer:</t>
        </r>
        <r>
          <rPr>
            <sz val="9"/>
            <color indexed="81"/>
            <rFont val="Tahoma"/>
            <family val="2"/>
          </rPr>
          <t xml:space="preserve">
Preco pela unidade
</t>
        </r>
      </text>
    </comment>
  </commentList>
</comments>
</file>

<file path=xl/sharedStrings.xml><?xml version="1.0" encoding="utf-8"?>
<sst xmlns="http://schemas.openxmlformats.org/spreadsheetml/2006/main" count="404" uniqueCount="144">
  <si>
    <t>g</t>
  </si>
  <si>
    <t>ml</t>
  </si>
  <si>
    <t>pao de mel</t>
  </si>
  <si>
    <t>biscoito de chocolate</t>
  </si>
  <si>
    <t>molho de tomate</t>
  </si>
  <si>
    <t>filtro de papel</t>
  </si>
  <si>
    <t>cha - hibisco</t>
  </si>
  <si>
    <t>cha - frustas vermelhas</t>
  </si>
  <si>
    <t>cha - morango</t>
  </si>
  <si>
    <t>cha - sene</t>
  </si>
  <si>
    <t>cha - maca</t>
  </si>
  <si>
    <t>cha - carqueja</t>
  </si>
  <si>
    <t>lata - milho verde</t>
  </si>
  <si>
    <t>lata - ervilha</t>
  </si>
  <si>
    <t xml:space="preserve">caixa - leite condensado </t>
  </si>
  <si>
    <t>caixa - crème de leite</t>
  </si>
  <si>
    <t>caixa - chocolate</t>
  </si>
  <si>
    <t>u</t>
  </si>
  <si>
    <t>farinha - milho</t>
  </si>
  <si>
    <t>acucar</t>
  </si>
  <si>
    <t>farinha - polenta</t>
  </si>
  <si>
    <t>farinha - polvilho doce</t>
  </si>
  <si>
    <t>farinha - polvillho azedo</t>
  </si>
  <si>
    <t>farinha - rosca</t>
  </si>
  <si>
    <t>mistura de bolo - chocolate</t>
  </si>
  <si>
    <t>mistura de bolo - cenoura</t>
  </si>
  <si>
    <t>mistura de bolo - aipim</t>
  </si>
  <si>
    <t>queijo ralado</t>
  </si>
  <si>
    <t>leite de coco</t>
  </si>
  <si>
    <t>Category</t>
  </si>
  <si>
    <t>Name</t>
  </si>
  <si>
    <t>Volume</t>
  </si>
  <si>
    <t>Ingredients</t>
  </si>
  <si>
    <t>Unit</t>
  </si>
  <si>
    <t>Equipment</t>
  </si>
  <si>
    <t>Description</t>
  </si>
  <si>
    <t>Video</t>
  </si>
  <si>
    <t>INGREDIENT</t>
  </si>
  <si>
    <t>UNIT</t>
  </si>
  <si>
    <t>RESERVE</t>
  </si>
  <si>
    <t>cup</t>
  </si>
  <si>
    <t>tablespoon</t>
  </si>
  <si>
    <t>teaspoon</t>
  </si>
  <si>
    <t>extrato de baunilha</t>
  </si>
  <si>
    <t>chocolate em po</t>
  </si>
  <si>
    <t>Unit2</t>
  </si>
  <si>
    <t>Batedeira</t>
  </si>
  <si>
    <t>Forma</t>
  </si>
  <si>
    <t>Usando uma peneira:
+farinha
+chocolate em po
+sal</t>
  </si>
  <si>
    <t>Bowl</t>
  </si>
  <si>
    <t>Brownies</t>
  </si>
  <si>
    <t>Vasilha pequena</t>
  </si>
  <si>
    <t>Derreter:
manteiga</t>
  </si>
  <si>
    <t>Combinar na batedeira:
+manteiga (derretida) 
+oleo
+acucar</t>
  </si>
  <si>
    <t>Combinar na batedeira:
+ovos
+extrato de baunilha</t>
  </si>
  <si>
    <t>Untar forma com manteiga e farinha
Cozinhar no forno (200°C)</t>
  </si>
  <si>
    <t>Youtube</t>
  </si>
  <si>
    <t>Check</t>
  </si>
  <si>
    <t>ovo</t>
  </si>
  <si>
    <t>sal</t>
  </si>
  <si>
    <t>caixa - café</t>
  </si>
  <si>
    <t>IN</t>
  </si>
  <si>
    <t>Ratio</t>
  </si>
  <si>
    <t>STD</t>
  </si>
  <si>
    <t>NEW</t>
  </si>
  <si>
    <t xml:space="preserve">Qtd </t>
  </si>
  <si>
    <t xml:space="preserve">Volume </t>
  </si>
  <si>
    <t>Dim. (cm3)</t>
  </si>
  <si>
    <t>Time [min]</t>
  </si>
  <si>
    <t>Ingredient</t>
  </si>
  <si>
    <t>Recipe</t>
  </si>
  <si>
    <t>Cooking?</t>
  </si>
  <si>
    <t>Need to buy?</t>
  </si>
  <si>
    <t xml:space="preserve">Dim. </t>
  </si>
  <si>
    <t>cm3</t>
  </si>
  <si>
    <t>OUT</t>
  </si>
  <si>
    <t>Price/Unit</t>
  </si>
  <si>
    <t>Cost</t>
  </si>
  <si>
    <t>TOTAL</t>
  </si>
  <si>
    <t>Price</t>
  </si>
  <si>
    <t>Volume [unit]</t>
  </si>
  <si>
    <t>Ingredients
(Missing)</t>
  </si>
  <si>
    <t>Price
(Missing)</t>
  </si>
  <si>
    <t>Cooking? 
(1=yes)</t>
  </si>
  <si>
    <t>Cake</t>
  </si>
  <si>
    <t>Bolo de amor</t>
  </si>
  <si>
    <t>-</t>
  </si>
  <si>
    <t>farinha - trigo</t>
  </si>
  <si>
    <t>leite</t>
  </si>
  <si>
    <t>fermento em po</t>
  </si>
  <si>
    <t>Bater:
+acucar
+gemas
+manteiga</t>
  </si>
  <si>
    <t>Bater:
+claras em neves</t>
  </si>
  <si>
    <t xml:space="preserve">Vasilha </t>
  </si>
  <si>
    <t>margarina</t>
  </si>
  <si>
    <t>Misturar:
+leite
+farinha 
+fermento em po
+sal</t>
  </si>
  <si>
    <t>Step</t>
  </si>
  <si>
    <t>1</t>
  </si>
  <si>
    <t>2</t>
  </si>
  <si>
    <t>3</t>
  </si>
  <si>
    <t>4</t>
  </si>
  <si>
    <t>5</t>
  </si>
  <si>
    <t>step</t>
  </si>
  <si>
    <t xml:space="preserve">Misturar:
+bowl 1 
+ bowl 2 </t>
  </si>
  <si>
    <t>Bolo de cenoura</t>
  </si>
  <si>
    <t>cenoura</t>
  </si>
  <si>
    <t>oleo</t>
  </si>
  <si>
    <t>Liquidificador:
+cenoura
+oleo
+ovos
+sal</t>
  </si>
  <si>
    <t>Batedeira:
+bowl1
+acucar
+farinha - trigo
+fermento em po</t>
  </si>
  <si>
    <t>Liquidificador</t>
  </si>
  <si>
    <t>Ration</t>
  </si>
  <si>
    <t>Prep. Time
[min]</t>
  </si>
  <si>
    <t>Cook Time
[min]</t>
  </si>
  <si>
    <t>Total
[min]</t>
  </si>
  <si>
    <t>Mass/servings</t>
  </si>
  <si>
    <t>N° of servings 
(STD)</t>
  </si>
  <si>
    <t>N° of servings 
(PLAN)</t>
  </si>
  <si>
    <t>N° of servings (std)</t>
  </si>
  <si>
    <t>N° of servings (plan)</t>
  </si>
  <si>
    <t>Volume/servings 
[cm3]</t>
  </si>
  <si>
    <t>Mass/servings
[g]</t>
  </si>
  <si>
    <t>Lasagna</t>
  </si>
  <si>
    <t>Pasta</t>
  </si>
  <si>
    <t>galinha-peito</t>
  </si>
  <si>
    <t>cebola</t>
  </si>
  <si>
    <t>oregano</t>
  </si>
  <si>
    <t>sazon-frango</t>
  </si>
  <si>
    <t>sache</t>
  </si>
  <si>
    <t>panela de pressao</t>
  </si>
  <si>
    <t>panela de pressao:
+oregano
+galinha-peito
+agua (1L)</t>
  </si>
  <si>
    <t>pimenta mix-po</t>
  </si>
  <si>
    <t>batedeira (pesada):
+galinha da panela de pressao
+pimenta mix
+bater para desfiar</t>
  </si>
  <si>
    <t>panela de pressao:
+oleo (1cup=125ml)
+cebola picada (2u=265g)</t>
  </si>
  <si>
    <t>tomate</t>
  </si>
  <si>
    <t>panela:
+oleo(0.5cup=125ml)
+cebola(4u)
ate dourar a cebola</t>
  </si>
  <si>
    <t>panela:
+tomate
ate o tomate se desmanchar</t>
  </si>
  <si>
    <t>batedeira</t>
  </si>
  <si>
    <t>panela</t>
  </si>
  <si>
    <t>molho-tomate</t>
  </si>
  <si>
    <t>panela:
+molho-tomate
+crème de leite</t>
  </si>
  <si>
    <t>creme de leite</t>
  </si>
  <si>
    <t>panela (cozinhar):
+massa de lasanha
+sal (1tbsp)
+agua</t>
  </si>
  <si>
    <t>massa de lasanha</t>
  </si>
  <si>
    <t>montagem da lasanha:
+molho
+massa
+queijo
+galinha com molho
+massa
+queijo
+galinha com molho</t>
  </si>
  <si>
    <t>usar so metade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</si>
</sst>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yyyy/mm"/>
    <numFmt numFmtId="165" formatCode="_-* #,##0_-;\-* #,##0_-;_-* &quot;-&quot;??_-;_-@_-"/>
    <numFmt numFmtId="166" formatCode="0.0"/>
    <numFmt numFmtId="167" formatCode="&quot;$&quot;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36"/>
      <color theme="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40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rgb="FFFFFF00"/>
        </stop>
      </gradientFill>
    </fill>
    <fill>
      <gradientFill degree="90">
        <stop position="0">
          <color theme="0"/>
        </stop>
        <stop position="1">
          <color rgb="FF00FF00"/>
        </stop>
      </gradientFill>
    </fill>
    <fill>
      <gradientFill degree="90">
        <stop position="0">
          <color theme="0"/>
        </stop>
        <stop position="1">
          <color rgb="FFFF0000"/>
        </stop>
      </gradientFill>
    </fill>
    <fill>
      <gradientFill degree="90">
        <stop position="0">
          <color theme="0"/>
        </stop>
        <stop position="1">
          <color rgb="FFFFC000"/>
        </stop>
      </gradientFill>
    </fill>
    <fill>
      <patternFill patternType="solid">
        <fgColor rgb="FFFFC00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</fills>
  <borders count="17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/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0" fillId="11" borderId="3" applyNumberFormat="0" applyAlignment="0" applyProtection="0"/>
  </cellStyleXfs>
  <cellXfs count="9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 wrapText="1"/>
    </xf>
    <xf numFmtId="0" fontId="3" fillId="7" borderId="0" xfId="0" applyFont="1" applyFill="1" applyAlignment="1"/>
    <xf numFmtId="0" fontId="3" fillId="7" borderId="0" xfId="0" applyFont="1" applyFill="1" applyAlignment="1">
      <alignment horizontal="center"/>
    </xf>
    <xf numFmtId="0" fontId="2" fillId="7" borderId="0" xfId="0" applyFont="1" applyFill="1"/>
    <xf numFmtId="0" fontId="2" fillId="0" borderId="0" xfId="0" applyFont="1"/>
    <xf numFmtId="12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/>
    </xf>
    <xf numFmtId="165" fontId="2" fillId="0" borderId="0" xfId="1" applyNumberFormat="1" applyFont="1"/>
    <xf numFmtId="43" fontId="2" fillId="0" borderId="0" xfId="1" applyFont="1" applyBorder="1"/>
    <xf numFmtId="49" fontId="2" fillId="0" borderId="0" xfId="0" applyNumberFormat="1" applyFont="1"/>
    <xf numFmtId="43" fontId="2" fillId="0" borderId="0" xfId="1" applyFont="1" applyAlignment="1">
      <alignment horizontal="right" vertic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2" fillId="10" borderId="0" xfId="0" applyFont="1" applyFill="1" applyAlignment="1"/>
    <xf numFmtId="0" fontId="2" fillId="10" borderId="0" xfId="0" applyFont="1" applyFill="1" applyAlignment="1">
      <alignment horizontal="center"/>
    </xf>
    <xf numFmtId="0" fontId="2" fillId="10" borderId="0" xfId="0" applyFont="1" applyFill="1"/>
    <xf numFmtId="0" fontId="2" fillId="9" borderId="0" xfId="0" applyFont="1" applyFill="1" applyAlignment="1"/>
    <xf numFmtId="0" fontId="2" fillId="9" borderId="0" xfId="0" applyFont="1" applyFill="1"/>
    <xf numFmtId="0" fontId="4" fillId="8" borderId="1" xfId="0" applyFont="1" applyFill="1" applyBorder="1" applyAlignment="1">
      <alignment horizontal="left"/>
    </xf>
    <xf numFmtId="0" fontId="4" fillId="8" borderId="2" xfId="0" applyFont="1" applyFill="1" applyBorder="1" applyAlignment="1">
      <alignment horizontal="left"/>
    </xf>
    <xf numFmtId="43" fontId="2" fillId="0" borderId="0" xfId="0" applyNumberFormat="1" applyFont="1"/>
    <xf numFmtId="166" fontId="2" fillId="0" borderId="0" xfId="0" applyNumberFormat="1" applyFont="1" applyAlignment="1">
      <alignment horizontal="center" vertical="center"/>
    </xf>
    <xf numFmtId="12" fontId="2" fillId="0" borderId="0" xfId="0" applyNumberFormat="1" applyFont="1" applyAlignment="1">
      <alignment horizontal="center" vertical="center"/>
    </xf>
    <xf numFmtId="43" fontId="2" fillId="0" borderId="0" xfId="1" applyFont="1"/>
    <xf numFmtId="44" fontId="2" fillId="0" borderId="0" xfId="2" applyFont="1"/>
    <xf numFmtId="44" fontId="2" fillId="0" borderId="0" xfId="0" applyNumberFormat="1" applyFont="1"/>
    <xf numFmtId="0" fontId="9" fillId="7" borderId="0" xfId="3" applyFont="1" applyFill="1" applyAlignment="1"/>
    <xf numFmtId="44" fontId="2" fillId="0" borderId="0" xfId="2" applyNumberFormat="1" applyFont="1"/>
    <xf numFmtId="0" fontId="2" fillId="0" borderId="0" xfId="0" applyNumberFormat="1" applyFont="1"/>
    <xf numFmtId="0" fontId="2" fillId="0" borderId="0" xfId="0" applyNumberFormat="1" applyFont="1" applyAlignment="1">
      <alignment horizontal="center"/>
    </xf>
    <xf numFmtId="0" fontId="3" fillId="10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/>
    <xf numFmtId="165" fontId="0" fillId="0" borderId="0" xfId="1" applyNumberFormat="1" applyFont="1" applyAlignment="1">
      <alignment horizontal="right" vertical="center"/>
    </xf>
    <xf numFmtId="0" fontId="11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 wrapText="1"/>
    </xf>
    <xf numFmtId="0" fontId="10" fillId="11" borderId="0" xfId="4" applyFont="1" applyFill="1" applyBorder="1"/>
    <xf numFmtId="0" fontId="8" fillId="11" borderId="0" xfId="3" applyFill="1" applyBorder="1"/>
    <xf numFmtId="0" fontId="10" fillId="11" borderId="0" xfId="4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167" fontId="0" fillId="0" borderId="0" xfId="0" applyNumberFormat="1" applyFont="1" applyBorder="1" applyAlignment="1">
      <alignment horizontal="center" vertical="center"/>
    </xf>
    <xf numFmtId="43" fontId="10" fillId="11" borderId="0" xfId="4" applyNumberFormat="1" applyFont="1" applyFill="1" applyBorder="1" applyAlignment="1">
      <alignment horizontal="center" vertical="center"/>
    </xf>
    <xf numFmtId="43" fontId="10" fillId="11" borderId="3" xfId="4" applyNumberFormat="1"/>
    <xf numFmtId="43" fontId="5" fillId="6" borderId="5" xfId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165" fontId="5" fillId="4" borderId="6" xfId="1" applyNumberFormat="1" applyFont="1" applyFill="1" applyBorder="1" applyAlignment="1">
      <alignment horizontal="center"/>
    </xf>
    <xf numFmtId="164" fontId="5" fillId="5" borderId="6" xfId="0" applyNumberFormat="1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165" fontId="0" fillId="0" borderId="8" xfId="1" applyNumberFormat="1" applyFont="1" applyBorder="1"/>
    <xf numFmtId="0" fontId="10" fillId="11" borderId="4" xfId="4" applyBorder="1" applyAlignment="1">
      <alignment horizontal="center" vertical="center"/>
    </xf>
    <xf numFmtId="165" fontId="2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7" fontId="2" fillId="0" borderId="4" xfId="0" applyNumberFormat="1" applyFont="1" applyBorder="1" applyAlignment="1">
      <alignment horizontal="center" vertical="center"/>
    </xf>
    <xf numFmtId="0" fontId="10" fillId="11" borderId="9" xfId="4" applyBorder="1" applyAlignment="1">
      <alignment horizontal="center" vertical="center"/>
    </xf>
    <xf numFmtId="165" fontId="2" fillId="0" borderId="8" xfId="1" applyNumberFormat="1" applyFont="1" applyBorder="1"/>
    <xf numFmtId="0" fontId="2" fillId="0" borderId="4" xfId="0" applyNumberFormat="1" applyFont="1" applyBorder="1" applyAlignment="1">
      <alignment horizontal="center" vertical="center"/>
    </xf>
    <xf numFmtId="43" fontId="10" fillId="11" borderId="4" xfId="4" applyNumberFormat="1" applyBorder="1" applyAlignment="1">
      <alignment horizontal="center" vertical="center"/>
    </xf>
    <xf numFmtId="0" fontId="2" fillId="0" borderId="4" xfId="1" applyNumberFormat="1" applyFont="1" applyBorder="1" applyAlignment="1">
      <alignment horizontal="center" vertical="center"/>
    </xf>
    <xf numFmtId="165" fontId="0" fillId="0" borderId="10" xfId="1" applyNumberFormat="1" applyFont="1" applyBorder="1"/>
    <xf numFmtId="43" fontId="10" fillId="11" borderId="11" xfId="4" applyNumberFormat="1" applyBorder="1" applyAlignment="1">
      <alignment horizontal="center" vertical="center"/>
    </xf>
    <xf numFmtId="165" fontId="2" fillId="0" borderId="11" xfId="1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7" fontId="2" fillId="0" borderId="11" xfId="0" applyNumberFormat="1" applyFont="1" applyBorder="1" applyAlignment="1">
      <alignment horizontal="center" vertical="center"/>
    </xf>
    <xf numFmtId="0" fontId="10" fillId="11" borderId="11" xfId="4" applyBorder="1" applyAlignment="1">
      <alignment horizontal="center" vertical="center"/>
    </xf>
    <xf numFmtId="0" fontId="10" fillId="11" borderId="12" xfId="4" applyBorder="1" applyAlignment="1">
      <alignment horizontal="center" vertical="center"/>
    </xf>
    <xf numFmtId="0" fontId="2" fillId="14" borderId="13" xfId="0" applyFont="1" applyFill="1" applyBorder="1"/>
    <xf numFmtId="49" fontId="12" fillId="13" borderId="14" xfId="0" applyNumberFormat="1" applyFont="1" applyFill="1" applyBorder="1"/>
    <xf numFmtId="0" fontId="12" fillId="13" borderId="14" xfId="0" applyFont="1" applyFill="1" applyBorder="1"/>
    <xf numFmtId="0" fontId="12" fillId="13" borderId="15" xfId="0" applyFont="1" applyFill="1" applyBorder="1"/>
    <xf numFmtId="49" fontId="2" fillId="14" borderId="14" xfId="0" applyNumberFormat="1" applyFont="1" applyFill="1" applyBorder="1" applyAlignment="1">
      <alignment vertical="center" wrapText="1"/>
    </xf>
    <xf numFmtId="0" fontId="2" fillId="14" borderId="14" xfId="0" applyFont="1" applyFill="1" applyBorder="1" applyAlignment="1">
      <alignment horizontal="center" vertical="center"/>
    </xf>
    <xf numFmtId="0" fontId="2" fillId="14" borderId="15" xfId="0" applyFont="1" applyFill="1" applyBorder="1"/>
    <xf numFmtId="49" fontId="2" fillId="13" borderId="14" xfId="0" applyNumberFormat="1" applyFont="1" applyFill="1" applyBorder="1" applyAlignment="1">
      <alignment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3" borderId="15" xfId="0" applyFont="1" applyFill="1" applyBorder="1"/>
    <xf numFmtId="49" fontId="2" fillId="14" borderId="16" xfId="0" applyNumberFormat="1" applyFont="1" applyFill="1" applyBorder="1" applyAlignment="1">
      <alignment vertical="center" wrapText="1"/>
    </xf>
    <xf numFmtId="0" fontId="2" fillId="14" borderId="16" xfId="0" applyFont="1" applyFill="1" applyBorder="1" applyAlignment="1">
      <alignment horizontal="center" vertical="center"/>
    </xf>
    <xf numFmtId="166" fontId="2" fillId="0" borderId="0" xfId="1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 wrapText="1"/>
    </xf>
    <xf numFmtId="1" fontId="0" fillId="0" borderId="0" xfId="0" applyNumberFormat="1" applyFont="1" applyBorder="1" applyAlignment="1">
      <alignment horizontal="center" vertical="center"/>
    </xf>
    <xf numFmtId="165" fontId="2" fillId="0" borderId="10" xfId="1" applyNumberFormat="1" applyFont="1" applyBorder="1"/>
    <xf numFmtId="0" fontId="2" fillId="0" borderId="11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</cellXfs>
  <cellStyles count="5">
    <cellStyle name="Comma" xfId="1" builtinId="3"/>
    <cellStyle name="Currency" xfId="2" builtinId="4"/>
    <cellStyle name="Hyperlink" xfId="3" builtinId="8"/>
    <cellStyle name="Input" xfId="4" builtinId="20"/>
    <cellStyle name="Normal" xfId="0" builtinId="0"/>
  </cellStyles>
  <dxfs count="299"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165" formatCode="_-* #,##0_-;\-* #,##0_-;_-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16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  <numFmt numFmtId="35" formatCode="_-* #,##0.00_-;\-* #,##0.00_-;_-* &quot;-&quot;??_-;_-@_-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4" formatCode="_-&quot;$&quot;* #,##0.00_-;\-&quot;$&quot;* #,##0.00_-;_-&quot;$&quot;* &quot;-&quot;??_-;_-@_-"/>
    </dxf>
    <dxf>
      <font>
        <strike val="0"/>
        <outline val="0"/>
        <shadow val="0"/>
        <u val="none"/>
        <vertAlign val="baseline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7" formatCode="#\ ?/?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theme="8"/>
          <bgColor theme="8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medium">
          <color theme="1"/>
        </top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7" formatCode="#\ ?/?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numFmt numFmtId="0" formatCode="General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numFmt numFmtId="0" formatCode="General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  <numFmt numFmtId="166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  <numFmt numFmtId="166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  <numFmt numFmtId="16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  <numFmt numFmtId="35" formatCode="_-* #,##0.00_-;\-* #,##0.00_-;_-* &quot;-&quot;??_-;_-@_-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4" formatCode="_-&quot;$&quot;* #,##0.00_-;\-&quot;$&quot;* #,##0.00_-;_-&quot;$&quot;* &quot;-&quot;??_-;_-@_-"/>
    </dxf>
    <dxf>
      <font>
        <strike val="0"/>
        <outline val="0"/>
        <shadow val="0"/>
        <u val="none"/>
        <vertAlign val="baseline"/>
        <name val="Arial"/>
        <scheme val="none"/>
      </font>
      <numFmt numFmtId="34" formatCode="_-&quot;$&quot;* #,##0.00_-;\-&quot;$&quot;* #,##0.00_-;_-&quot;$&quot;* &quot;-&quot;??_-;_-@_-"/>
    </dxf>
    <dxf>
      <font>
        <strike val="0"/>
        <outline val="0"/>
        <shadow val="0"/>
        <u val="none"/>
        <vertAlign val="baseline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7" formatCode="#\ ?/?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theme="8"/>
          <bgColor theme="8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medium">
          <color theme="1"/>
        </top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7" formatCode="#\ ?/?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  <numFmt numFmtId="35" formatCode="_-* #,##0.00_-;\-* #,##0.00_-;_-* &quot;-&quot;??_-;_-@_-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4" formatCode="_-&quot;$&quot;* #,##0.00_-;\-&quot;$&quot;* #,##0.00_-;_-&quot;$&quot;* &quot;-&quot;??_-;_-@_-"/>
    </dxf>
    <dxf>
      <numFmt numFmtId="0" formatCode="General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theme="8"/>
          <bgColor theme="8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medium">
          <color theme="1"/>
        </top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7" formatCode="#\ ?/?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  <numFmt numFmtId="35" formatCode="_-* #,##0.00_-;\-* #,##0.00_-;_-* &quot;-&quot;??_-;_-@_-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4" formatCode="_-&quot;$&quot;* #,##0.00_-;\-&quot;$&quot;* #,##0.00_-;_-&quot;$&quot;* &quot;-&quot;??_-;_-@_-"/>
    </dxf>
    <dxf>
      <font>
        <strike val="0"/>
        <outline val="0"/>
        <shadow val="0"/>
        <u val="none"/>
        <vertAlign val="baseline"/>
        <name val="Arial"/>
        <scheme val="none"/>
      </font>
      <numFmt numFmtId="34" formatCode="_-&quot;$&quot;* #,##0.00_-;\-&quot;$&quot;* #,##0.00_-;_-&quot;$&quot;* &quot;-&quot;??_-;_-@_-"/>
    </dxf>
    <dxf>
      <font>
        <strike val="0"/>
        <outline val="0"/>
        <shadow val="0"/>
        <u val="none"/>
        <vertAlign val="baseline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7" formatCode="#\ ?/?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theme="8"/>
          <bgColor theme="8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medium">
          <color theme="1"/>
        </top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7" formatCode="#\ ?/?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4"/>
          <bgColor rgb="FFFFCC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C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4"/>
          <bgColor rgb="FFFFCC9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167" formatCode="&quot;$&quot;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-* #,##0_-;\-* #,##0_-;_-* &quot;-&quot;??_-;_-@_-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gradientFill degree="90">
          <stop position="0">
            <color theme="0"/>
          </stop>
          <stop position="1">
            <color theme="4"/>
          </stop>
        </gradient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Reserve" displayName="Reserve" ref="A1:I47" totalsRowShown="0" headerRowDxfId="298" dataDxfId="296" headerRowBorderDxfId="297" tableBorderDxfId="295" totalsRowBorderDxfId="294">
  <autoFilter ref="A1:I47"/>
  <tableColumns count="9">
    <tableColumn id="19" name="RESERVE" dataDxfId="293" dataCellStyle="Comma">
      <calculatedColumnFormula>SUM(Reserve[[#This Row],[IN]:[OUT]])</calculatedColumnFormula>
    </tableColumn>
    <tableColumn id="2" name="UNIT" dataDxfId="67" dataCellStyle="Input"/>
    <tableColumn id="1" name="INGREDIENT" dataDxfId="65"/>
    <tableColumn id="7" name="IN" dataDxfId="66" dataCellStyle="Comma"/>
    <tableColumn id="17" name="OUT" dataDxfId="292">
      <calculatedColumnFormula>-SUMIFS(Data_Cook[Volume],Data_Cook[Ingredient],Reserve[INGREDIENT],Data_Cook[Cooking?],1)</calculatedColumnFormula>
    </tableColumn>
    <tableColumn id="10" name="Need to buy?" dataDxfId="291">
      <calculatedColumnFormula>IF(Reserve[[#This Row],[RESERVE]]&lt;0,1,0)</calculatedColumnFormula>
    </tableColumn>
    <tableColumn id="12" name="Price/Unit" dataDxfId="290">
      <calculatedColumnFormula>Reserve[[#This Row],[Price]]/Reserve[[#This Row],[Volume '[unit']]]</calculatedColumnFormula>
    </tableColumn>
    <tableColumn id="3" name="Price" dataDxfId="289" dataCellStyle="Input"/>
    <tableColumn id="5" name="Volume [unit]" dataDxfId="288" dataCellStyle="Input"/>
  </tableColumns>
  <tableStyleInfo name="TableStyleMedium20" showFirstColumn="0" showLastColumn="0" showRowStripes="1" showColumnStripes="0"/>
</table>
</file>

<file path=xl/tables/table10.xml><?xml version="1.0" encoding="utf-8"?>
<table xmlns="http://schemas.openxmlformats.org/spreadsheetml/2006/main" id="30" name="Brownies_Desc31" displayName="Brownies_Desc31" ref="A25:C30" headerRowDxfId="76" dataDxfId="75" totalsRowDxfId="74">
  <autoFilter ref="A25:C30"/>
  <tableColumns count="3">
    <tableColumn id="6" name="Description" dataDxfId="72" totalsRowDxfId="73">
      <calculatedColumnFormula>M26</calculatedColumnFormula>
    </tableColumn>
    <tableColumn id="7" name="Bowl" dataDxfId="70" totalsRowDxfId="71">
      <calculatedColumnFormula>N26</calculatedColumnFormula>
    </tableColumn>
    <tableColumn id="5" name="Time [min]" totalsRowFunction="custom" dataDxfId="68" totalsRowDxfId="69">
      <calculatedColumnFormula>O26*$B$10</calculatedColumnFormula>
      <totalsRowFormula>ROUNDUP(SUBTOTAL(109,Brownies_Desc31[Time '[min']]),0)</totalsRowFormula>
    </tableColumn>
  </tableColumns>
  <tableStyleInfo name="TableStyleMedium20" showFirstColumn="0" showLastColumn="0" showRowStripes="1" showColumnStripes="0"/>
</table>
</file>

<file path=xl/tables/table11.xml><?xml version="1.0" encoding="utf-8"?>
<table xmlns="http://schemas.openxmlformats.org/spreadsheetml/2006/main" id="5" name="Table26" displayName="Table26" ref="M12:Q19" headerRowDxfId="281" dataDxfId="280" totalsRowDxfId="279">
  <autoFilter ref="M12:Q19"/>
  <sortState ref="M13:Q19">
    <sortCondition ref="M12:M19"/>
  </sortState>
  <tableColumns count="5">
    <tableColumn id="3" name="Ingredients" totalsRowLabel="acucar" dataDxfId="278"/>
    <tableColumn id="13" name="Qtd " dataDxfId="277"/>
    <tableColumn id="14" name="Unit" dataDxfId="276"/>
    <tableColumn id="9" name="Volume " dataDxfId="275"/>
    <tableColumn id="5" name="Unit2" dataDxfId="274">
      <calculatedColumnFormula>INDEX(Reserve[UNIT],MATCH(Table26[[#This Row],[Ingredients]],Reserve[INGREDIENT],0))</calculatedColumnFormula>
    </tableColumn>
  </tableColumns>
  <tableStyleInfo name="TableStyleMedium26" showFirstColumn="0" showLastColumn="0" showRowStripes="1" showColumnStripes="0"/>
</table>
</file>

<file path=xl/tables/table12.xml><?xml version="1.0" encoding="utf-8"?>
<table xmlns="http://schemas.openxmlformats.org/spreadsheetml/2006/main" id="12" name="Table313" displayName="Table313" ref="S12:U16" totalsRowShown="0" headerRowDxfId="273" dataDxfId="272">
  <autoFilter ref="S12:U16"/>
  <sortState ref="S14:U18">
    <sortCondition ref="T22:T27"/>
  </sortState>
  <tableColumns count="3">
    <tableColumn id="1" name="Equipment" dataDxfId="271"/>
    <tableColumn id="3" name="Bowl" dataDxfId="270"/>
    <tableColumn id="5" name="Dim. (cm3)" dataDxfId="269"/>
  </tableColumns>
  <tableStyleInfo name="TableStyleMedium26" showFirstColumn="0" showLastColumn="0" showRowStripes="1" showColumnStripes="0"/>
</table>
</file>

<file path=xl/tables/table13.xml><?xml version="1.0" encoding="utf-8"?>
<table xmlns="http://schemas.openxmlformats.org/spreadsheetml/2006/main" id="13" name="Table414" displayName="Table414" ref="M22:P27" headerRowDxfId="268" dataDxfId="267" totalsRowDxfId="266">
  <autoFilter ref="M22:P27"/>
  <tableColumns count="4">
    <tableColumn id="6" name="Description" dataDxfId="265" totalsRowDxfId="154"/>
    <tableColumn id="7" name="Bowl" dataDxfId="264" totalsRowDxfId="155"/>
    <tableColumn id="5" name="Time [min]" totalsRowFunction="custom" dataDxfId="263" totalsRowDxfId="156">
      <totalsRowFormula>ROUNDUP(SUBTOTAL(109,Table414[Time '[min']]),0)</totalsRowFormula>
    </tableColumn>
    <tableColumn id="1" name="step" dataDxfId="262" totalsRowDxfId="157"/>
  </tableColumns>
  <tableStyleInfo name="TableStyleMedium26" showFirstColumn="0" showLastColumn="0" showRowStripes="1" showColumnStripes="0"/>
</table>
</file>

<file path=xl/tables/table14.xml><?xml version="1.0" encoding="utf-8"?>
<table xmlns="http://schemas.openxmlformats.org/spreadsheetml/2006/main" id="14" name="Table615" displayName="Table615" ref="A6:C10" headerRowCount="0" totalsRowShown="0" headerRowDxfId="261" dataDxfId="260">
  <tableColumns count="3">
    <tableColumn id="1" name="Column1" headerRowDxfId="259" dataDxfId="258"/>
    <tableColumn id="2" name="Column2" dataDxfId="257" dataCellStyle="Comma"/>
    <tableColumn id="3" name="Column3" headerRowDxfId="256" dataDxfId="255"/>
  </tableColumns>
  <tableStyleInfo name="TableStyleMedium20" showFirstColumn="1" showLastColumn="0" showRowStripes="1" showColumnStripes="0"/>
</table>
</file>

<file path=xl/tables/table15.xml><?xml version="1.0" encoding="utf-8"?>
<table xmlns="http://schemas.openxmlformats.org/spreadsheetml/2006/main" id="15" name="CAmor_ING" displayName="CAmor_ING" ref="A12:G20" totalsRowCount="1" headerRowDxfId="254" dataDxfId="253" totalsRowDxfId="252">
  <autoFilter ref="A12:G19"/>
  <sortState ref="A13:F20">
    <sortCondition ref="A12:A20"/>
  </sortState>
  <tableColumns count="7">
    <tableColumn id="3" name="Ingredients" dataDxfId="251">
      <calculatedColumnFormula>M13</calculatedColumnFormula>
    </tableColumn>
    <tableColumn id="13" name="Qtd " dataDxfId="250">
      <calculatedColumnFormula>N13*$B$10</calculatedColumnFormula>
    </tableColumn>
    <tableColumn id="14" name="Unit" dataDxfId="249">
      <calculatedColumnFormula>O13</calculatedColumnFormula>
    </tableColumn>
    <tableColumn id="9" name="Volume " dataDxfId="248">
      <calculatedColumnFormula>P13*$B$10</calculatedColumnFormula>
    </tableColumn>
    <tableColumn id="5" name="Unit2" dataDxfId="247">
      <calculatedColumnFormula>Q13</calculatedColumnFormula>
    </tableColumn>
    <tableColumn id="6" name="Check" totalsRowLabel="TOTAL" dataDxfId="246">
      <calculatedColumnFormula>IF(INDEX(Reserve[RESERVE],MATCH(CAmor_ING[[#This Row],[Ingredients]],Reserve[INGREDIENT],0))&gt;=0,"OK",INDEX(Reserve[RESERVE],MATCH(CAmor_ING[[#This Row],[Ingredients]],Reserve[INGREDIENT],0)))</calculatedColumnFormula>
    </tableColumn>
    <tableColumn id="15" name="Cost" totalsRowFunction="sum" dataDxfId="245" totalsRowDxfId="244" dataCellStyle="Currency">
      <calculatedColumnFormula>INDEX(Reserve[Price/Unit],MATCH(CAmor_ING[[#This Row],[Ingredients]],Reserve[INGREDIENT],0))*CAmor_ING[[#This Row],[Volume ]]</calculatedColumnFormula>
    </tableColumn>
  </tableColumns>
  <tableStyleInfo name="TableStyleMedium20" showFirstColumn="0" showLastColumn="0" showRowStripes="1" showColumnStripes="0"/>
</table>
</file>

<file path=xl/tables/table16.xml><?xml version="1.0" encoding="utf-8"?>
<table xmlns="http://schemas.openxmlformats.org/spreadsheetml/2006/main" id="16" name="Table3917" displayName="Table3917" ref="I12:K16" totalsRowShown="0" headerRowDxfId="243" dataDxfId="242">
  <autoFilter ref="I12:K16"/>
  <tableColumns count="3">
    <tableColumn id="1" name="Equipment" dataDxfId="241">
      <calculatedColumnFormula>S13</calculatedColumnFormula>
    </tableColumn>
    <tableColumn id="3" name="Bowl" dataDxfId="240">
      <calculatedColumnFormula>T13</calculatedColumnFormula>
    </tableColumn>
    <tableColumn id="5" name="Dim. " dataDxfId="239">
      <calculatedColumnFormula>U13*$B$10</calculatedColumnFormula>
    </tableColumn>
  </tableColumns>
  <tableStyleInfo name="TableStyleMedium20" showFirstColumn="0" showLastColumn="0" showRowStripes="1" showColumnStripes="0"/>
</table>
</file>

<file path=xl/tables/table17.xml><?xml version="1.0" encoding="utf-8"?>
<table xmlns="http://schemas.openxmlformats.org/spreadsheetml/2006/main" id="17" name="CAmor_Des" displayName="CAmor_Des" ref="A22:C27" headerRowDxfId="238" dataDxfId="237" totalsRowDxfId="236">
  <autoFilter ref="A22:C27"/>
  <tableColumns count="3">
    <tableColumn id="6" name="Description" dataDxfId="235" totalsRowDxfId="158">
      <calculatedColumnFormula>M23</calculatedColumnFormula>
    </tableColumn>
    <tableColumn id="7" name="Bowl" dataDxfId="132" totalsRowDxfId="159">
      <calculatedColumnFormula>N23</calculatedColumnFormula>
    </tableColumn>
    <tableColumn id="5" name="Time [min]" totalsRowFunction="custom" dataDxfId="131" totalsRowDxfId="160">
      <calculatedColumnFormula>O23</calculatedColumnFormula>
      <totalsRowFormula>ROUNDUP(SUBTOTAL(109,CAmor_Des[Time '[min']]),0)</totalsRowFormula>
    </tableColumn>
  </tableColumns>
  <tableStyleInfo name="TableStyleMedium20" showFirstColumn="0" showLastColumn="0" showRowStripes="1" showColumnStripes="0"/>
</table>
</file>

<file path=xl/tables/table18.xml><?xml version="1.0" encoding="utf-8"?>
<table xmlns="http://schemas.openxmlformats.org/spreadsheetml/2006/main" id="10" name="Table2611" displayName="Table2611" ref="M12:Q19" headerRowDxfId="234" dataDxfId="233" totalsRowDxfId="232">
  <autoFilter ref="M12:Q19"/>
  <sortState ref="M13:Q19">
    <sortCondition ref="M12:M19"/>
  </sortState>
  <tableColumns count="5">
    <tableColumn id="3" name="Ingredients" totalsRowLabel="acucar" dataDxfId="231"/>
    <tableColumn id="13" name="Qtd " dataDxfId="230"/>
    <tableColumn id="14" name="Unit" dataDxfId="229"/>
    <tableColumn id="9" name="Volume " dataDxfId="228"/>
    <tableColumn id="5" name="Unit2" dataDxfId="227">
      <calculatedColumnFormula>INDEX(Reserve[UNIT],MATCH(Table2611[[#This Row],[Ingredients]],Reserve[INGREDIENT],0))</calculatedColumnFormula>
    </tableColumn>
  </tableColumns>
  <tableStyleInfo name="TableStyleMedium26" showFirstColumn="0" showLastColumn="0" showRowStripes="1" showColumnStripes="0"/>
</table>
</file>

<file path=xl/tables/table19.xml><?xml version="1.0" encoding="utf-8"?>
<table xmlns="http://schemas.openxmlformats.org/spreadsheetml/2006/main" id="11" name="Table31312" displayName="Table31312" ref="S12:U15" totalsRowShown="0" headerRowDxfId="226" dataDxfId="225">
  <autoFilter ref="S12:U15"/>
  <sortState ref="S13:U15">
    <sortCondition ref="T12:T15"/>
  </sortState>
  <tableColumns count="3">
    <tableColumn id="1" name="Equipment" dataDxfId="224"/>
    <tableColumn id="3" name="Bowl" dataDxfId="223"/>
    <tableColumn id="5" name="Dim. (cm3)" dataDxfId="222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id="24" name="Data_Cook" displayName="Data_Cook" ref="A1:E23" totalsRowShown="0" headerRowCellStyle="Normal" dataCellStyle="Normal">
  <autoFilter ref="A1:E23"/>
  <sortState ref="A2:E23">
    <sortCondition ref="D1:D23"/>
  </sortState>
  <tableColumns count="5">
    <tableColumn id="1" name="Ingredient" dataCellStyle="Normal"/>
    <tableColumn id="2" name="Volume" dataCellStyle="Normal">
      <calculatedColumnFormula>INDEX(CCenoura_ING[[Volume ]],MATCH(DATA!A2,CCenoura_ING[Ingredients],0))</calculatedColumnFormula>
    </tableColumn>
    <tableColumn id="3" name="Unit" dataCellStyle="Normal">
      <calculatedColumnFormula>INDEX(CCenoura_ING[Unit2],MATCH(DATA!A2,CCenoura_ING[Ingredients],0))</calculatedColumnFormula>
    </tableColumn>
    <tableColumn id="4" name="Recipe" dataCellStyle="Normal"/>
    <tableColumn id="5" name="Cooking?" dataCellStyle="Normal">
      <calculatedColumnFormula>INDEX(CookMenu[Cooking? 
(1=yes)],MATCH(D2,CookMenu[Name],0))</calculatedColumnFormula>
    </tableColumn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id="19" name="Table61520" displayName="Table61520" ref="A6:C10" headerRowCount="0" totalsRowShown="0" headerRowDxfId="221" dataDxfId="220">
  <tableColumns count="3">
    <tableColumn id="1" name="Column1" headerRowDxfId="219" dataDxfId="218"/>
    <tableColumn id="2" name="Column2" dataDxfId="217" dataCellStyle="Comma"/>
    <tableColumn id="3" name="Column3" headerRowDxfId="216" dataDxfId="215"/>
  </tableColumns>
  <tableStyleInfo name="TableStyleMedium20" showFirstColumn="1" showLastColumn="0" showRowStripes="1" showColumnStripes="0"/>
</table>
</file>

<file path=xl/tables/table21.xml><?xml version="1.0" encoding="utf-8"?>
<table xmlns="http://schemas.openxmlformats.org/spreadsheetml/2006/main" id="20" name="CCenoura_ING" displayName="CCenoura_ING" ref="A12:G20" totalsRowCount="1" headerRowDxfId="214" dataDxfId="213" totalsRowDxfId="212">
  <autoFilter ref="A12:G19"/>
  <sortState ref="A13:F20">
    <sortCondition ref="A12:A20"/>
  </sortState>
  <tableColumns count="7">
    <tableColumn id="3" name="Ingredients">
      <calculatedColumnFormula>M13</calculatedColumnFormula>
    </tableColumn>
    <tableColumn id="13" name="Qtd ">
      <calculatedColumnFormula>N13*$B$10</calculatedColumnFormula>
    </tableColumn>
    <tableColumn id="14" name="Unit">
      <calculatedColumnFormula>O13</calculatedColumnFormula>
    </tableColumn>
    <tableColumn id="9" name="Volume ">
      <calculatedColumnFormula>P13*$B$10</calculatedColumnFormula>
    </tableColumn>
    <tableColumn id="5" name="Unit2">
      <calculatedColumnFormula>Q13</calculatedColumnFormula>
    </tableColumn>
    <tableColumn id="6" name="Check" totalsRowLabel="TOTAL" dataDxfId="211">
      <calculatedColumnFormula>IF(INDEX(Reserve[RESERVE],MATCH(CCenoura_ING[[#This Row],[Ingredients]],Reserve[INGREDIENT],0))&gt;=0,"OK",INDEX(Reserve[RESERVE],MATCH(CCenoura_ING[[#This Row],[Ingredients]],Reserve[INGREDIENT],0)))</calculatedColumnFormula>
    </tableColumn>
    <tableColumn id="15" name="Cost" totalsRowFunction="sum" totalsRowDxfId="210" dataCellStyle="Currency">
      <calculatedColumnFormula>INDEX(Reserve[Price/Unit],MATCH(CCenoura_ING[[#This Row],[Ingredients]],Reserve[INGREDIENT],0))*CCenoura_ING[[#This Row],[Volume ]]</calculatedColumnFormula>
    </tableColumn>
  </tableColumns>
  <tableStyleInfo name="TableStyleMedium20" showFirstColumn="0" showLastColumn="0" showRowStripes="1" showColumnStripes="0"/>
</table>
</file>

<file path=xl/tables/table22.xml><?xml version="1.0" encoding="utf-8"?>
<table xmlns="http://schemas.openxmlformats.org/spreadsheetml/2006/main" id="21" name="Table391722" displayName="Table391722" ref="I12:K15" totalsRowShown="0" headerRowDxfId="209" dataDxfId="208">
  <autoFilter ref="I12:K15"/>
  <tableColumns count="3">
    <tableColumn id="1" name="Equipment" dataDxfId="207">
      <calculatedColumnFormula>S13</calculatedColumnFormula>
    </tableColumn>
    <tableColumn id="3" name="Bowl" dataDxfId="206">
      <calculatedColumnFormula>T13</calculatedColumnFormula>
    </tableColumn>
    <tableColumn id="5" name="Dim. " dataDxfId="205">
      <calculatedColumnFormula>U13*$B$10</calculatedColumnFormula>
    </tableColumn>
  </tableColumns>
  <tableStyleInfo name="TableStyleMedium20" showFirstColumn="0" showLastColumn="0" showRowStripes="1" showColumnStripes="0"/>
</table>
</file>

<file path=xl/tables/table23.xml><?xml version="1.0" encoding="utf-8"?>
<table xmlns="http://schemas.openxmlformats.org/spreadsheetml/2006/main" id="22" name="CCenoura_Desc" displayName="CCenoura_Desc" ref="A22:C25" headerRowDxfId="204" dataDxfId="203" totalsRowDxfId="202">
  <autoFilter ref="A22:C25"/>
  <tableColumns count="3">
    <tableColumn id="6" name="Description" dataDxfId="201" totalsRowDxfId="151">
      <calculatedColumnFormula>M23</calculatedColumnFormula>
    </tableColumn>
    <tableColumn id="7" name="Bowl" dataDxfId="134" totalsRowDxfId="152">
      <calculatedColumnFormula>N23</calculatedColumnFormula>
    </tableColumn>
    <tableColumn id="5" name="Time [min]" totalsRowFunction="custom" dataDxfId="133" totalsRowDxfId="153" dataCellStyle="Comma">
      <calculatedColumnFormula>O23</calculatedColumnFormula>
      <totalsRowFormula>ROUNDUP(SUBTOTAL(109,CCenoura_Desc[Time '[min']]),0)</totalsRowFormula>
    </tableColumn>
  </tableColumns>
  <tableStyleInfo name="TableStyleMedium20" showFirstColumn="0" showLastColumn="0" showRowStripes="1" showColumnStripes="0"/>
</table>
</file>

<file path=xl/tables/table24.xml><?xml version="1.0" encoding="utf-8"?>
<table xmlns="http://schemas.openxmlformats.org/spreadsheetml/2006/main" id="2" name="Table2" displayName="Table2" ref="M12:Q20" headerRowDxfId="200" dataDxfId="199" totalsRowDxfId="198">
  <autoFilter ref="M12:Q20"/>
  <sortState ref="M12:Q19">
    <sortCondition ref="M37:M45"/>
  </sortState>
  <tableColumns count="5">
    <tableColumn id="3" name="Ingredients" totalsRowLabel="acucar" dataDxfId="197"/>
    <tableColumn id="13" name="Qtd " dataDxfId="196"/>
    <tableColumn id="14" name="Unit" dataDxfId="195"/>
    <tableColumn id="9" name="Volume " dataDxfId="194"/>
    <tableColumn id="5" name="Unit2" dataDxfId="193">
      <calculatedColumnFormula>INDEX(Reserve[UNIT],MATCH(Table2[[#This Row],[Ingredients]],Reserve[INGREDIENT],0))</calculatedColumnFormula>
    </tableColumn>
  </tableColumns>
  <tableStyleInfo name="TableStyleMedium26" showFirstColumn="0" showLastColumn="0" showRowStripes="1" showColumnStripes="0"/>
</table>
</file>

<file path=xl/tables/table25.xml><?xml version="1.0" encoding="utf-8"?>
<table xmlns="http://schemas.openxmlformats.org/spreadsheetml/2006/main" id="3" name="Table3" displayName="Table3" ref="S12:U15" totalsRowShown="0" headerRowDxfId="192" dataDxfId="191">
  <autoFilter ref="S12:U15"/>
  <sortState ref="S12:U14">
    <sortCondition ref="S47:S50"/>
  </sortState>
  <tableColumns count="3">
    <tableColumn id="1" name="Equipment" dataDxfId="190"/>
    <tableColumn id="3" name="Bowl" dataDxfId="189"/>
    <tableColumn id="5" name="Dim. (cm3)" dataDxfId="188"/>
  </tableColumns>
  <tableStyleInfo name="TableStyleMedium26" showFirstColumn="0" showLastColumn="0" showRowStripes="1" showColumnStripes="0"/>
</table>
</file>

<file path=xl/tables/table26.xml><?xml version="1.0" encoding="utf-8"?>
<table xmlns="http://schemas.openxmlformats.org/spreadsheetml/2006/main" id="4" name="Table4" displayName="Table4" ref="M23:P28" headerRowDxfId="147" dataDxfId="146" totalsRowDxfId="145">
  <autoFilter ref="M23:P28"/>
  <sortState ref="M24:P28">
    <sortCondition ref="P28:P33"/>
  </sortState>
  <tableColumns count="4">
    <tableColumn id="6" name="Description" dataDxfId="143" totalsRowDxfId="144"/>
    <tableColumn id="7" name="Bowl" dataDxfId="141" totalsRowDxfId="142"/>
    <tableColumn id="5" name="Time [min]" totalsRowFunction="custom" dataDxfId="139" totalsRowDxfId="140">
      <totalsRowFormula>ROUNDUP(SUBTOTAL(109,Table4[Time '[min']]),0)</totalsRowFormula>
    </tableColumn>
    <tableColumn id="2" name="Step" dataDxfId="137" totalsRowDxfId="138"/>
  </tableColumns>
  <tableStyleInfo name="TableStyleMedium26" showFirstColumn="0" showLastColumn="0" showRowStripes="1" showColumnStripes="0"/>
</table>
</file>

<file path=xl/tables/table27.xml><?xml version="1.0" encoding="utf-8"?>
<table xmlns="http://schemas.openxmlformats.org/spreadsheetml/2006/main" id="6" name="Table6" displayName="Table6" ref="A6:C10" headerRowCount="0" totalsRowShown="0" headerRowDxfId="187" dataDxfId="186">
  <tableColumns count="3">
    <tableColumn id="1" name="Column1" headerRowDxfId="185" dataDxfId="184"/>
    <tableColumn id="2" name="Column2" dataDxfId="183" dataCellStyle="Comma"/>
    <tableColumn id="3" name="Column3" headerRowDxfId="182" dataDxfId="181"/>
  </tableColumns>
  <tableStyleInfo name="TableStyleMedium20" showFirstColumn="1" showLastColumn="0" showRowStripes="1" showColumnStripes="0"/>
</table>
</file>

<file path=xl/tables/table28.xml><?xml version="1.0" encoding="utf-8"?>
<table xmlns="http://schemas.openxmlformats.org/spreadsheetml/2006/main" id="7" name="Brownies_ING" displayName="Brownies_ING" ref="A12:G21" totalsRowCount="1" headerRowDxfId="180" dataDxfId="179" totalsRowDxfId="178">
  <autoFilter ref="A12:G20"/>
  <sortState ref="A13:F20">
    <sortCondition ref="A12:A20"/>
  </sortState>
  <tableColumns count="7">
    <tableColumn id="3" name="Ingredients" dataDxfId="177">
      <calculatedColumnFormula>M13</calculatedColumnFormula>
    </tableColumn>
    <tableColumn id="13" name="Qtd " dataDxfId="176">
      <calculatedColumnFormula>N13*$B$10</calculatedColumnFormula>
    </tableColumn>
    <tableColumn id="14" name="Unit" dataDxfId="175">
      <calculatedColumnFormula>O13</calculatedColumnFormula>
    </tableColumn>
    <tableColumn id="9" name="Volume " dataDxfId="174">
      <calculatedColumnFormula>P13*$B$10</calculatedColumnFormula>
    </tableColumn>
    <tableColumn id="5" name="Unit2" dataDxfId="173">
      <calculatedColumnFormula>Q13</calculatedColumnFormula>
    </tableColumn>
    <tableColumn id="6" name="Check" totalsRowLabel="TOTAL" dataDxfId="172">
      <calculatedColumnFormula>IF(INDEX(Reserve[RESERVE],MATCH(Brownies_ING[[#This Row],[Ingredients]],Reserve[INGREDIENT],0))&gt;=0,"OK",INDEX(Reserve[RESERVE],MATCH(Brownies_ING[[#This Row],[Ingredients]],Reserve[INGREDIENT],0)))</calculatedColumnFormula>
    </tableColumn>
    <tableColumn id="15" name="Cost" totalsRowFunction="sum" dataDxfId="171" totalsRowDxfId="170" dataCellStyle="Currency">
      <calculatedColumnFormula>INDEX(Reserve[Price/Unit],MATCH(Brownies_ING[[#This Row],[Ingredients]],Reserve[INGREDIENT],0))*Brownies_ING[[#This Row],[Volume ]]</calculatedColumnFormula>
    </tableColumn>
  </tableColumns>
  <tableStyleInfo name="TableStyleMedium20" showFirstColumn="0" showLastColumn="0" showRowStripes="1" showColumnStripes="0"/>
</table>
</file>

<file path=xl/tables/table29.xml><?xml version="1.0" encoding="utf-8"?>
<table xmlns="http://schemas.openxmlformats.org/spreadsheetml/2006/main" id="8" name="Table39" displayName="Table39" ref="I12:K15" totalsRowShown="0" headerRowDxfId="169" dataDxfId="168">
  <autoFilter ref="I12:K15"/>
  <tableColumns count="3">
    <tableColumn id="1" name="Equipment" dataDxfId="167">
      <calculatedColumnFormula>S13</calculatedColumnFormula>
    </tableColumn>
    <tableColumn id="3" name="Bowl" dataDxfId="166">
      <calculatedColumnFormula>T13</calculatedColumnFormula>
    </tableColumn>
    <tableColumn id="5" name="Dim. " dataDxfId="165">
      <calculatedColumnFormula>U13*$B$10</calculatedColumnFormula>
    </tableColumn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id="23" name="CookMenu" displayName="CookMenu" ref="A1:O5" totalsRowShown="0" headerRowDxfId="287">
  <autoFilter ref="A1:O5"/>
  <sortState ref="A2:L4">
    <sortCondition ref="B1:B4"/>
  </sortState>
  <tableColumns count="15">
    <tableColumn id="1" name="Category" dataDxfId="286" dataCellStyle="Input"/>
    <tableColumn id="2" name="Name" dataDxfId="285" dataCellStyle="Hyperlink"/>
    <tableColumn id="3" name="Video" dataDxfId="130" dataCellStyle="Input"/>
    <tableColumn id="14" name="Prep. Time_x000a_[min]" dataDxfId="129" dataCellStyle="Input">
      <calculatedColumnFormula>SUM('Bolo de amor'!C23:C26)</calculatedColumnFormula>
    </tableColumn>
    <tableColumn id="15" name="Cook Time_x000a_[min]" dataDxfId="126" dataCellStyle="Input">
      <calculatedColumnFormula>'Bolo de amor'!C27</calculatedColumnFormula>
    </tableColumn>
    <tableColumn id="4" name="Total_x000a_[min]" dataDxfId="124">
      <calculatedColumnFormula>ROUNDUP(CookMenu[[#This Row],[Prep. Time
'[min']]]+CookMenu[[#This Row],[Cook Time
'[min']]],0)</calculatedColumnFormula>
    </tableColumn>
    <tableColumn id="5" name="Volume/servings _x000a_[cm3]" dataDxfId="125"/>
    <tableColumn id="6" name="Mass/servings_x000a_[g]" dataDxfId="127"/>
    <tableColumn id="7" name="N° of servings _x000a_(STD)" dataDxfId="128" dataCellStyle="Input"/>
    <tableColumn id="8" name="N° of servings _x000a_(PLAN)" dataDxfId="284" dataCellStyle="Input"/>
    <tableColumn id="13" name="Ration" dataDxfId="283" dataCellStyle="Input">
      <calculatedColumnFormula>CookMenu[[#This Row],[N° of servings 
(PLAN)]]/CookMenu[[#This Row],[N° of servings 
(STD)]]</calculatedColumnFormula>
    </tableColumn>
    <tableColumn id="9" name="Ingredients_x000a_(Missing)"/>
    <tableColumn id="10" name="Cooking? _x000a_(1=yes)" dataDxfId="282" dataCellStyle="Input"/>
    <tableColumn id="11" name="Cost"/>
    <tableColumn id="12" name="Price_x000a_(Missing)"/>
  </tableColumns>
  <tableStyleInfo name="TableStyleLight1" showFirstColumn="0" showLastColumn="0" showRowStripes="1" showColumnStripes="0"/>
</table>
</file>

<file path=xl/tables/table30.xml><?xml version="1.0" encoding="utf-8"?>
<table xmlns="http://schemas.openxmlformats.org/spreadsheetml/2006/main" id="9" name="Brownies_Desc" displayName="Brownies_Desc" ref="A23:C28" headerRowDxfId="164" dataDxfId="163" totalsRowDxfId="162">
  <autoFilter ref="A23:C28"/>
  <tableColumns count="3">
    <tableColumn id="6" name="Description" dataDxfId="161" totalsRowDxfId="148">
      <calculatedColumnFormula>M24</calculatedColumnFormula>
    </tableColumn>
    <tableColumn id="7" name="Bowl" dataDxfId="136" totalsRowDxfId="149">
      <calculatedColumnFormula>N24</calculatedColumnFormula>
    </tableColumn>
    <tableColumn id="5" name="Time [min]" totalsRowFunction="custom" dataDxfId="135" totalsRowDxfId="150">
      <calculatedColumnFormula>O24*$B$10</calculatedColumnFormula>
      <totalsRowFormula>ROUNDUP(SUBTOTAL(109,Brownies_Desc[Time '[min']]),0)</totalsRowFormula>
    </tableColumn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id="18" name="Table219" displayName="Table219" ref="M12:Q22" headerRowDxfId="123" dataDxfId="122" totalsRowDxfId="121">
  <autoFilter ref="M12:Q22"/>
  <sortState ref="M13:Q20">
    <sortCondition ref="M37:M45"/>
  </sortState>
  <tableColumns count="5">
    <tableColumn id="3" name="Ingredients" totalsRowLabel="acucar" dataDxfId="120"/>
    <tableColumn id="13" name="Qtd " dataDxfId="119"/>
    <tableColumn id="14" name="Unit" dataDxfId="118"/>
    <tableColumn id="9" name="Volume " dataDxfId="117"/>
    <tableColumn id="5" name="Unit2" dataDxfId="116">
      <calculatedColumnFormula>INDEX(Reserve[UNIT],MATCH(Table219[[#This Row],[Ingredients]],Reserve[INGREDIENT],0))</calculatedColumnFormula>
    </tableColumn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id="25" name="Table326" displayName="Table326" ref="S12:U15" totalsRowShown="0" headerRowDxfId="115" dataDxfId="114">
  <autoFilter ref="S12:U15"/>
  <sortState ref="S13:U15">
    <sortCondition ref="S47:S50"/>
  </sortState>
  <tableColumns count="3">
    <tableColumn id="1" name="Equipment" dataDxfId="113"/>
    <tableColumn id="3" name="Bowl" dataDxfId="112"/>
    <tableColumn id="5" name="Dim. (cm3)" dataDxfId="111"/>
  </tableColumns>
  <tableStyleInfo name="TableStyleMedium26" showFirstColumn="0" showLastColumn="0" showRowStripes="1" showColumnStripes="0"/>
</table>
</file>

<file path=xl/tables/table6.xml><?xml version="1.0" encoding="utf-8"?>
<table xmlns="http://schemas.openxmlformats.org/spreadsheetml/2006/main" id="26" name="Table427" displayName="Table427" ref="M25:P33" headerRowDxfId="110" dataDxfId="109" totalsRowDxfId="108">
  <autoFilter ref="M25:P33"/>
  <sortState ref="M24:P28">
    <sortCondition ref="P28:P33"/>
  </sortState>
  <tableColumns count="4">
    <tableColumn id="6" name="Description" dataDxfId="106" totalsRowDxfId="107"/>
    <tableColumn id="7" name="Bowl" dataDxfId="104" totalsRowDxfId="105"/>
    <tableColumn id="5" name="Time [min]" totalsRowFunction="custom" dataDxfId="102" totalsRowDxfId="103">
      <totalsRowFormula>ROUNDUP(SUBTOTAL(109,Table427[Time '[min']]),0)</totalsRowFormula>
    </tableColumn>
    <tableColumn id="2" name="Step" dataDxfId="100" totalsRowDxfId="101"/>
  </tableColumns>
  <tableStyleInfo name="TableStyleMedium26" showFirstColumn="0" showLastColumn="0" showRowStripes="1" showColumnStripes="0"/>
</table>
</file>

<file path=xl/tables/table7.xml><?xml version="1.0" encoding="utf-8"?>
<table xmlns="http://schemas.openxmlformats.org/spreadsheetml/2006/main" id="27" name="Table628" displayName="Table628" ref="A6:C10" headerRowCount="0" totalsRowShown="0" headerRowDxfId="99" dataDxfId="98">
  <tableColumns count="3">
    <tableColumn id="1" name="Column1" headerRowDxfId="97" dataDxfId="96"/>
    <tableColumn id="2" name="Column2" dataDxfId="95" dataCellStyle="Comma"/>
    <tableColumn id="3" name="Column3" headerRowDxfId="94" dataDxfId="93"/>
  </tableColumns>
  <tableStyleInfo name="TableStyleMedium20" showFirstColumn="1" showLastColumn="0" showRowStripes="1" showColumnStripes="0"/>
</table>
</file>

<file path=xl/tables/table8.xml><?xml version="1.0" encoding="utf-8"?>
<table xmlns="http://schemas.openxmlformats.org/spreadsheetml/2006/main" id="28" name="Brownies_ING29" displayName="Brownies_ING29" ref="A12:G21" totalsRowCount="1" headerRowDxfId="92" dataDxfId="91" totalsRowDxfId="90">
  <autoFilter ref="A12:G20"/>
  <sortState ref="A13:F20">
    <sortCondition ref="A12:A20"/>
  </sortState>
  <tableColumns count="7">
    <tableColumn id="3" name="Ingredients" dataDxfId="89">
      <calculatedColumnFormula>M13</calculatedColumnFormula>
    </tableColumn>
    <tableColumn id="13" name="Qtd " dataDxfId="88">
      <calculatedColumnFormula>N13*$B$10</calculatedColumnFormula>
    </tableColumn>
    <tableColumn id="14" name="Unit" dataDxfId="87">
      <calculatedColumnFormula>O13</calculatedColumnFormula>
    </tableColumn>
    <tableColumn id="9" name="Volume " dataDxfId="86">
      <calculatedColumnFormula>P13*$B$10</calculatedColumnFormula>
    </tableColumn>
    <tableColumn id="5" name="Unit2" dataDxfId="85">
      <calculatedColumnFormula>Q13</calculatedColumnFormula>
    </tableColumn>
    <tableColumn id="6" name="Check" totalsRowLabel="TOTAL" dataDxfId="84">
      <calculatedColumnFormula>IF(INDEX(Reserve[RESERVE],MATCH(Brownies_ING29[[#This Row],[Ingredients]],Reserve[INGREDIENT],0))&gt;=0,"OK",INDEX(Reserve[RESERVE],MATCH(Brownies_ING29[[#This Row],[Ingredients]],Reserve[INGREDIENT],0)))</calculatedColumnFormula>
    </tableColumn>
    <tableColumn id="15" name="Cost" totalsRowFunction="sum" dataDxfId="82" totalsRowDxfId="83" dataCellStyle="Currency">
      <calculatedColumnFormula>INDEX(Reserve[Price/Unit],MATCH(Brownies_ING29[[#This Row],[Ingredients]],Reserve[INGREDIENT],0))*Brownies_ING29[[#This Row],[Volume ]]</calculatedColumnFormula>
    </tableColumn>
  </tableColumns>
  <tableStyleInfo name="TableStyleMedium20" showFirstColumn="0" showLastColumn="0" showRowStripes="1" showColumnStripes="0"/>
</table>
</file>

<file path=xl/tables/table9.xml><?xml version="1.0" encoding="utf-8"?>
<table xmlns="http://schemas.openxmlformats.org/spreadsheetml/2006/main" id="29" name="Table3930" displayName="Table3930" ref="I12:K15" totalsRowShown="0" headerRowDxfId="81" dataDxfId="80">
  <autoFilter ref="I12:K15"/>
  <tableColumns count="3">
    <tableColumn id="1" name="Equipment" dataDxfId="79">
      <calculatedColumnFormula>S13</calculatedColumnFormula>
    </tableColumn>
    <tableColumn id="3" name="Bowl" dataDxfId="78">
      <calculatedColumnFormula>T13</calculatedColumnFormula>
    </tableColumn>
    <tableColumn id="5" name="Dim. " dataDxfId="77">
      <calculatedColumnFormula>U13*$B$10</calculatedColumnFormula>
    </tableColumn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youtu.be/pAehmDv6REI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7" Type="http://schemas.openxmlformats.org/officeDocument/2006/relationships/table" Target="../tables/table23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0.xml"/><Relationship Id="rId3" Type="http://schemas.openxmlformats.org/officeDocument/2006/relationships/table" Target="../tables/table25.xml"/><Relationship Id="rId7" Type="http://schemas.openxmlformats.org/officeDocument/2006/relationships/table" Target="../tables/table29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28.xml"/><Relationship Id="rId5" Type="http://schemas.openxmlformats.org/officeDocument/2006/relationships/table" Target="../tables/table27.xml"/><Relationship Id="rId4" Type="http://schemas.openxmlformats.org/officeDocument/2006/relationships/table" Target="../tables/table2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I47"/>
  <sheetViews>
    <sheetView topLeftCell="A29" workbookViewId="0">
      <selection activeCell="B47" sqref="B47"/>
    </sheetView>
  </sheetViews>
  <sheetFormatPr defaultRowHeight="14.25" x14ac:dyDescent="0.2"/>
  <cols>
    <col min="1" max="1" width="17.140625" style="7" bestFit="1" customWidth="1"/>
    <col min="2" max="2" width="10.7109375" style="7" bestFit="1" customWidth="1"/>
    <col min="3" max="3" width="26.7109375" style="2" bestFit="1" customWidth="1"/>
    <col min="4" max="4" width="9.85546875" style="13" bestFit="1" customWidth="1"/>
    <col min="5" max="5" width="10.28515625" style="7" bestFit="1" customWidth="1"/>
    <col min="6" max="6" width="19.140625" style="7" bestFit="1" customWidth="1"/>
    <col min="7" max="7" width="15.5703125" style="7" bestFit="1" customWidth="1"/>
    <col min="8" max="8" width="10.85546875" style="7" bestFit="1" customWidth="1"/>
    <col min="9" max="9" width="19" style="7" bestFit="1" customWidth="1"/>
    <col min="10" max="16384" width="9.140625" style="7"/>
  </cols>
  <sheetData>
    <row r="1" spans="1:9" s="9" customFormat="1" x14ac:dyDescent="0.2">
      <c r="A1" s="51" t="s">
        <v>39</v>
      </c>
      <c r="B1" s="52" t="s">
        <v>38</v>
      </c>
      <c r="C1" s="53" t="s">
        <v>37</v>
      </c>
      <c r="D1" s="54" t="s">
        <v>61</v>
      </c>
      <c r="E1" s="55" t="s">
        <v>75</v>
      </c>
      <c r="F1" s="56" t="s">
        <v>72</v>
      </c>
      <c r="G1" s="56" t="s">
        <v>76</v>
      </c>
      <c r="H1" s="56" t="s">
        <v>79</v>
      </c>
      <c r="I1" s="57" t="s">
        <v>80</v>
      </c>
    </row>
    <row r="2" spans="1:9" ht="15" x14ac:dyDescent="0.25">
      <c r="A2" s="58">
        <f>SUM(Reserve[[#This Row],[IN]:[OUT]])</f>
        <v>1000</v>
      </c>
      <c r="B2" s="59" t="s">
        <v>0</v>
      </c>
      <c r="C2" s="93" t="s">
        <v>19</v>
      </c>
      <c r="D2" s="60">
        <v>1000</v>
      </c>
      <c r="E2" s="61">
        <f>-SUMIFS(Data_Cook[Volume],Data_Cook[Ingredient],Reserve[INGREDIENT],Data_Cook[Cooking?],1)</f>
        <v>0</v>
      </c>
      <c r="F2" s="61">
        <f>IF(Reserve[[#This Row],[RESERVE]]&lt;0,1,0)</f>
        <v>0</v>
      </c>
      <c r="G2" s="62" t="e">
        <f>Reserve[[#This Row],[Price]]/Reserve[[#This Row],[Volume '[unit']]]</f>
        <v>#DIV/0!</v>
      </c>
      <c r="H2" s="59"/>
      <c r="I2" s="63"/>
    </row>
    <row r="3" spans="1:9" ht="15" x14ac:dyDescent="0.25">
      <c r="A3" s="58">
        <f>SUM(Reserve[[#This Row],[IN]:[OUT]])</f>
        <v>400</v>
      </c>
      <c r="B3" s="59" t="s">
        <v>0</v>
      </c>
      <c r="C3" s="93" t="s">
        <v>3</v>
      </c>
      <c r="D3" s="60">
        <v>400</v>
      </c>
      <c r="E3" s="61">
        <f>-SUMIFS(Data_Cook[Volume],Data_Cook[Ingredient],Reserve[INGREDIENT],Data_Cook[Cooking?],1)</f>
        <v>0</v>
      </c>
      <c r="F3" s="61">
        <f>IF(Reserve[[#This Row],[RESERVE]]&lt;0,1,0)</f>
        <v>0</v>
      </c>
      <c r="G3" s="62" t="e">
        <f>Reserve[[#This Row],[Price]]/Reserve[[#This Row],[Volume '[unit']]]</f>
        <v>#DIV/0!</v>
      </c>
      <c r="H3" s="59"/>
      <c r="I3" s="63"/>
    </row>
    <row r="4" spans="1:9" ht="15" x14ac:dyDescent="0.25">
      <c r="A4" s="58">
        <f>SUM(Reserve[[#This Row],[IN]:[OUT]])</f>
        <v>3500</v>
      </c>
      <c r="B4" s="59" t="s">
        <v>0</v>
      </c>
      <c r="C4" s="93" t="s">
        <v>60</v>
      </c>
      <c r="D4" s="60">
        <v>3500</v>
      </c>
      <c r="E4" s="61">
        <f>-SUMIFS(Data_Cook[Volume],Data_Cook[Ingredient],Reserve[INGREDIENT],Data_Cook[Cooking?],1)</f>
        <v>0</v>
      </c>
      <c r="F4" s="61">
        <f>IF(Reserve[[#This Row],[RESERVE]]&lt;0,1,0)</f>
        <v>0</v>
      </c>
      <c r="G4" s="62" t="e">
        <f>Reserve[[#This Row],[Price]]/Reserve[[#This Row],[Volume '[unit']]]</f>
        <v>#DIV/0!</v>
      </c>
      <c r="H4" s="59"/>
      <c r="I4" s="63"/>
    </row>
    <row r="5" spans="1:9" ht="15" x14ac:dyDescent="0.25">
      <c r="A5" s="58">
        <f>SUM(Reserve[[#This Row],[IN]:[OUT]])</f>
        <v>900</v>
      </c>
      <c r="B5" s="59" t="s">
        <v>0</v>
      </c>
      <c r="C5" s="93" t="s">
        <v>16</v>
      </c>
      <c r="D5" s="60">
        <v>900</v>
      </c>
      <c r="E5" s="61">
        <f>-SUMIFS(Data_Cook[Volume],Data_Cook[Ingredient],Reserve[INGREDIENT],Data_Cook[Cooking?],1)</f>
        <v>0</v>
      </c>
      <c r="F5" s="61">
        <f>IF(Reserve[[#This Row],[RESERVE]]&lt;0,1,0)</f>
        <v>0</v>
      </c>
      <c r="G5" s="62" t="e">
        <f>Reserve[[#This Row],[Price]]/Reserve[[#This Row],[Volume '[unit']]]</f>
        <v>#DIV/0!</v>
      </c>
      <c r="H5" s="59"/>
      <c r="I5" s="63"/>
    </row>
    <row r="6" spans="1:9" ht="15" x14ac:dyDescent="0.25">
      <c r="A6" s="58">
        <f>SUM(Reserve[[#This Row],[IN]:[OUT]])</f>
        <v>800</v>
      </c>
      <c r="B6" s="59" t="s">
        <v>0</v>
      </c>
      <c r="C6" s="93" t="s">
        <v>15</v>
      </c>
      <c r="D6" s="60">
        <v>800</v>
      </c>
      <c r="E6" s="61">
        <f>-SUMIFS(Data_Cook[Volume],Data_Cook[Ingredient],Reserve[INGREDIENT],Data_Cook[Cooking?],1)</f>
        <v>0</v>
      </c>
      <c r="F6" s="61">
        <f>IF(Reserve[[#This Row],[RESERVE]]&lt;0,1,0)</f>
        <v>0</v>
      </c>
      <c r="G6" s="62" t="e">
        <f>Reserve[[#This Row],[Price]]/Reserve[[#This Row],[Volume '[unit']]]</f>
        <v>#DIV/0!</v>
      </c>
      <c r="H6" s="59"/>
      <c r="I6" s="63"/>
    </row>
    <row r="7" spans="1:9" ht="15" x14ac:dyDescent="0.25">
      <c r="A7" s="58">
        <f>SUM(Reserve[[#This Row],[IN]:[OUT]])</f>
        <v>1980</v>
      </c>
      <c r="B7" s="59" t="s">
        <v>0</v>
      </c>
      <c r="C7" s="93" t="s">
        <v>14</v>
      </c>
      <c r="D7" s="60">
        <v>1980</v>
      </c>
      <c r="E7" s="61">
        <f>-SUMIFS(Data_Cook[Volume],Data_Cook[Ingredient],Reserve[INGREDIENT],Data_Cook[Cooking?],1)</f>
        <v>0</v>
      </c>
      <c r="F7" s="61">
        <f>IF(Reserve[[#This Row],[RESERVE]]&lt;0,1,0)</f>
        <v>0</v>
      </c>
      <c r="G7" s="62" t="e">
        <f>Reserve[[#This Row],[Price]]/Reserve[[#This Row],[Volume '[unit']]]</f>
        <v>#DIV/0!</v>
      </c>
      <c r="H7" s="59"/>
      <c r="I7" s="63"/>
    </row>
    <row r="8" spans="1:9" ht="15" customHeight="1" x14ac:dyDescent="0.2">
      <c r="A8" s="64">
        <f>SUM(Reserve[[#This Row],[IN]:[OUT]])</f>
        <v>300</v>
      </c>
      <c r="B8" s="59" t="s">
        <v>0</v>
      </c>
      <c r="C8" s="93" t="s">
        <v>104</v>
      </c>
      <c r="D8" s="60">
        <v>300</v>
      </c>
      <c r="E8" s="65">
        <f>-SUMIFS(Data_Cook[Volume],Data_Cook[Ingredient],Reserve[INGREDIENT],Data_Cook[Cooking?],1)</f>
        <v>0</v>
      </c>
      <c r="F8" s="65">
        <f>IF(Reserve[[#This Row],[RESERVE]]&lt;0,1,0)</f>
        <v>0</v>
      </c>
      <c r="G8" s="62" t="e">
        <f>Reserve[[#This Row],[Price]]/Reserve[[#This Row],[Volume '[unit']]]</f>
        <v>#DIV/0!</v>
      </c>
      <c r="H8" s="59"/>
      <c r="I8" s="63"/>
    </row>
    <row r="9" spans="1:9" ht="15" x14ac:dyDescent="0.25">
      <c r="A9" s="58">
        <f>SUM(Reserve[[#This Row],[IN]:[OUT]])</f>
        <v>15</v>
      </c>
      <c r="B9" s="59" t="s">
        <v>17</v>
      </c>
      <c r="C9" s="93" t="s">
        <v>11</v>
      </c>
      <c r="D9" s="60">
        <v>15</v>
      </c>
      <c r="E9" s="61">
        <f>-SUMIFS(Data_Cook[Volume],Data_Cook[Ingredient],Reserve[INGREDIENT],Data_Cook[Cooking?],1)</f>
        <v>0</v>
      </c>
      <c r="F9" s="61">
        <f>IF(Reserve[[#This Row],[RESERVE]]&lt;0,1,0)</f>
        <v>0</v>
      </c>
      <c r="G9" s="62" t="e">
        <f>Reserve[[#This Row],[Price]]/Reserve[[#This Row],[Volume '[unit']]]</f>
        <v>#DIV/0!</v>
      </c>
      <c r="H9" s="59"/>
      <c r="I9" s="63"/>
    </row>
    <row r="10" spans="1:9" ht="15" x14ac:dyDescent="0.25">
      <c r="A10" s="58">
        <f>SUM(Reserve[[#This Row],[IN]:[OUT]])</f>
        <v>60</v>
      </c>
      <c r="B10" s="59" t="s">
        <v>17</v>
      </c>
      <c r="C10" s="93" t="s">
        <v>7</v>
      </c>
      <c r="D10" s="60">
        <v>60</v>
      </c>
      <c r="E10" s="61">
        <f>-SUMIFS(Data_Cook[Volume],Data_Cook[Ingredient],Reserve[INGREDIENT],Data_Cook[Cooking?],1)</f>
        <v>0</v>
      </c>
      <c r="F10" s="61">
        <f>IF(Reserve[[#This Row],[RESERVE]]&lt;0,1,0)</f>
        <v>0</v>
      </c>
      <c r="G10" s="62" t="e">
        <f>Reserve[[#This Row],[Price]]/Reserve[[#This Row],[Volume '[unit']]]</f>
        <v>#DIV/0!</v>
      </c>
      <c r="H10" s="59"/>
      <c r="I10" s="63"/>
    </row>
    <row r="11" spans="1:9" ht="15" x14ac:dyDescent="0.25">
      <c r="A11" s="58">
        <f>SUM(Reserve[[#This Row],[IN]:[OUT]])</f>
        <v>20</v>
      </c>
      <c r="B11" s="59" t="s">
        <v>17</v>
      </c>
      <c r="C11" s="93" t="s">
        <v>6</v>
      </c>
      <c r="D11" s="60">
        <v>20</v>
      </c>
      <c r="E11" s="61">
        <f>-SUMIFS(Data_Cook[Volume],Data_Cook[Ingredient],Reserve[INGREDIENT],Data_Cook[Cooking?],1)</f>
        <v>0</v>
      </c>
      <c r="F11" s="61">
        <f>IF(Reserve[[#This Row],[RESERVE]]&lt;0,1,0)</f>
        <v>0</v>
      </c>
      <c r="G11" s="62" t="e">
        <f>Reserve[[#This Row],[Price]]/Reserve[[#This Row],[Volume '[unit']]]</f>
        <v>#DIV/0!</v>
      </c>
      <c r="H11" s="59"/>
      <c r="I11" s="63"/>
    </row>
    <row r="12" spans="1:9" ht="15" x14ac:dyDescent="0.25">
      <c r="A12" s="58">
        <f>SUM(Reserve[[#This Row],[IN]:[OUT]])</f>
        <v>10</v>
      </c>
      <c r="B12" s="59" t="s">
        <v>17</v>
      </c>
      <c r="C12" s="93" t="s">
        <v>10</v>
      </c>
      <c r="D12" s="60">
        <v>10</v>
      </c>
      <c r="E12" s="61">
        <f>-SUMIFS(Data_Cook[Volume],Data_Cook[Ingredient],Reserve[INGREDIENT],Data_Cook[Cooking?],1)</f>
        <v>0</v>
      </c>
      <c r="F12" s="61">
        <f>IF(Reserve[[#This Row],[RESERVE]]&lt;0,1,0)</f>
        <v>0</v>
      </c>
      <c r="G12" s="62" t="e">
        <f>Reserve[[#This Row],[Price]]/Reserve[[#This Row],[Volume '[unit']]]</f>
        <v>#DIV/0!</v>
      </c>
      <c r="H12" s="59"/>
      <c r="I12" s="63"/>
    </row>
    <row r="13" spans="1:9" ht="15" x14ac:dyDescent="0.25">
      <c r="A13" s="58">
        <f>SUM(Reserve[[#This Row],[IN]:[OUT]])</f>
        <v>50</v>
      </c>
      <c r="B13" s="59" t="s">
        <v>17</v>
      </c>
      <c r="C13" s="93" t="s">
        <v>8</v>
      </c>
      <c r="D13" s="60">
        <v>50</v>
      </c>
      <c r="E13" s="61">
        <f>-SUMIFS(Data_Cook[Volume],Data_Cook[Ingredient],Reserve[INGREDIENT],Data_Cook[Cooking?],1)</f>
        <v>0</v>
      </c>
      <c r="F13" s="61">
        <f>IF(Reserve[[#This Row],[RESERVE]]&lt;0,1,0)</f>
        <v>0</v>
      </c>
      <c r="G13" s="62" t="e">
        <f>Reserve[[#This Row],[Price]]/Reserve[[#This Row],[Volume '[unit']]]</f>
        <v>#DIV/0!</v>
      </c>
      <c r="H13" s="59"/>
      <c r="I13" s="63"/>
    </row>
    <row r="14" spans="1:9" ht="15" x14ac:dyDescent="0.25">
      <c r="A14" s="58">
        <f>SUM(Reserve[[#This Row],[IN]:[OUT]])</f>
        <v>10</v>
      </c>
      <c r="B14" s="59" t="s">
        <v>17</v>
      </c>
      <c r="C14" s="93" t="s">
        <v>9</v>
      </c>
      <c r="D14" s="60">
        <v>10</v>
      </c>
      <c r="E14" s="61">
        <f>-SUMIFS(Data_Cook[Volume],Data_Cook[Ingredient],Reserve[INGREDIENT],Data_Cook[Cooking?],1)</f>
        <v>0</v>
      </c>
      <c r="F14" s="61">
        <f>IF(Reserve[[#This Row],[RESERVE]]&lt;0,1,0)</f>
        <v>0</v>
      </c>
      <c r="G14" s="62" t="e">
        <f>Reserve[[#This Row],[Price]]/Reserve[[#This Row],[Volume '[unit']]]</f>
        <v>#DIV/0!</v>
      </c>
      <c r="H14" s="59"/>
      <c r="I14" s="63"/>
    </row>
    <row r="15" spans="1:9" ht="15" x14ac:dyDescent="0.25">
      <c r="A15" s="58">
        <f>SUM(Reserve[[#This Row],[IN]:[OUT]])</f>
        <v>200</v>
      </c>
      <c r="B15" s="66" t="s">
        <v>0</v>
      </c>
      <c r="C15" s="93" t="s">
        <v>44</v>
      </c>
      <c r="D15" s="60">
        <v>200</v>
      </c>
      <c r="E15" s="61">
        <f>-SUMIFS(Data_Cook[Volume],Data_Cook[Ingredient],Reserve[INGREDIENT],Data_Cook[Cooking?],1)</f>
        <v>0</v>
      </c>
      <c r="F15" s="61">
        <f>IF(Reserve[[#This Row],[RESERVE]]&lt;0,1,0)</f>
        <v>0</v>
      </c>
      <c r="G15" s="62" t="e">
        <f>Reserve[[#This Row],[Price]]/Reserve[[#This Row],[Volume '[unit']]]</f>
        <v>#DIV/0!</v>
      </c>
      <c r="H15" s="59"/>
      <c r="I15" s="63"/>
    </row>
    <row r="16" spans="1:9" ht="15" x14ac:dyDescent="0.25">
      <c r="A16" s="58">
        <f>SUM(Reserve[[#This Row],[IN]:[OUT]])</f>
        <v>20</v>
      </c>
      <c r="B16" s="66" t="s">
        <v>1</v>
      </c>
      <c r="C16" s="93" t="s">
        <v>43</v>
      </c>
      <c r="D16" s="60">
        <v>20</v>
      </c>
      <c r="E16" s="61">
        <f>-SUMIFS(Data_Cook[Volume],Data_Cook[Ingredient],Reserve[INGREDIENT],Data_Cook[Cooking?],1)</f>
        <v>0</v>
      </c>
      <c r="F16" s="61">
        <f>IF(Reserve[[#This Row],[RESERVE]]&lt;0,1,0)</f>
        <v>0</v>
      </c>
      <c r="G16" s="62" t="e">
        <f>Reserve[[#This Row],[Price]]/Reserve[[#This Row],[Volume '[unit']]]</f>
        <v>#DIV/0!</v>
      </c>
      <c r="H16" s="59"/>
      <c r="I16" s="63"/>
    </row>
    <row r="17" spans="1:9" ht="15" x14ac:dyDescent="0.25">
      <c r="A17" s="58">
        <f>SUM(Reserve[[#This Row],[IN]:[OUT]])</f>
        <v>2000</v>
      </c>
      <c r="B17" s="59" t="s">
        <v>0</v>
      </c>
      <c r="C17" s="93" t="s">
        <v>18</v>
      </c>
      <c r="D17" s="60">
        <v>2000</v>
      </c>
      <c r="E17" s="61">
        <f>-SUMIFS(Data_Cook[Volume],Data_Cook[Ingredient],Reserve[INGREDIENT],Data_Cook[Cooking?],1)</f>
        <v>0</v>
      </c>
      <c r="F17" s="61">
        <f>IF(Reserve[[#This Row],[RESERVE]]&lt;0,1,0)</f>
        <v>0</v>
      </c>
      <c r="G17" s="62" t="e">
        <f>Reserve[[#This Row],[Price]]/Reserve[[#This Row],[Volume '[unit']]]</f>
        <v>#DIV/0!</v>
      </c>
      <c r="H17" s="59"/>
      <c r="I17" s="63"/>
    </row>
    <row r="18" spans="1:9" ht="15" x14ac:dyDescent="0.25">
      <c r="A18" s="58">
        <f>SUM(Reserve[[#This Row],[IN]:[OUT]])</f>
        <v>1000</v>
      </c>
      <c r="B18" s="59" t="s">
        <v>0</v>
      </c>
      <c r="C18" s="93" t="s">
        <v>20</v>
      </c>
      <c r="D18" s="60">
        <v>1000</v>
      </c>
      <c r="E18" s="61">
        <f>-SUMIFS(Data_Cook[Volume],Data_Cook[Ingredient],Reserve[INGREDIENT],Data_Cook[Cooking?],1)</f>
        <v>0</v>
      </c>
      <c r="F18" s="61">
        <f>IF(Reserve[[#This Row],[RESERVE]]&lt;0,1,0)</f>
        <v>0</v>
      </c>
      <c r="G18" s="62" t="e">
        <f>Reserve[[#This Row],[Price]]/Reserve[[#This Row],[Volume '[unit']]]</f>
        <v>#DIV/0!</v>
      </c>
      <c r="H18" s="59"/>
      <c r="I18" s="63"/>
    </row>
    <row r="19" spans="1:9" ht="15" x14ac:dyDescent="0.25">
      <c r="A19" s="58">
        <f>SUM(Reserve[[#This Row],[IN]:[OUT]])</f>
        <v>500</v>
      </c>
      <c r="B19" s="59" t="s">
        <v>0</v>
      </c>
      <c r="C19" s="93" t="s">
        <v>21</v>
      </c>
      <c r="D19" s="60">
        <v>500</v>
      </c>
      <c r="E19" s="61">
        <f>-SUMIFS(Data_Cook[Volume],Data_Cook[Ingredient],Reserve[INGREDIENT],Data_Cook[Cooking?],1)</f>
        <v>0</v>
      </c>
      <c r="F19" s="61">
        <f>IF(Reserve[[#This Row],[RESERVE]]&lt;0,1,0)</f>
        <v>0</v>
      </c>
      <c r="G19" s="62" t="e">
        <f>Reserve[[#This Row],[Price]]/Reserve[[#This Row],[Volume '[unit']]]</f>
        <v>#DIV/0!</v>
      </c>
      <c r="H19" s="59"/>
      <c r="I19" s="63"/>
    </row>
    <row r="20" spans="1:9" ht="15" x14ac:dyDescent="0.25">
      <c r="A20" s="58">
        <f>SUM(Reserve[[#This Row],[IN]:[OUT]])</f>
        <v>500</v>
      </c>
      <c r="B20" s="59" t="s">
        <v>0</v>
      </c>
      <c r="C20" s="93" t="s">
        <v>22</v>
      </c>
      <c r="D20" s="60">
        <v>500</v>
      </c>
      <c r="E20" s="61">
        <f>-SUMIFS(Data_Cook[Volume],Data_Cook[Ingredient],Reserve[INGREDIENT],Data_Cook[Cooking?],1)</f>
        <v>0</v>
      </c>
      <c r="F20" s="61">
        <f>IF(Reserve[[#This Row],[RESERVE]]&lt;0,1,0)</f>
        <v>0</v>
      </c>
      <c r="G20" s="62" t="e">
        <f>Reserve[[#This Row],[Price]]/Reserve[[#This Row],[Volume '[unit']]]</f>
        <v>#DIV/0!</v>
      </c>
      <c r="H20" s="59"/>
      <c r="I20" s="63"/>
    </row>
    <row r="21" spans="1:9" ht="15" customHeight="1" x14ac:dyDescent="0.25">
      <c r="A21" s="58">
        <f>SUM(Reserve[[#This Row],[IN]:[OUT]])</f>
        <v>300</v>
      </c>
      <c r="B21" s="59" t="s">
        <v>0</v>
      </c>
      <c r="C21" s="93" t="s">
        <v>23</v>
      </c>
      <c r="D21" s="60">
        <v>300</v>
      </c>
      <c r="E21" s="61">
        <f>-SUMIFS(Data_Cook[Volume],Data_Cook[Ingredient],Reserve[INGREDIENT],Data_Cook[Cooking?],1)</f>
        <v>0</v>
      </c>
      <c r="F21" s="61">
        <f>IF(Reserve[[#This Row],[RESERVE]]&lt;0,1,0)</f>
        <v>0</v>
      </c>
      <c r="G21" s="62" t="e">
        <f>Reserve[[#This Row],[Price]]/Reserve[[#This Row],[Volume '[unit']]]</f>
        <v>#DIV/0!</v>
      </c>
      <c r="H21" s="59"/>
      <c r="I21" s="63"/>
    </row>
    <row r="22" spans="1:9" ht="15" customHeight="1" x14ac:dyDescent="0.2">
      <c r="A22" s="64">
        <f>SUM(Reserve[[#This Row],[IN]:[OUT]])</f>
        <v>1000</v>
      </c>
      <c r="B22" s="66" t="s">
        <v>0</v>
      </c>
      <c r="C22" s="93" t="s">
        <v>87</v>
      </c>
      <c r="D22" s="60">
        <v>1000</v>
      </c>
      <c r="E22" s="65">
        <f>-SUMIFS(Data_Cook[Volume],Data_Cook[Ingredient],Reserve[INGREDIENT],Data_Cook[Cooking?],1)</f>
        <v>0</v>
      </c>
      <c r="F22" s="65">
        <f>IF(Reserve[[#This Row],[RESERVE]]&lt;0,1,0)</f>
        <v>0</v>
      </c>
      <c r="G22" s="62" t="e">
        <f>Reserve[[#This Row],[Price]]/Reserve[[#This Row],[Volume '[unit']]]</f>
        <v>#DIV/0!</v>
      </c>
      <c r="H22" s="59"/>
      <c r="I22" s="63"/>
    </row>
    <row r="23" spans="1:9" ht="15" customHeight="1" x14ac:dyDescent="0.2">
      <c r="A23" s="64">
        <f>SUM(Reserve[[#This Row],[IN]:[OUT]])</f>
        <v>50</v>
      </c>
      <c r="B23" s="66" t="s">
        <v>0</v>
      </c>
      <c r="C23" s="93" t="s">
        <v>89</v>
      </c>
      <c r="D23" s="60">
        <v>50</v>
      </c>
      <c r="E23" s="65">
        <f>-SUMIFS(Data_Cook[Volume],Data_Cook[Ingredient],Reserve[INGREDIENT],Data_Cook[Cooking?],1)</f>
        <v>0</v>
      </c>
      <c r="F23" s="65">
        <f>IF(Reserve[[#This Row],[RESERVE]]&lt;0,1,0)</f>
        <v>0</v>
      </c>
      <c r="G23" s="62" t="e">
        <f>Reserve[[#This Row],[Price]]/Reserve[[#This Row],[Volume '[unit']]]</f>
        <v>#DIV/0!</v>
      </c>
      <c r="H23" s="59"/>
      <c r="I23" s="63"/>
    </row>
    <row r="24" spans="1:9" ht="15" x14ac:dyDescent="0.25">
      <c r="A24" s="58">
        <f>SUM(Reserve[[#This Row],[IN]:[OUT]])</f>
        <v>60</v>
      </c>
      <c r="B24" s="59" t="s">
        <v>17</v>
      </c>
      <c r="C24" s="93" t="s">
        <v>5</v>
      </c>
      <c r="D24" s="60">
        <v>60</v>
      </c>
      <c r="E24" s="61">
        <f>-SUMIFS(Data_Cook[Volume],Data_Cook[Ingredient],Reserve[INGREDIENT],Data_Cook[Cooking?],1)</f>
        <v>0</v>
      </c>
      <c r="F24" s="61">
        <f>IF(Reserve[[#This Row],[RESERVE]]&lt;0,1,0)</f>
        <v>0</v>
      </c>
      <c r="G24" s="62" t="e">
        <f>Reserve[[#This Row],[Price]]/Reserve[[#This Row],[Volume '[unit']]]</f>
        <v>#DIV/0!</v>
      </c>
      <c r="H24" s="59"/>
      <c r="I24" s="63"/>
    </row>
    <row r="25" spans="1:9" ht="15" x14ac:dyDescent="0.25">
      <c r="A25" s="58">
        <f>SUM(Reserve[[#This Row],[IN]:[OUT]])</f>
        <v>200</v>
      </c>
      <c r="B25" s="59" t="s">
        <v>0</v>
      </c>
      <c r="C25" s="93" t="s">
        <v>13</v>
      </c>
      <c r="D25" s="60">
        <v>200</v>
      </c>
      <c r="E25" s="61">
        <f>-SUMIFS(Data_Cook[Volume],Data_Cook[Ingredient],Reserve[INGREDIENT],Data_Cook[Cooking?],1)</f>
        <v>0</v>
      </c>
      <c r="F25" s="61">
        <f>IF(Reserve[[#This Row],[RESERVE]]&lt;0,1,0)</f>
        <v>0</v>
      </c>
      <c r="G25" s="62" t="e">
        <f>Reserve[[#This Row],[Price]]/Reserve[[#This Row],[Volume '[unit']]]</f>
        <v>#DIV/0!</v>
      </c>
      <c r="H25" s="59"/>
      <c r="I25" s="63"/>
    </row>
    <row r="26" spans="1:9" ht="15" customHeight="1" x14ac:dyDescent="0.25">
      <c r="A26" s="58">
        <f>SUM(Reserve[[#This Row],[IN]:[OUT]])</f>
        <v>1400</v>
      </c>
      <c r="B26" s="59" t="s">
        <v>0</v>
      </c>
      <c r="C26" s="93" t="s">
        <v>12</v>
      </c>
      <c r="D26" s="60">
        <v>1400</v>
      </c>
      <c r="E26" s="61">
        <f>-SUMIFS(Data_Cook[Volume],Data_Cook[Ingredient],Reserve[INGREDIENT],Data_Cook[Cooking?],1)</f>
        <v>0</v>
      </c>
      <c r="F26" s="61">
        <f>IF(Reserve[[#This Row],[RESERVE]]&lt;0,1,0)</f>
        <v>0</v>
      </c>
      <c r="G26" s="62" t="e">
        <f>Reserve[[#This Row],[Price]]/Reserve[[#This Row],[Volume '[unit']]]</f>
        <v>#DIV/0!</v>
      </c>
      <c r="H26" s="59"/>
      <c r="I26" s="63"/>
    </row>
    <row r="27" spans="1:9" ht="15" customHeight="1" x14ac:dyDescent="0.2">
      <c r="A27" s="64">
        <f>SUM(Reserve[[#This Row],[IN]:[OUT]])</f>
        <v>2000</v>
      </c>
      <c r="B27" s="66" t="s">
        <v>1</v>
      </c>
      <c r="C27" s="93" t="s">
        <v>88</v>
      </c>
      <c r="D27" s="60">
        <v>2000</v>
      </c>
      <c r="E27" s="65">
        <f>-SUMIFS(Data_Cook[Volume],Data_Cook[Ingredient],Reserve[INGREDIENT],Data_Cook[Cooking?],1)</f>
        <v>0</v>
      </c>
      <c r="F27" s="65">
        <f>IF(Reserve[[#This Row],[RESERVE]]&lt;0,1,0)</f>
        <v>0</v>
      </c>
      <c r="G27" s="62" t="e">
        <f>Reserve[[#This Row],[Price]]/Reserve[[#This Row],[Volume '[unit']]]</f>
        <v>#DIV/0!</v>
      </c>
      <c r="H27" s="59"/>
      <c r="I27" s="63"/>
    </row>
    <row r="28" spans="1:9" ht="15" x14ac:dyDescent="0.25">
      <c r="A28" s="58">
        <f>SUM(Reserve[[#This Row],[IN]:[OUT]])</f>
        <v>600</v>
      </c>
      <c r="B28" s="59" t="s">
        <v>1</v>
      </c>
      <c r="C28" s="93" t="s">
        <v>28</v>
      </c>
      <c r="D28" s="60">
        <v>600</v>
      </c>
      <c r="E28" s="61">
        <f>-SUMIFS(Data_Cook[Volume],Data_Cook[Ingredient],Reserve[INGREDIENT],Data_Cook[Cooking?],1)</f>
        <v>0</v>
      </c>
      <c r="F28" s="61">
        <f>IF(Reserve[[#This Row],[RESERVE]]&lt;0,1,0)</f>
        <v>0</v>
      </c>
      <c r="G28" s="62" t="e">
        <f>Reserve[[#This Row],[Price]]/Reserve[[#This Row],[Volume '[unit']]]</f>
        <v>#DIV/0!</v>
      </c>
      <c r="H28" s="59"/>
      <c r="I28" s="63"/>
    </row>
    <row r="29" spans="1:9" ht="15" x14ac:dyDescent="0.25">
      <c r="A29" s="58">
        <f>SUM(Reserve[[#This Row],[IN]:[OUT]])</f>
        <v>200</v>
      </c>
      <c r="B29" s="66" t="s">
        <v>0</v>
      </c>
      <c r="C29" s="93" t="s">
        <v>93</v>
      </c>
      <c r="D29" s="60">
        <v>200</v>
      </c>
      <c r="E29" s="61">
        <f>-SUMIFS(Data_Cook[Volume],Data_Cook[Ingredient],Reserve[INGREDIENT],Data_Cook[Cooking?],1)</f>
        <v>0</v>
      </c>
      <c r="F29" s="61">
        <f>IF(Reserve[[#This Row],[RESERVE]]&lt;0,1,0)</f>
        <v>0</v>
      </c>
      <c r="G29" s="62" t="e">
        <f>Reserve[[#This Row],[Price]]/Reserve[[#This Row],[Volume '[unit']]]</f>
        <v>#DIV/0!</v>
      </c>
      <c r="H29" s="59"/>
      <c r="I29" s="63"/>
    </row>
    <row r="30" spans="1:9" ht="15" x14ac:dyDescent="0.25">
      <c r="A30" s="58">
        <f>SUM(Reserve[[#This Row],[IN]:[OUT]])</f>
        <v>450</v>
      </c>
      <c r="B30" s="59" t="s">
        <v>0</v>
      </c>
      <c r="C30" s="93" t="s">
        <v>26</v>
      </c>
      <c r="D30" s="60">
        <v>450</v>
      </c>
      <c r="E30" s="61">
        <f>-SUMIFS(Data_Cook[Volume],Data_Cook[Ingredient],Reserve[INGREDIENT],Data_Cook[Cooking?],1)</f>
        <v>0</v>
      </c>
      <c r="F30" s="61">
        <f>IF(Reserve[[#This Row],[RESERVE]]&lt;0,1,0)</f>
        <v>0</v>
      </c>
      <c r="G30" s="62" t="e">
        <f>Reserve[[#This Row],[Price]]/Reserve[[#This Row],[Volume '[unit']]]</f>
        <v>#DIV/0!</v>
      </c>
      <c r="H30" s="59"/>
      <c r="I30" s="63"/>
    </row>
    <row r="31" spans="1:9" ht="15" x14ac:dyDescent="0.25">
      <c r="A31" s="58">
        <f>SUM(Reserve[[#This Row],[IN]:[OUT]])</f>
        <v>400</v>
      </c>
      <c r="B31" s="59" t="s">
        <v>0</v>
      </c>
      <c r="C31" s="93" t="s">
        <v>25</v>
      </c>
      <c r="D31" s="60">
        <v>400</v>
      </c>
      <c r="E31" s="61">
        <f>-SUMIFS(Data_Cook[Volume],Data_Cook[Ingredient],Reserve[INGREDIENT],Data_Cook[Cooking?],1)</f>
        <v>0</v>
      </c>
      <c r="F31" s="61">
        <f>IF(Reserve[[#This Row],[RESERVE]]&lt;0,1,0)</f>
        <v>0</v>
      </c>
      <c r="G31" s="62" t="e">
        <f>Reserve[[#This Row],[Price]]/Reserve[[#This Row],[Volume '[unit']]]</f>
        <v>#DIV/0!</v>
      </c>
      <c r="H31" s="59"/>
      <c r="I31" s="63"/>
    </row>
    <row r="32" spans="1:9" ht="15" x14ac:dyDescent="0.25">
      <c r="A32" s="58">
        <f>SUM(Reserve[[#This Row],[IN]:[OUT]])</f>
        <v>450</v>
      </c>
      <c r="B32" s="59" t="s">
        <v>0</v>
      </c>
      <c r="C32" s="93" t="s">
        <v>24</v>
      </c>
      <c r="D32" s="60">
        <v>450</v>
      </c>
      <c r="E32" s="61">
        <f>-SUMIFS(Data_Cook[Volume],Data_Cook[Ingredient],Reserve[INGREDIENT],Data_Cook[Cooking?],1)</f>
        <v>0</v>
      </c>
      <c r="F32" s="61">
        <f>IF(Reserve[[#This Row],[RESERVE]]&lt;0,1,0)</f>
        <v>0</v>
      </c>
      <c r="G32" s="62" t="e">
        <f>Reserve[[#This Row],[Price]]/Reserve[[#This Row],[Volume '[unit']]]</f>
        <v>#DIV/0!</v>
      </c>
      <c r="H32" s="59"/>
      <c r="I32" s="63"/>
    </row>
    <row r="33" spans="1:9" ht="15" x14ac:dyDescent="0.25">
      <c r="A33" s="58">
        <f>SUM(Reserve[[#This Row],[IN]:[OUT]])</f>
        <v>1700</v>
      </c>
      <c r="B33" s="59" t="s">
        <v>0</v>
      </c>
      <c r="C33" s="93" t="s">
        <v>4</v>
      </c>
      <c r="D33" s="60">
        <v>1700</v>
      </c>
      <c r="E33" s="61">
        <f>-SUMIFS(Data_Cook[Volume],Data_Cook[Ingredient],Reserve[INGREDIENT],Data_Cook[Cooking?],1)</f>
        <v>0</v>
      </c>
      <c r="F33" s="61">
        <f>IF(Reserve[[#This Row],[RESERVE]]&lt;0,1,0)</f>
        <v>0</v>
      </c>
      <c r="G33" s="62" t="e">
        <f>Reserve[[#This Row],[Price]]/Reserve[[#This Row],[Volume '[unit']]]</f>
        <v>#DIV/0!</v>
      </c>
      <c r="H33" s="59"/>
      <c r="I33" s="63"/>
    </row>
    <row r="34" spans="1:9" ht="15" x14ac:dyDescent="0.25">
      <c r="A34" s="58">
        <f>SUM(Reserve[[#This Row],[IN]:[OUT]])</f>
        <v>2700</v>
      </c>
      <c r="B34" s="59" t="s">
        <v>1</v>
      </c>
      <c r="C34" s="93" t="s">
        <v>105</v>
      </c>
      <c r="D34" s="60">
        <v>2700</v>
      </c>
      <c r="E34" s="61">
        <f>-SUMIFS(Data_Cook[Volume],Data_Cook[Ingredient],Reserve[INGREDIENT],Data_Cook[Cooking?],1)</f>
        <v>0</v>
      </c>
      <c r="F34" s="61">
        <f>IF(Reserve[[#This Row],[RESERVE]]&lt;0,1,0)</f>
        <v>0</v>
      </c>
      <c r="G34" s="62" t="e">
        <f>Reserve[[#This Row],[Price]]/Reserve[[#This Row],[Volume '[unit']]]</f>
        <v>#DIV/0!</v>
      </c>
      <c r="H34" s="59"/>
      <c r="I34" s="63"/>
    </row>
    <row r="35" spans="1:9" ht="15" customHeight="1" x14ac:dyDescent="0.25">
      <c r="A35" s="58">
        <f>SUM(Reserve[[#This Row],[IN]:[OUT]])</f>
        <v>5</v>
      </c>
      <c r="B35" s="59" t="s">
        <v>17</v>
      </c>
      <c r="C35" s="93" t="s">
        <v>58</v>
      </c>
      <c r="D35" s="60">
        <v>5</v>
      </c>
      <c r="E35" s="67">
        <f>-SUMIFS(Data_Cook[Volume],Data_Cook[Ingredient],Reserve[INGREDIENT],Data_Cook[Cooking?],1)</f>
        <v>0</v>
      </c>
      <c r="F35" s="61">
        <f>IF(Reserve[[#This Row],[RESERVE]]&lt;0,1,0)</f>
        <v>0</v>
      </c>
      <c r="G35" s="62" t="e">
        <f>Reserve[[#This Row],[Price]]/Reserve[[#This Row],[Volume '[unit']]]</f>
        <v>#DIV/0!</v>
      </c>
      <c r="H35" s="59"/>
      <c r="I35" s="63"/>
    </row>
    <row r="36" spans="1:9" ht="15" customHeight="1" x14ac:dyDescent="0.25">
      <c r="A36" s="58">
        <f>SUM(Reserve[[#This Row],[IN]:[OUT]])</f>
        <v>900</v>
      </c>
      <c r="B36" s="59" t="s">
        <v>0</v>
      </c>
      <c r="C36" s="93" t="s">
        <v>2</v>
      </c>
      <c r="D36" s="60">
        <v>900</v>
      </c>
      <c r="E36" s="61">
        <f>-SUMIFS(Data_Cook[Volume],Data_Cook[Ingredient],Reserve[INGREDIENT],Data_Cook[Cooking?],1)</f>
        <v>0</v>
      </c>
      <c r="F36" s="61">
        <f>IF(Reserve[[#This Row],[RESERVE]]&lt;0,1,0)</f>
        <v>0</v>
      </c>
      <c r="G36" s="62" t="e">
        <f>Reserve[[#This Row],[Price]]/Reserve[[#This Row],[Volume '[unit']]]</f>
        <v>#DIV/0!</v>
      </c>
      <c r="H36" s="59"/>
      <c r="I36" s="63"/>
    </row>
    <row r="37" spans="1:9" ht="15" customHeight="1" x14ac:dyDescent="0.25">
      <c r="A37" s="58">
        <f>SUM(Reserve[[#This Row],[IN]:[OUT]])</f>
        <v>100</v>
      </c>
      <c r="B37" s="59" t="s">
        <v>0</v>
      </c>
      <c r="C37" s="93" t="s">
        <v>27</v>
      </c>
      <c r="D37" s="60">
        <v>100</v>
      </c>
      <c r="E37" s="61">
        <f>-SUMIFS(Data_Cook[Volume],Data_Cook[Ingredient],Reserve[INGREDIENT],Data_Cook[Cooking?],1)</f>
        <v>0</v>
      </c>
      <c r="F37" s="61">
        <f>IF(Reserve[[#This Row],[RESERVE]]&lt;0,1,0)</f>
        <v>0</v>
      </c>
      <c r="G37" s="62" t="e">
        <f>Reserve[[#This Row],[Price]]/Reserve[[#This Row],[Volume '[unit']]]</f>
        <v>#DIV/0!</v>
      </c>
      <c r="H37" s="59"/>
      <c r="I37" s="63"/>
    </row>
    <row r="38" spans="1:9" ht="15" customHeight="1" x14ac:dyDescent="0.25">
      <c r="A38" s="68">
        <f>SUM(Reserve[[#This Row],[IN]:[OUT]])</f>
        <v>200</v>
      </c>
      <c r="B38" s="69" t="s">
        <v>0</v>
      </c>
      <c r="C38" s="92" t="s">
        <v>59</v>
      </c>
      <c r="D38" s="70">
        <v>200</v>
      </c>
      <c r="E38" s="71">
        <f>-SUMIFS(Data_Cook[Volume],Data_Cook[Ingredient],Reserve[INGREDIENT],Data_Cook[Cooking?],1)</f>
        <v>0</v>
      </c>
      <c r="F38" s="71">
        <f>IF(Reserve[[#This Row],[RESERVE]]&lt;0,1,0)</f>
        <v>0</v>
      </c>
      <c r="G38" s="72" t="e">
        <f>Reserve[[#This Row],[Price]]/Reserve[[#This Row],[Volume '[unit']]]</f>
        <v>#DIV/0!</v>
      </c>
      <c r="H38" s="73"/>
      <c r="I38" s="74"/>
    </row>
    <row r="39" spans="1:9" ht="15" x14ac:dyDescent="0.2">
      <c r="A39" s="90">
        <f>SUM(Reserve[[#This Row],[IN]:[OUT]])</f>
        <v>300</v>
      </c>
      <c r="B39" s="73" t="s">
        <v>0</v>
      </c>
      <c r="C39" s="92" t="s">
        <v>123</v>
      </c>
      <c r="D39" s="70">
        <v>300</v>
      </c>
      <c r="E39" s="91">
        <f>-SUMIFS(Data_Cook[Volume],Data_Cook[Ingredient],Reserve[INGREDIENT],Data_Cook[Cooking?],1)</f>
        <v>0</v>
      </c>
      <c r="F39" s="91">
        <f>IF(Reserve[[#This Row],[RESERVE]]&lt;0,1,0)</f>
        <v>0</v>
      </c>
      <c r="G39" s="72" t="e">
        <f>Reserve[[#This Row],[Price]]/Reserve[[#This Row],[Volume '[unit']]]</f>
        <v>#DIV/0!</v>
      </c>
      <c r="H39" s="73"/>
      <c r="I39" s="74"/>
    </row>
    <row r="40" spans="1:9" ht="15" x14ac:dyDescent="0.2">
      <c r="A40" s="90">
        <f>SUM(Reserve[[#This Row],[IN]:[OUT]])</f>
        <v>20</v>
      </c>
      <c r="B40" s="73" t="s">
        <v>0</v>
      </c>
      <c r="C40" s="92" t="s">
        <v>124</v>
      </c>
      <c r="D40" s="70">
        <v>20</v>
      </c>
      <c r="E40" s="91">
        <f>-SUMIFS(Data_Cook[Volume],Data_Cook[Ingredient],Reserve[INGREDIENT],Data_Cook[Cooking?],1)</f>
        <v>0</v>
      </c>
      <c r="F40" s="91">
        <f>IF(Reserve[[#This Row],[RESERVE]]&lt;0,1,0)</f>
        <v>0</v>
      </c>
      <c r="G40" s="72" t="e">
        <f>Reserve[[#This Row],[Price]]/Reserve[[#This Row],[Volume '[unit']]]</f>
        <v>#DIV/0!</v>
      </c>
      <c r="H40" s="73"/>
      <c r="I40" s="74"/>
    </row>
    <row r="41" spans="1:9" ht="15" x14ac:dyDescent="0.2">
      <c r="A41" s="90">
        <f>SUM(Reserve[[#This Row],[IN]:[OUT]])</f>
        <v>3000</v>
      </c>
      <c r="B41" s="73" t="s">
        <v>0</v>
      </c>
      <c r="C41" s="92" t="s">
        <v>122</v>
      </c>
      <c r="D41" s="70">
        <v>3000</v>
      </c>
      <c r="E41" s="91">
        <f>-SUMIFS(Data_Cook[Volume],Data_Cook[Ingredient],Reserve[INGREDIENT],Data_Cook[Cooking?],1)</f>
        <v>0</v>
      </c>
      <c r="F41" s="91">
        <f>IF(Reserve[[#This Row],[RESERVE]]&lt;0,1,0)</f>
        <v>0</v>
      </c>
      <c r="G41" s="72" t="e">
        <f>Reserve[[#This Row],[Price]]/Reserve[[#This Row],[Volume '[unit']]]</f>
        <v>#DIV/0!</v>
      </c>
      <c r="H41" s="73"/>
      <c r="I41" s="74"/>
    </row>
    <row r="42" spans="1:9" ht="15" x14ac:dyDescent="0.2">
      <c r="A42" s="90">
        <f>SUM(Reserve[[#This Row],[IN]:[OUT]])</f>
        <v>15</v>
      </c>
      <c r="B42" s="73" t="s">
        <v>0</v>
      </c>
      <c r="C42" s="92" t="s">
        <v>125</v>
      </c>
      <c r="D42" s="70">
        <v>15</v>
      </c>
      <c r="E42" s="91">
        <f>-SUMIFS(Data_Cook[Volume],Data_Cook[Ingredient],Reserve[INGREDIENT],Data_Cook[Cooking?],1)</f>
        <v>0</v>
      </c>
      <c r="F42" s="91">
        <f>IF(Reserve[[#This Row],[RESERVE]]&lt;0,1,0)</f>
        <v>0</v>
      </c>
      <c r="G42" s="72" t="e">
        <f>Reserve[[#This Row],[Price]]/Reserve[[#This Row],[Volume '[unit']]]</f>
        <v>#DIV/0!</v>
      </c>
      <c r="H42" s="73"/>
      <c r="I42" s="74"/>
    </row>
    <row r="43" spans="1:9" ht="15" x14ac:dyDescent="0.2">
      <c r="A43" s="90">
        <f>SUM(Reserve[[#This Row],[IN]:[OUT]])</f>
        <v>45</v>
      </c>
      <c r="B43" s="73" t="s">
        <v>0</v>
      </c>
      <c r="C43" s="92" t="s">
        <v>129</v>
      </c>
      <c r="D43" s="70">
        <v>45</v>
      </c>
      <c r="E43" s="91">
        <f>-SUMIFS(Data_Cook[Volume],Data_Cook[Ingredient],Reserve[INGREDIENT],Data_Cook[Cooking?],1)</f>
        <v>0</v>
      </c>
      <c r="F43" s="91">
        <f>IF(Reserve[[#This Row],[RESERVE]]&lt;0,1,0)</f>
        <v>0</v>
      </c>
      <c r="G43" s="72" t="e">
        <f>Reserve[[#This Row],[Price]]/Reserve[[#This Row],[Volume '[unit']]]</f>
        <v>#DIV/0!</v>
      </c>
      <c r="H43" s="73"/>
      <c r="I43" s="74"/>
    </row>
    <row r="44" spans="1:9" ht="15" x14ac:dyDescent="0.2">
      <c r="A44" s="64">
        <f>SUM(Reserve[[#This Row],[IN]:[OUT]])</f>
        <v>2000</v>
      </c>
      <c r="B44" s="59" t="s">
        <v>0</v>
      </c>
      <c r="C44" s="93" t="s">
        <v>132</v>
      </c>
      <c r="D44" s="60">
        <v>2000</v>
      </c>
      <c r="E44" s="65">
        <f>-SUMIFS(Data_Cook[Volume],Data_Cook[Ingredient],Reserve[INGREDIENT],Data_Cook[Cooking?],1)</f>
        <v>0</v>
      </c>
      <c r="F44" s="65">
        <f>IF(Reserve[[#This Row],[RESERVE]]&lt;0,1,0)</f>
        <v>0</v>
      </c>
      <c r="G44" s="62" t="e">
        <f>Reserve[[#This Row],[Price]]/Reserve[[#This Row],[Volume '[unit']]]</f>
        <v>#DIV/0!</v>
      </c>
      <c r="H44" s="59"/>
      <c r="I44" s="63"/>
    </row>
    <row r="45" spans="1:9" ht="15" x14ac:dyDescent="0.2">
      <c r="A45" s="90">
        <f>SUM(Reserve[[#This Row],[IN]:[OUT]])</f>
        <v>1700</v>
      </c>
      <c r="B45" s="73" t="s">
        <v>0</v>
      </c>
      <c r="C45" s="92" t="s">
        <v>137</v>
      </c>
      <c r="D45" s="70">
        <v>1700</v>
      </c>
      <c r="E45" s="91">
        <f>-SUMIFS(Data_Cook[Volume],Data_Cook[Ingredient],Reserve[INGREDIENT],Data_Cook[Cooking?],1)</f>
        <v>0</v>
      </c>
      <c r="F45" s="91">
        <f>IF(Reserve[[#This Row],[RESERVE]]&lt;0,1,0)</f>
        <v>0</v>
      </c>
      <c r="G45" s="72" t="e">
        <f>Reserve[[#This Row],[Price]]/Reserve[[#This Row],[Volume '[unit']]]</f>
        <v>#DIV/0!</v>
      </c>
      <c r="H45" s="73"/>
      <c r="I45" s="74"/>
    </row>
    <row r="46" spans="1:9" ht="15" x14ac:dyDescent="0.2">
      <c r="A46" s="90">
        <f>SUM(Reserve[[#This Row],[IN]:[OUT]])</f>
        <v>400</v>
      </c>
      <c r="B46" s="73" t="s">
        <v>0</v>
      </c>
      <c r="C46" s="92" t="s">
        <v>139</v>
      </c>
      <c r="D46" s="70">
        <v>400</v>
      </c>
      <c r="E46" s="91">
        <f>-SUMIFS(Data_Cook[Volume],Data_Cook[Ingredient],Reserve[INGREDIENT],Data_Cook[Cooking?],1)</f>
        <v>0</v>
      </c>
      <c r="F46" s="91">
        <f>IF(Reserve[[#This Row],[RESERVE]]&lt;0,1,0)</f>
        <v>0</v>
      </c>
      <c r="G46" s="72" t="e">
        <f>Reserve[[#This Row],[Price]]/Reserve[[#This Row],[Volume '[unit']]]</f>
        <v>#DIV/0!</v>
      </c>
      <c r="H46" s="73"/>
      <c r="I46" s="74"/>
    </row>
    <row r="47" spans="1:9" ht="15" x14ac:dyDescent="0.2">
      <c r="A47" s="90">
        <f>SUM(Reserve[[#This Row],[IN]:[OUT]])</f>
        <v>800</v>
      </c>
      <c r="B47" s="73" t="s">
        <v>0</v>
      </c>
      <c r="C47" s="92" t="s">
        <v>141</v>
      </c>
      <c r="D47" s="70">
        <v>800</v>
      </c>
      <c r="E47" s="91">
        <f>-SUMIFS(Data_Cook[Volume],Data_Cook[Ingredient],Reserve[INGREDIENT],Data_Cook[Cooking?],1)</f>
        <v>0</v>
      </c>
      <c r="F47" s="91">
        <f>IF(Reserve[[#This Row],[RESERVE]]&lt;0,1,0)</f>
        <v>0</v>
      </c>
      <c r="G47" s="72" t="e">
        <f>Reserve[[#This Row],[Price]]/Reserve[[#This Row],[Volume '[unit']]]</f>
        <v>#DIV/0!</v>
      </c>
      <c r="H47" s="73"/>
      <c r="I47" s="74"/>
    </row>
  </sheetData>
  <conditionalFormatting sqref="F2:F47">
    <cfRule type="cellIs" dxfId="49" priority="4" operator="equal">
      <formula>0</formula>
    </cfRule>
    <cfRule type="cellIs" dxfId="48" priority="5" operator="equal">
      <formula>1</formula>
    </cfRule>
  </conditionalFormatting>
  <conditionalFormatting sqref="D2:E47">
    <cfRule type="iconSet" priority="14">
      <iconSet iconSet="3Arrows">
        <cfvo type="percent" val="0"/>
        <cfvo type="num" val="0" gte="0"/>
        <cfvo type="num" val="0"/>
      </iconSet>
    </cfRule>
  </conditionalFormatting>
  <conditionalFormatting sqref="A2:A47">
    <cfRule type="cellIs" dxfId="47" priority="1" operator="equal">
      <formula>0</formula>
    </cfRule>
    <cfRule type="cellIs" dxfId="46" priority="2" operator="greaterThan">
      <formula>0</formula>
    </cfRule>
    <cfRule type="cellIs" dxfId="45" priority="3" operator="lessThan">
      <formula>0</formula>
    </cfRule>
  </conditionalFormatting>
  <pageMargins left="0.7" right="0.7" top="0.75" bottom="0.75" header="0.3" footer="0.3"/>
  <pageSetup orientation="portrait" horizontalDpi="1200" verticalDpi="1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23"/>
  <sheetViews>
    <sheetView workbookViewId="0">
      <selection activeCell="A2" sqref="A2:A9"/>
    </sheetView>
  </sheetViews>
  <sheetFormatPr defaultRowHeight="15" x14ac:dyDescent="0.25"/>
  <cols>
    <col min="1" max="1" width="18.5703125" bestFit="1" customWidth="1"/>
    <col min="2" max="2" width="11" style="40" customWidth="1"/>
    <col min="3" max="3" width="7" style="1" customWidth="1"/>
    <col min="4" max="4" width="12.7109375" bestFit="1" customWidth="1"/>
    <col min="5" max="5" width="11.28515625" style="1" customWidth="1"/>
  </cols>
  <sheetData>
    <row r="1" spans="1:5" x14ac:dyDescent="0.25">
      <c r="A1" t="s">
        <v>69</v>
      </c>
      <c r="B1" t="s">
        <v>31</v>
      </c>
      <c r="C1" t="s">
        <v>33</v>
      </c>
      <c r="D1" t="s">
        <v>70</v>
      </c>
      <c r="E1" t="s">
        <v>71</v>
      </c>
    </row>
    <row r="2" spans="1:5" x14ac:dyDescent="0.25">
      <c r="A2" t="s">
        <v>19</v>
      </c>
      <c r="B2">
        <f>INDEX(CAmor_ING[[Volume ]],MATCH(A2,CAmor_ING[Ingredients],0))</f>
        <v>600</v>
      </c>
      <c r="C2" t="str">
        <f>INDEX(CAmor_ING[Unit2],MATCH(A2,CAmor_ING[Ingredients],0))</f>
        <v>g</v>
      </c>
      <c r="D2" t="str">
        <f>'Bolo de amor'!$A$1</f>
        <v>Bolo de amor</v>
      </c>
      <c r="E2">
        <f>INDEX(CookMenu[Cooking? 
(1=yes)],MATCH(D2,CookMenu[Name],0))</f>
        <v>0</v>
      </c>
    </row>
    <row r="3" spans="1:5" x14ac:dyDescent="0.25">
      <c r="A3" t="s">
        <v>87</v>
      </c>
      <c r="B3">
        <f>INDEX(CAmor_ING[[Volume ]],MATCH(A3,CAmor_ING[Ingredients],0))</f>
        <v>535</v>
      </c>
      <c r="C3" t="str">
        <f>INDEX(CAmor_ING[Unit2],MATCH(A3,CAmor_ING[Ingredients],0))</f>
        <v>g</v>
      </c>
      <c r="D3" t="str">
        <f>'Bolo de amor'!$A$1</f>
        <v>Bolo de amor</v>
      </c>
      <c r="E3">
        <f>INDEX(CookMenu[Cooking? 
(1=yes)],MATCH(D3,CookMenu[Name],0))</f>
        <v>0</v>
      </c>
    </row>
    <row r="4" spans="1:5" x14ac:dyDescent="0.25">
      <c r="A4" t="s">
        <v>89</v>
      </c>
      <c r="B4">
        <f>INDEX(CAmor_ING[[Volume ]],MATCH(A4,CAmor_ING[Ingredients],0))</f>
        <v>20</v>
      </c>
      <c r="C4" t="str">
        <f>INDEX(CAmor_ING[Unit2],MATCH(A4,CAmor_ING[Ingredients],0))</f>
        <v>g</v>
      </c>
      <c r="D4" t="str">
        <f>'Bolo de amor'!$A$1</f>
        <v>Bolo de amor</v>
      </c>
      <c r="E4">
        <f>INDEX(CookMenu[Cooking? 
(1=yes)],MATCH(D4,CookMenu[Name],0))</f>
        <v>0</v>
      </c>
    </row>
    <row r="5" spans="1:5" x14ac:dyDescent="0.25">
      <c r="A5" t="s">
        <v>88</v>
      </c>
      <c r="B5">
        <f>INDEX(CAmor_ING[[Volume ]],MATCH(A5,CAmor_ING[Ingredients],0))</f>
        <v>250</v>
      </c>
      <c r="C5" t="str">
        <f>INDEX(CAmor_ING[Unit2],MATCH(A5,CAmor_ING[Ingredients],0))</f>
        <v>ml</v>
      </c>
      <c r="D5" t="str">
        <f>'Bolo de amor'!$A$1</f>
        <v>Bolo de amor</v>
      </c>
      <c r="E5">
        <f>INDEX(CookMenu[Cooking? 
(1=yes)],MATCH(D5,CookMenu[Name],0))</f>
        <v>0</v>
      </c>
    </row>
    <row r="6" spans="1:5" x14ac:dyDescent="0.25">
      <c r="A6" t="s">
        <v>93</v>
      </c>
      <c r="B6">
        <f>INDEX(CAmor_ING[[Volume ]],MATCH(A6,CAmor_ING[Ingredients],0))</f>
        <v>200</v>
      </c>
      <c r="C6" t="str">
        <f>INDEX(CAmor_ING[Unit2],MATCH(A6,CAmor_ING[Ingredients],0))</f>
        <v>g</v>
      </c>
      <c r="D6" t="str">
        <f>'Bolo de amor'!$A$1</f>
        <v>Bolo de amor</v>
      </c>
      <c r="E6">
        <f>INDEX(CookMenu[Cooking? 
(1=yes)],MATCH(D6,CookMenu[Name],0))</f>
        <v>0</v>
      </c>
    </row>
    <row r="7" spans="1:5" x14ac:dyDescent="0.25">
      <c r="A7" t="s">
        <v>58</v>
      </c>
      <c r="B7">
        <f>INDEX(CAmor_ING[[Volume ]],MATCH(A7,CAmor_ING[Ingredients],0))</f>
        <v>3</v>
      </c>
      <c r="C7" t="str">
        <f>INDEX(CAmor_ING[Unit2],MATCH(A7,CAmor_ING[Ingredients],0))</f>
        <v>u</v>
      </c>
      <c r="D7" t="str">
        <f>'Bolo de amor'!$A$1</f>
        <v>Bolo de amor</v>
      </c>
      <c r="E7">
        <f>INDEX(CookMenu[Cooking? 
(1=yes)],MATCH(D7,CookMenu[Name],0))</f>
        <v>0</v>
      </c>
    </row>
    <row r="8" spans="1:5" x14ac:dyDescent="0.25">
      <c r="A8" t="s">
        <v>59</v>
      </c>
      <c r="B8">
        <f>INDEX(CAmor_ING[[Volume ]],MATCH(A8,CAmor_ING[Ingredients],0))</f>
        <v>2</v>
      </c>
      <c r="C8" t="str">
        <f>INDEX(CAmor_ING[Unit2],MATCH(A8,CAmor_ING[Ingredients],0))</f>
        <v>g</v>
      </c>
      <c r="D8" t="str">
        <f>'Bolo de amor'!$A$1</f>
        <v>Bolo de amor</v>
      </c>
      <c r="E8">
        <f>INDEX(CookMenu[Cooking? 
(1=yes)],MATCH(D8,CookMenu[Name],0))</f>
        <v>0</v>
      </c>
    </row>
    <row r="9" spans="1:5" x14ac:dyDescent="0.25">
      <c r="A9" t="s">
        <v>19</v>
      </c>
      <c r="B9">
        <f>INDEX(CCenoura_ING[[Volume ]],MATCH(A9,CCenoura_ING[Ingredients],0))</f>
        <v>270</v>
      </c>
      <c r="C9" t="str">
        <f>INDEX(CCenoura_ING[Unit2],MATCH(A9,CCenoura_ING[Ingredients],0))</f>
        <v>g</v>
      </c>
      <c r="D9" t="s">
        <v>103</v>
      </c>
      <c r="E9">
        <f>INDEX(CookMenu[Cooking? 
(1=yes)],MATCH(D9,CookMenu[Name],0))</f>
        <v>0</v>
      </c>
    </row>
    <row r="10" spans="1:5" x14ac:dyDescent="0.25">
      <c r="A10" t="s">
        <v>104</v>
      </c>
      <c r="B10">
        <f>INDEX(CCenoura_ING[[Volume ]],MATCH(A10,CCenoura_ING[Ingredients],0))</f>
        <v>365</v>
      </c>
      <c r="C10" t="str">
        <f>INDEX(CCenoura_ING[Unit2],MATCH(A10,CCenoura_ING[Ingredients],0))</f>
        <v>g</v>
      </c>
      <c r="D10" t="s">
        <v>103</v>
      </c>
      <c r="E10">
        <f>INDEX(CookMenu[Cooking? 
(1=yes)],MATCH(D10,CookMenu[Name],0))</f>
        <v>0</v>
      </c>
    </row>
    <row r="11" spans="1:5" x14ac:dyDescent="0.25">
      <c r="A11" t="s">
        <v>87</v>
      </c>
      <c r="B11">
        <f>INDEX(CCenoura_ING[[Volume ]],MATCH(A11,CCenoura_ING[Ingredients],0))</f>
        <v>435</v>
      </c>
      <c r="C11" t="str">
        <f>INDEX(CCenoura_ING[Unit2],MATCH(A11,CCenoura_ING[Ingredients],0))</f>
        <v>g</v>
      </c>
      <c r="D11" t="s">
        <v>103</v>
      </c>
      <c r="E11">
        <f>INDEX(CookMenu[Cooking? 
(1=yes)],MATCH(D11,CookMenu[Name],0))</f>
        <v>0</v>
      </c>
    </row>
    <row r="12" spans="1:5" x14ac:dyDescent="0.25">
      <c r="A12" t="s">
        <v>89</v>
      </c>
      <c r="B12">
        <f>INDEX(CCenoura_ING[[Volume ]],MATCH(A12,CCenoura_ING[Ingredients],0))</f>
        <v>8</v>
      </c>
      <c r="C12" t="str">
        <f>INDEX(CCenoura_ING[Unit2],MATCH(A12,CCenoura_ING[Ingredients],0))</f>
        <v>g</v>
      </c>
      <c r="D12" t="s">
        <v>103</v>
      </c>
      <c r="E12">
        <f>INDEX(CookMenu[Cooking? 
(1=yes)],MATCH(D12,CookMenu[Name],0))</f>
        <v>0</v>
      </c>
    </row>
    <row r="13" spans="1:5" x14ac:dyDescent="0.25">
      <c r="A13" t="s">
        <v>105</v>
      </c>
      <c r="B13">
        <f>INDEX(CCenoura_ING[[Volume ]],MATCH(A13,CCenoura_ING[Ingredients],0))</f>
        <v>250</v>
      </c>
      <c r="C13" t="str">
        <f>INDEX(CCenoura_ING[Unit2],MATCH(A13,CCenoura_ING[Ingredients],0))</f>
        <v>ml</v>
      </c>
      <c r="D13" t="s">
        <v>103</v>
      </c>
      <c r="E13">
        <f>INDEX(CookMenu[Cooking? 
(1=yes)],MATCH(D13,CookMenu[Name],0))</f>
        <v>0</v>
      </c>
    </row>
    <row r="14" spans="1:5" x14ac:dyDescent="0.25">
      <c r="A14" t="s">
        <v>58</v>
      </c>
      <c r="B14">
        <f>INDEX(CCenoura_ING[[Volume ]],MATCH(A14,CCenoura_ING[Ingredients],0))</f>
        <v>4</v>
      </c>
      <c r="C14" t="str">
        <f>INDEX(CCenoura_ING[Unit2],MATCH(A14,CCenoura_ING[Ingredients],0))</f>
        <v>u</v>
      </c>
      <c r="D14" t="s">
        <v>103</v>
      </c>
      <c r="E14">
        <f>INDEX(CookMenu[Cooking? 
(1=yes)],MATCH(D14,CookMenu[Name],0))</f>
        <v>0</v>
      </c>
    </row>
    <row r="15" spans="1:5" x14ac:dyDescent="0.25">
      <c r="A15" t="s">
        <v>59</v>
      </c>
      <c r="B15">
        <f>INDEX(CCenoura_ING[[Volume ]],MATCH(A15,CCenoura_ING[Ingredients],0))</f>
        <v>2</v>
      </c>
      <c r="C15" t="str">
        <f>INDEX(CCenoura_ING[Unit2],MATCH(A15,CCenoura_ING[Ingredients],0))</f>
        <v>g</v>
      </c>
      <c r="D15" t="s">
        <v>103</v>
      </c>
      <c r="E15">
        <f>INDEX(CookMenu[Cooking? 
(1=yes)],MATCH(D15,CookMenu[Name],0))</f>
        <v>0</v>
      </c>
    </row>
    <row r="16" spans="1:5" x14ac:dyDescent="0.25">
      <c r="A16" t="str">
        <f>Brownies!A13</f>
        <v>acucar</v>
      </c>
      <c r="B16">
        <f>INDEX(Brownies_ING[[Volume ]],MATCH(A16,Brownies_ING[Ingredients],0))</f>
        <v>0</v>
      </c>
      <c r="C16" t="str">
        <f>INDEX(Brownies_ING[Unit2],MATCH(A16,Brownies_ING[Ingredients],0))</f>
        <v>g</v>
      </c>
      <c r="D16" t="str">
        <f>Brownies!$A$1</f>
        <v>Brownies</v>
      </c>
      <c r="E16">
        <f>INDEX(CookMenu[Cooking? 
(1=yes)],MATCH(D16,CookMenu[Name],0))</f>
        <v>0</v>
      </c>
    </row>
    <row r="17" spans="1:5" x14ac:dyDescent="0.25">
      <c r="A17" t="str">
        <f>Brownies!A14</f>
        <v>chocolate em po</v>
      </c>
      <c r="B17">
        <f>INDEX(Brownies_ING[[Volume ]],MATCH(A17,Brownies_ING[Ingredients],0))</f>
        <v>0</v>
      </c>
      <c r="C17" t="str">
        <f>INDEX(Brownies_ING[Unit2],MATCH(A17,Brownies_ING[Ingredients],0))</f>
        <v>g</v>
      </c>
      <c r="D17" t="str">
        <f>Brownies!$A$1</f>
        <v>Brownies</v>
      </c>
      <c r="E17">
        <f>INDEX(CookMenu[Cooking? 
(1=yes)],MATCH(D17,CookMenu[Name],0))</f>
        <v>0</v>
      </c>
    </row>
    <row r="18" spans="1:5" x14ac:dyDescent="0.25">
      <c r="A18" t="str">
        <f>Brownies!A15</f>
        <v>extrato de baunilha</v>
      </c>
      <c r="B18">
        <f>INDEX(Brownies_ING[[Volume ]],MATCH(A18,Brownies_ING[Ingredients],0))</f>
        <v>0</v>
      </c>
      <c r="C18" t="str">
        <f>INDEX(Brownies_ING[Unit2],MATCH(A18,Brownies_ING[Ingredients],0))</f>
        <v>ml</v>
      </c>
      <c r="D18" t="str">
        <f>Brownies!$A$1</f>
        <v>Brownies</v>
      </c>
      <c r="E18">
        <f>INDEX(CookMenu[Cooking? 
(1=yes)],MATCH(D18,CookMenu[Name],0))</f>
        <v>0</v>
      </c>
    </row>
    <row r="19" spans="1:5" x14ac:dyDescent="0.25">
      <c r="A19" t="str">
        <f>Brownies!A16</f>
        <v>farinha - milho</v>
      </c>
      <c r="B19">
        <f>INDEX(Brownies_ING[[Volume ]],MATCH(A19,Brownies_ING[Ingredients],0))</f>
        <v>0</v>
      </c>
      <c r="C19" t="str">
        <f>INDEX(Brownies_ING[Unit2],MATCH(A19,Brownies_ING[Ingredients],0))</f>
        <v>g</v>
      </c>
      <c r="D19" t="str">
        <f>Brownies!$A$1</f>
        <v>Brownies</v>
      </c>
      <c r="E19">
        <f>INDEX(CookMenu[Cooking? 
(1=yes)],MATCH(D19,CookMenu[Name],0))</f>
        <v>0</v>
      </c>
    </row>
    <row r="20" spans="1:5" x14ac:dyDescent="0.25">
      <c r="A20" t="str">
        <f>Brownies!A17</f>
        <v>margarina</v>
      </c>
      <c r="B20">
        <f>INDEX(Brownies_ING[[Volume ]],MATCH(A20,Brownies_ING[Ingredients],0))</f>
        <v>0</v>
      </c>
      <c r="C20" t="str">
        <f>INDEX(Brownies_ING[Unit2],MATCH(A20,Brownies_ING[Ingredients],0))</f>
        <v>g</v>
      </c>
      <c r="D20" t="str">
        <f>Brownies!$A$1</f>
        <v>Brownies</v>
      </c>
      <c r="E20">
        <f>INDEX(CookMenu[Cooking? 
(1=yes)],MATCH(D20,CookMenu[Name],0))</f>
        <v>0</v>
      </c>
    </row>
    <row r="21" spans="1:5" x14ac:dyDescent="0.25">
      <c r="A21" t="str">
        <f>Brownies!A18</f>
        <v>oleo</v>
      </c>
      <c r="B21">
        <f>INDEX(Brownies_ING[[Volume ]],MATCH(A21,Brownies_ING[Ingredients],0))</f>
        <v>0</v>
      </c>
      <c r="C21" t="str">
        <f>INDEX(Brownies_ING[Unit2],MATCH(A21,Brownies_ING[Ingredients],0))</f>
        <v>ml</v>
      </c>
      <c r="D21" t="str">
        <f>Brownies!$A$1</f>
        <v>Brownies</v>
      </c>
      <c r="E21">
        <f>INDEX(CookMenu[Cooking? 
(1=yes)],MATCH(D21,CookMenu[Name],0))</f>
        <v>0</v>
      </c>
    </row>
    <row r="22" spans="1:5" x14ac:dyDescent="0.25">
      <c r="A22" t="str">
        <f>Brownies!A19</f>
        <v>ovo</v>
      </c>
      <c r="B22">
        <f>INDEX(Brownies_ING[[Volume ]],MATCH(A22,Brownies_ING[Ingredients],0))</f>
        <v>2</v>
      </c>
      <c r="C22" t="str">
        <f>INDEX(Brownies_ING[Unit2],MATCH(A22,Brownies_ING[Ingredients],0))</f>
        <v>u</v>
      </c>
      <c r="D22" t="str">
        <f>Brownies!$A$1</f>
        <v>Brownies</v>
      </c>
      <c r="E22">
        <f>INDEX(CookMenu[Cooking? 
(1=yes)],MATCH(D22,CookMenu[Name],0))</f>
        <v>0</v>
      </c>
    </row>
    <row r="23" spans="1:5" x14ac:dyDescent="0.25">
      <c r="A23" t="str">
        <f>Brownies!A20</f>
        <v>sal</v>
      </c>
      <c r="B23">
        <f>INDEX(Brownies_ING[[Volume ]],MATCH(A23,Brownies_ING[Ingredients],0))</f>
        <v>0</v>
      </c>
      <c r="C23" t="str">
        <f>INDEX(Brownies_ING[Unit2],MATCH(A23,Brownies_ING[Ingredients],0))</f>
        <v>g</v>
      </c>
      <c r="D23" t="str">
        <f>Brownies!$A$1</f>
        <v>Brownies</v>
      </c>
      <c r="E23">
        <f>INDEX(CookMenu[Cooking? 
(1=yes)],MATCH(D23,CookMenu[Name],0))</f>
        <v>0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O5"/>
  <sheetViews>
    <sheetView zoomScaleNormal="100" workbookViewId="0">
      <selection activeCell="A5" sqref="A5"/>
    </sheetView>
  </sheetViews>
  <sheetFormatPr defaultRowHeight="15" x14ac:dyDescent="0.25"/>
  <cols>
    <col min="1" max="1" width="13.42578125" bestFit="1" customWidth="1"/>
    <col min="2" max="2" width="15.42578125" bestFit="1" customWidth="1"/>
    <col min="3" max="3" width="10.85546875" bestFit="1" customWidth="1"/>
    <col min="4" max="5" width="10.85546875" customWidth="1"/>
    <col min="6" max="6" width="10" bestFit="1" customWidth="1"/>
    <col min="7" max="7" width="20.5703125" bestFit="1" customWidth="1"/>
    <col min="8" max="8" width="17.7109375" bestFit="1" customWidth="1"/>
    <col min="9" max="10" width="17" bestFit="1" customWidth="1"/>
    <col min="11" max="11" width="11.28515625" bestFit="1" customWidth="1"/>
    <col min="12" max="12" width="15.7109375" bestFit="1" customWidth="1"/>
    <col min="13" max="13" width="13.7109375" bestFit="1" customWidth="1"/>
    <col min="14" max="14" width="9.42578125" bestFit="1" customWidth="1"/>
    <col min="15" max="15" width="13.85546875" bestFit="1" customWidth="1"/>
  </cols>
  <sheetData>
    <row r="1" spans="1:15" s="1" customFormat="1" ht="30" x14ac:dyDescent="0.25">
      <c r="A1" s="41" t="s">
        <v>29</v>
      </c>
      <c r="B1" s="41" t="s">
        <v>30</v>
      </c>
      <c r="C1" s="41" t="s">
        <v>36</v>
      </c>
      <c r="D1" s="42" t="s">
        <v>110</v>
      </c>
      <c r="E1" s="42" t="s">
        <v>111</v>
      </c>
      <c r="F1" s="42" t="s">
        <v>112</v>
      </c>
      <c r="G1" s="42" t="s">
        <v>118</v>
      </c>
      <c r="H1" s="42" t="s">
        <v>119</v>
      </c>
      <c r="I1" s="42" t="s">
        <v>114</v>
      </c>
      <c r="J1" s="42" t="s">
        <v>115</v>
      </c>
      <c r="K1" s="42" t="s">
        <v>109</v>
      </c>
      <c r="L1" s="42" t="s">
        <v>81</v>
      </c>
      <c r="M1" s="42" t="s">
        <v>83</v>
      </c>
      <c r="N1" s="41" t="s">
        <v>77</v>
      </c>
      <c r="O1" s="42" t="s">
        <v>82</v>
      </c>
    </row>
    <row r="2" spans="1:15" x14ac:dyDescent="0.25">
      <c r="A2" s="43" t="s">
        <v>84</v>
      </c>
      <c r="B2" s="44" t="s">
        <v>85</v>
      </c>
      <c r="C2" s="45" t="s">
        <v>86</v>
      </c>
      <c r="D2" s="47">
        <f>SUM('Bolo de amor'!C23:C26)</f>
        <v>19</v>
      </c>
      <c r="E2" s="47">
        <f>'Bolo de amor'!C27</f>
        <v>80</v>
      </c>
      <c r="F2" s="89">
        <f>ROUNDUP(CookMenu[[#This Row],[Prep. Time
'[min']]]+CookMenu[[#This Row],[Cook Time
'[min']]],0)</f>
        <v>99</v>
      </c>
      <c r="G2" s="89">
        <f>'Bolo de amor'!B8/'Bolo de amor'!B7</f>
        <v>0</v>
      </c>
      <c r="H2" s="89">
        <f>'Bolo de amor'!B9</f>
        <v>0</v>
      </c>
      <c r="I2" s="45">
        <v>12</v>
      </c>
      <c r="J2" s="45">
        <v>12</v>
      </c>
      <c r="K2" s="49">
        <f>CookMenu[[#This Row],[N° of servings 
(PLAN)]]/CookMenu[[#This Row],[N° of servings 
(STD)]]</f>
        <v>1</v>
      </c>
      <c r="L2" s="46">
        <f>COUNTIF(CAmor_ING[Check],"&lt;&gt;OK")</f>
        <v>0</v>
      </c>
      <c r="M2" s="45">
        <v>0</v>
      </c>
      <c r="N2" s="48" t="e">
        <f>CAmor_ING[[#Totals],[Cost]]</f>
        <v>#DIV/0!</v>
      </c>
      <c r="O2" s="46">
        <f>COUNTA(CAmor_ING[Cost])-COUNTIF(CAmor_ING[Cost],"&gt;0")</f>
        <v>7</v>
      </c>
    </row>
    <row r="3" spans="1:15" x14ac:dyDescent="0.25">
      <c r="A3" s="43" t="s">
        <v>84</v>
      </c>
      <c r="B3" s="44" t="s">
        <v>103</v>
      </c>
      <c r="C3" s="45" t="s">
        <v>86</v>
      </c>
      <c r="D3" s="47">
        <f>SUM('Bolo de cenoura'!C23:C24)</f>
        <v>2</v>
      </c>
      <c r="E3" s="47">
        <f>'Bolo de cenoura'!C25</f>
        <v>50</v>
      </c>
      <c r="F3" s="89">
        <f>ROUNDUP(CookMenu[[#This Row],[Prep. Time
'[min']]]+CookMenu[[#This Row],[Cook Time
'[min']]],0)</f>
        <v>52</v>
      </c>
      <c r="G3" s="89">
        <f>'Bolo de cenoura'!B8/'Bolo de cenoura'!B7</f>
        <v>0</v>
      </c>
      <c r="H3" s="89">
        <f>'Bolo de amor'!B10</f>
        <v>1</v>
      </c>
      <c r="I3" s="45">
        <v>12</v>
      </c>
      <c r="J3" s="45">
        <v>12</v>
      </c>
      <c r="K3" s="49">
        <f>CookMenu[[#This Row],[N° of servings 
(PLAN)]]/CookMenu[[#This Row],[N° of servings 
(STD)]]</f>
        <v>1</v>
      </c>
      <c r="L3" s="46">
        <f>COUNTIF(CCenoura_ING[Check],"&lt;&gt;OK")</f>
        <v>0</v>
      </c>
      <c r="M3" s="45">
        <v>0</v>
      </c>
      <c r="N3" s="48" t="e">
        <f>CCenoura_ING[[#Totals],[Cost]]</f>
        <v>#DIV/0!</v>
      </c>
      <c r="O3" s="46">
        <f>COUNTA(CCenoura_ING[Cost])-COUNTIF(CCenoura_ING[Cost],"&gt;0")</f>
        <v>7</v>
      </c>
    </row>
    <row r="4" spans="1:15" x14ac:dyDescent="0.25">
      <c r="A4" s="43" t="s">
        <v>84</v>
      </c>
      <c r="B4" s="44" t="s">
        <v>50</v>
      </c>
      <c r="C4" s="45" t="s">
        <v>56</v>
      </c>
      <c r="D4" s="47">
        <f>SUM(Brownies!C24:C27)</f>
        <v>4.5</v>
      </c>
      <c r="E4" s="47">
        <f>Brownies!C28</f>
        <v>25</v>
      </c>
      <c r="F4" s="89">
        <f>ROUNDUP(CookMenu[[#This Row],[Prep. Time
'[min']]]+CookMenu[[#This Row],[Cook Time
'[min']]],0)</f>
        <v>30</v>
      </c>
      <c r="G4" s="89">
        <f>Brownies!B8/Brownies!B7</f>
        <v>0</v>
      </c>
      <c r="H4" s="89">
        <f>Brownies!B9</f>
        <v>0</v>
      </c>
      <c r="I4" s="45">
        <v>12</v>
      </c>
      <c r="J4" s="45">
        <v>12</v>
      </c>
      <c r="K4" s="49">
        <f>CookMenu[[#This Row],[N° of servings 
(PLAN)]]/CookMenu[[#This Row],[N° of servings 
(STD)]]</f>
        <v>1</v>
      </c>
      <c r="L4" s="46">
        <f>COUNTIF(Brownies_ING[Check],"&lt;&gt;OK")</f>
        <v>0</v>
      </c>
      <c r="M4" s="45">
        <v>0</v>
      </c>
      <c r="N4" s="48" t="e">
        <f>Brownies_ING[[#Totals],[Cost]]</f>
        <v>#DIV/0!</v>
      </c>
      <c r="O4" s="46">
        <f>COUNTA(Brownies_ING[Cost])-COUNTIF(Brownies_ING[Cost],"&gt;0")</f>
        <v>8</v>
      </c>
    </row>
    <row r="5" spans="1:15" x14ac:dyDescent="0.25">
      <c r="A5" s="43" t="s">
        <v>121</v>
      </c>
      <c r="B5" s="44" t="s">
        <v>120</v>
      </c>
      <c r="C5" s="45"/>
      <c r="D5" s="47"/>
      <c r="E5" s="47"/>
      <c r="F5" s="89"/>
      <c r="G5" s="89"/>
      <c r="H5" s="89"/>
      <c r="I5" s="45">
        <v>12</v>
      </c>
      <c r="J5" s="45">
        <v>12</v>
      </c>
      <c r="K5" s="49">
        <f>CookMenu[[#This Row],[N° of servings 
(PLAN)]]/CookMenu[[#This Row],[N° of servings 
(STD)]]</f>
        <v>1</v>
      </c>
      <c r="L5" s="46"/>
      <c r="M5" s="45"/>
      <c r="N5" s="48"/>
      <c r="O5" s="46"/>
    </row>
  </sheetData>
  <conditionalFormatting sqref="L2:L5">
    <cfRule type="cellIs" dxfId="44" priority="27" operator="notEqual">
      <formula>0</formula>
    </cfRule>
    <cfRule type="cellIs" dxfId="43" priority="28" operator="equal">
      <formula>0</formula>
    </cfRule>
  </conditionalFormatting>
  <conditionalFormatting sqref="O2:O5">
    <cfRule type="cellIs" dxfId="42" priority="25" operator="notEqual">
      <formula>0</formula>
    </cfRule>
    <cfRule type="cellIs" dxfId="41" priority="26" operator="equal">
      <formula>0</formula>
    </cfRule>
  </conditionalFormatting>
  <conditionalFormatting sqref="L3">
    <cfRule type="cellIs" dxfId="40" priority="23" operator="notEqual">
      <formula>0</formula>
    </cfRule>
    <cfRule type="cellIs" dxfId="39" priority="24" operator="equal">
      <formula>0</formula>
    </cfRule>
  </conditionalFormatting>
  <conditionalFormatting sqref="O3">
    <cfRule type="cellIs" dxfId="38" priority="21" operator="notEqual">
      <formula>0</formula>
    </cfRule>
    <cfRule type="cellIs" dxfId="37" priority="22" operator="equal">
      <formula>0</formula>
    </cfRule>
  </conditionalFormatting>
  <conditionalFormatting sqref="L3">
    <cfRule type="cellIs" dxfId="36" priority="19" operator="notEqual">
      <formula>0</formula>
    </cfRule>
    <cfRule type="cellIs" dxfId="35" priority="20" operator="equal">
      <formula>0</formula>
    </cfRule>
  </conditionalFormatting>
  <conditionalFormatting sqref="O3">
    <cfRule type="cellIs" dxfId="34" priority="17" operator="notEqual">
      <formula>0</formula>
    </cfRule>
    <cfRule type="cellIs" dxfId="33" priority="18" operator="equal">
      <formula>0</formula>
    </cfRule>
  </conditionalFormatting>
  <conditionalFormatting sqref="L4">
    <cfRule type="cellIs" dxfId="32" priority="15" operator="notEqual">
      <formula>0</formula>
    </cfRule>
    <cfRule type="cellIs" dxfId="31" priority="16" operator="equal">
      <formula>0</formula>
    </cfRule>
  </conditionalFormatting>
  <conditionalFormatting sqref="O4">
    <cfRule type="cellIs" dxfId="30" priority="13" operator="notEqual">
      <formula>0</formula>
    </cfRule>
    <cfRule type="cellIs" dxfId="29" priority="14" operator="equal">
      <formula>0</formula>
    </cfRule>
  </conditionalFormatting>
  <conditionalFormatting sqref="L4">
    <cfRule type="cellIs" dxfId="28" priority="11" operator="notEqual">
      <formula>0</formula>
    </cfRule>
    <cfRule type="cellIs" dxfId="27" priority="12" operator="equal">
      <formula>0</formula>
    </cfRule>
  </conditionalFormatting>
  <conditionalFormatting sqref="O4">
    <cfRule type="cellIs" dxfId="26" priority="9" operator="notEqual">
      <formula>0</formula>
    </cfRule>
    <cfRule type="cellIs" dxfId="25" priority="10" operator="equal">
      <formula>0</formula>
    </cfRule>
  </conditionalFormatting>
  <conditionalFormatting sqref="L4">
    <cfRule type="cellIs" dxfId="24" priority="7" operator="notEqual">
      <formula>0</formula>
    </cfRule>
    <cfRule type="cellIs" dxfId="23" priority="8" operator="equal">
      <formula>0</formula>
    </cfRule>
  </conditionalFormatting>
  <conditionalFormatting sqref="O4">
    <cfRule type="cellIs" dxfId="22" priority="5" operator="notEqual">
      <formula>0</formula>
    </cfRule>
    <cfRule type="cellIs" dxfId="21" priority="6" operator="equal">
      <formula>0</formula>
    </cfRule>
  </conditionalFormatting>
  <conditionalFormatting sqref="L5">
    <cfRule type="cellIs" dxfId="20" priority="3" operator="notEqual">
      <formula>0</formula>
    </cfRule>
    <cfRule type="cellIs" dxfId="19" priority="4" operator="equal">
      <formula>0</formula>
    </cfRule>
  </conditionalFormatting>
  <conditionalFormatting sqref="O5">
    <cfRule type="cellIs" dxfId="18" priority="1" operator="notEqual">
      <formula>0</formula>
    </cfRule>
    <cfRule type="cellIs" dxfId="17" priority="2" operator="equal">
      <formula>0</formula>
    </cfRule>
  </conditionalFormatting>
  <hyperlinks>
    <hyperlink ref="C4" r:id="rId1"/>
    <hyperlink ref="B4" location="Brownies!A1" display="Brownies"/>
    <hyperlink ref="B2" location="'Bolo de amor'!A1" display="Bolo de amor"/>
    <hyperlink ref="B3" location="'Bolo de cenoura'!A1" display="Bolo de cenoura"/>
    <hyperlink ref="B5" location="Lasagna!R1C1" display="Lasagna"/>
  </hyperlinks>
  <pageMargins left="0.7" right="0.7" top="0.75" bottom="0.75" header="0.3" footer="0.3"/>
  <pageSetup orientation="portrait" horizontalDpi="1200" verticalDpi="12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zoomScaleNormal="100" workbookViewId="0">
      <selection activeCell="B1" sqref="B1"/>
    </sheetView>
  </sheetViews>
  <sheetFormatPr defaultRowHeight="14.25" x14ac:dyDescent="0.2"/>
  <cols>
    <col min="1" max="1" width="31.7109375" style="7" bestFit="1" customWidth="1"/>
    <col min="2" max="2" width="8.28515625" style="7" bestFit="1" customWidth="1"/>
    <col min="3" max="3" width="13.85546875" style="7" bestFit="1" customWidth="1"/>
    <col min="4" max="4" width="11.28515625" style="7" customWidth="1"/>
    <col min="5" max="5" width="8.5703125" style="7" customWidth="1"/>
    <col min="6" max="6" width="9.7109375" style="7" customWidth="1"/>
    <col min="7" max="7" width="8" style="7" bestFit="1" customWidth="1"/>
    <col min="8" max="8" width="8" style="7" customWidth="1"/>
    <col min="9" max="9" width="16.42578125" style="7" bestFit="1" customWidth="1"/>
    <col min="10" max="11" width="8.28515625" style="7" bestFit="1" customWidth="1"/>
    <col min="12" max="12" width="11" style="19" bestFit="1" customWidth="1"/>
    <col min="13" max="13" width="21" style="7" customWidth="1"/>
    <col min="14" max="14" width="9" style="7" bestFit="1" customWidth="1"/>
    <col min="15" max="15" width="13.85546875" style="7" bestFit="1" customWidth="1"/>
    <col min="16" max="16" width="13.5703125" style="9" bestFit="1" customWidth="1"/>
    <col min="17" max="17" width="8.5703125" style="7" bestFit="1" customWidth="1"/>
    <col min="18" max="18" width="9.140625" style="7"/>
    <col min="19" max="19" width="16.42578125" style="7" bestFit="1" customWidth="1"/>
    <col min="20" max="20" width="8.28515625" style="7" bestFit="1" customWidth="1"/>
    <col min="21" max="21" width="13.7109375" style="7" bestFit="1" customWidth="1"/>
    <col min="22" max="16384" width="9.140625" style="7"/>
  </cols>
  <sheetData>
    <row r="1" spans="1:21" s="6" customFormat="1" ht="51" x14ac:dyDescent="0.75">
      <c r="A1" s="30" t="s">
        <v>120</v>
      </c>
      <c r="B1" s="4" t="s">
        <v>143</v>
      </c>
      <c r="C1" s="4"/>
      <c r="D1" s="4"/>
      <c r="E1" s="4"/>
      <c r="F1" s="5"/>
      <c r="G1" s="5"/>
      <c r="H1" s="5"/>
      <c r="I1" s="5"/>
      <c r="J1" s="5"/>
      <c r="K1" s="5"/>
      <c r="L1" s="34"/>
      <c r="P1" s="35"/>
    </row>
    <row r="2" spans="1:21" s="19" customFormat="1" x14ac:dyDescent="0.2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P2" s="18"/>
    </row>
    <row r="3" spans="1:21" s="16" customFormat="1" x14ac:dyDescent="0.2">
      <c r="A3" s="14"/>
      <c r="B3" s="14"/>
      <c r="C3" s="14"/>
      <c r="D3" s="14"/>
      <c r="E3" s="14"/>
      <c r="F3" s="15"/>
      <c r="G3" s="15"/>
      <c r="H3" s="15"/>
      <c r="I3" s="15"/>
      <c r="J3" s="15"/>
      <c r="K3" s="15"/>
      <c r="L3" s="18"/>
      <c r="P3" s="15"/>
    </row>
    <row r="4" spans="1:21" s="21" customFormat="1" x14ac:dyDescent="0.2">
      <c r="A4" s="21" t="s">
        <v>64</v>
      </c>
      <c r="L4" s="19"/>
      <c r="M4" s="20" t="s">
        <v>63</v>
      </c>
      <c r="P4" s="36"/>
    </row>
    <row r="5" spans="1:21" s="16" customFormat="1" ht="15" thickBot="1" x14ac:dyDescent="0.25">
      <c r="L5" s="19"/>
      <c r="P5" s="15"/>
    </row>
    <row r="6" spans="1:21" s="16" customFormat="1" ht="15.75" thickBot="1" x14ac:dyDescent="0.3">
      <c r="A6" s="22" t="s">
        <v>116</v>
      </c>
      <c r="B6" s="10">
        <f>INDEX(CookMenu[N° of servings 
(STD)],MATCH(A1,CookMenu[Name],0))</f>
        <v>12</v>
      </c>
      <c r="E6" s="14"/>
      <c r="F6" s="15"/>
      <c r="G6" s="15"/>
      <c r="H6" s="15"/>
      <c r="I6" s="15"/>
      <c r="J6" s="15"/>
      <c r="K6" s="15"/>
      <c r="L6" s="18"/>
      <c r="P6" s="15"/>
    </row>
    <row r="7" spans="1:21" s="16" customFormat="1" ht="15.75" thickBot="1" x14ac:dyDescent="0.3">
      <c r="A7" s="22" t="s">
        <v>117</v>
      </c>
      <c r="B7" s="10">
        <f>INDEX(CookMenu[N° of servings 
(PLAN)],MATCH(A1,CookMenu[Name],0))</f>
        <v>12</v>
      </c>
      <c r="E7" s="14"/>
      <c r="F7" s="15"/>
      <c r="G7" s="15"/>
      <c r="H7" s="15"/>
      <c r="I7" s="15"/>
      <c r="J7" s="15"/>
      <c r="K7" s="15"/>
      <c r="L7" s="18"/>
      <c r="P7" s="15"/>
    </row>
    <row r="8" spans="1:21" s="16" customFormat="1" ht="15.75" thickBot="1" x14ac:dyDescent="0.3">
      <c r="A8" s="22" t="s">
        <v>31</v>
      </c>
      <c r="B8" s="27">
        <f>K15</f>
        <v>0</v>
      </c>
      <c r="C8" s="15" t="s">
        <v>74</v>
      </c>
      <c r="E8" s="14"/>
      <c r="F8" s="15"/>
      <c r="G8" s="15"/>
      <c r="H8" s="15"/>
      <c r="I8" s="15"/>
      <c r="J8" s="15"/>
      <c r="K8" s="15"/>
      <c r="L8" s="18"/>
      <c r="P8" s="15"/>
    </row>
    <row r="9" spans="1:21" s="16" customFormat="1" ht="15.75" thickBot="1" x14ac:dyDescent="0.3">
      <c r="A9" s="22" t="s">
        <v>113</v>
      </c>
      <c r="B9" s="50">
        <v>0</v>
      </c>
      <c r="C9" s="15" t="s">
        <v>0</v>
      </c>
      <c r="E9" s="14"/>
      <c r="F9" s="15"/>
      <c r="G9" s="15"/>
      <c r="H9" s="15"/>
      <c r="I9" s="15"/>
      <c r="J9" s="15"/>
      <c r="K9" s="15"/>
      <c r="L9" s="18"/>
      <c r="P9" s="15"/>
    </row>
    <row r="10" spans="1:21" s="16" customFormat="1" ht="15" x14ac:dyDescent="0.25">
      <c r="A10" s="23" t="s">
        <v>62</v>
      </c>
      <c r="B10" s="11">
        <f>INDEX(CookMenu[Ration],MATCH(A1,CookMenu[Name],0))</f>
        <v>1</v>
      </c>
      <c r="E10" s="14"/>
      <c r="F10" s="15"/>
      <c r="G10" s="15"/>
      <c r="H10" s="15"/>
      <c r="I10" s="15"/>
      <c r="J10" s="15"/>
      <c r="K10" s="15"/>
      <c r="L10" s="18"/>
      <c r="P10" s="15"/>
    </row>
    <row r="11" spans="1:21" s="16" customFormat="1" x14ac:dyDescent="0.2">
      <c r="A11" s="14"/>
      <c r="B11" s="14"/>
      <c r="C11" s="14"/>
      <c r="D11" s="14"/>
      <c r="E11" s="14"/>
      <c r="F11" s="15"/>
      <c r="G11" s="15"/>
      <c r="H11" s="15"/>
      <c r="I11" s="15"/>
      <c r="J11" s="15"/>
      <c r="K11" s="15"/>
      <c r="L11" s="18"/>
      <c r="P11" s="15"/>
    </row>
    <row r="12" spans="1:21" x14ac:dyDescent="0.2">
      <c r="A12" s="7" t="s">
        <v>32</v>
      </c>
      <c r="B12" s="7" t="s">
        <v>65</v>
      </c>
      <c r="C12" s="7" t="s">
        <v>33</v>
      </c>
      <c r="D12" s="7" t="s">
        <v>66</v>
      </c>
      <c r="E12" s="7" t="s">
        <v>45</v>
      </c>
      <c r="F12" s="7" t="s">
        <v>57</v>
      </c>
      <c r="G12" s="7" t="s">
        <v>77</v>
      </c>
      <c r="I12" s="7" t="s">
        <v>34</v>
      </c>
      <c r="J12" s="7" t="s">
        <v>49</v>
      </c>
      <c r="K12" s="7" t="s">
        <v>73</v>
      </c>
      <c r="M12" s="7" t="s">
        <v>32</v>
      </c>
      <c r="N12" s="7" t="s">
        <v>65</v>
      </c>
      <c r="O12" s="7" t="s">
        <v>33</v>
      </c>
      <c r="P12" s="9" t="s">
        <v>66</v>
      </c>
      <c r="Q12" s="7" t="s">
        <v>45</v>
      </c>
      <c r="S12" s="7" t="s">
        <v>34</v>
      </c>
      <c r="T12" s="7" t="s">
        <v>49</v>
      </c>
      <c r="U12" s="7" t="s">
        <v>67</v>
      </c>
    </row>
    <row r="13" spans="1:21" x14ac:dyDescent="0.2">
      <c r="A13" s="7" t="str">
        <f t="shared" ref="A13:A20" si="0">M13</f>
        <v>cebola</v>
      </c>
      <c r="B13" s="26">
        <f t="shared" ref="B13:B20" si="1">N13*$B$10</f>
        <v>6</v>
      </c>
      <c r="C13" s="7" t="str">
        <f t="shared" ref="C13:C20" si="2">O13</f>
        <v>u</v>
      </c>
      <c r="D13" s="39">
        <f t="shared" ref="D13:D20" si="3">P13*$B$10</f>
        <v>880</v>
      </c>
      <c r="E13" s="9" t="str">
        <f t="shared" ref="E13:E20" si="4">Q13</f>
        <v>g</v>
      </c>
      <c r="F13" s="9" t="str">
        <f>IF(INDEX(Reserve[RESERVE],MATCH(Brownies_ING29[[#This Row],[Ingredients]],Reserve[INGREDIENT],0))&gt;=0,"OK",INDEX(Reserve[RESERVE],MATCH(Brownies_ING29[[#This Row],[Ingredients]],Reserve[INGREDIENT],0)))</f>
        <v>OK</v>
      </c>
      <c r="G13" s="28" t="e">
        <f>INDEX(Reserve[Price/Unit],MATCH(Brownies_ING29[[#This Row],[Ingredients]],Reserve[INGREDIENT],0))*Brownies_ING29[[#This Row],[Volume ]]</f>
        <v>#DIV/0!</v>
      </c>
      <c r="H13" s="28"/>
      <c r="I13" s="7" t="str">
        <f t="shared" ref="I13:J15" si="5">S13</f>
        <v>panela de pressao</v>
      </c>
      <c r="J13" s="7">
        <f t="shared" si="5"/>
        <v>1</v>
      </c>
      <c r="K13" s="24">
        <f>U13*$B$10</f>
        <v>0</v>
      </c>
      <c r="M13" s="7" t="s">
        <v>123</v>
      </c>
      <c r="N13" s="8">
        <v>6</v>
      </c>
      <c r="O13" s="7" t="s">
        <v>17</v>
      </c>
      <c r="P13" s="9">
        <v>880</v>
      </c>
      <c r="Q13" s="9" t="str">
        <f>INDEX(Reserve[UNIT],MATCH(Table219[[#This Row],[Ingredients]],Reserve[INGREDIENT],0))</f>
        <v>g</v>
      </c>
      <c r="S13" s="7" t="s">
        <v>127</v>
      </c>
      <c r="T13" s="7">
        <v>1</v>
      </c>
    </row>
    <row r="14" spans="1:21" x14ac:dyDescent="0.2">
      <c r="A14" s="7" t="str">
        <f t="shared" si="0"/>
        <v>oregano</v>
      </c>
      <c r="B14" s="26">
        <f t="shared" si="1"/>
        <v>4</v>
      </c>
      <c r="C14" s="7" t="str">
        <f t="shared" si="2"/>
        <v>teaspoon</v>
      </c>
      <c r="D14" s="39">
        <f t="shared" si="3"/>
        <v>3</v>
      </c>
      <c r="E14" s="9" t="str">
        <f t="shared" si="4"/>
        <v>g</v>
      </c>
      <c r="F14" s="9" t="str">
        <f>IF(INDEX(Reserve[RESERVE],MATCH(Brownies_ING29[[#This Row],[Ingredients]],Reserve[INGREDIENT],0))&gt;=0,"OK",INDEX(Reserve[RESERVE],MATCH(Brownies_ING29[[#This Row],[Ingredients]],Reserve[INGREDIENT],0)))</f>
        <v>OK</v>
      </c>
      <c r="G14" s="28" t="e">
        <f>INDEX(Reserve[Price/Unit],MATCH(Brownies_ING29[[#This Row],[Ingredients]],Reserve[INGREDIENT],0))*Brownies_ING29[[#This Row],[Volume ]]</f>
        <v>#DIV/0!</v>
      </c>
      <c r="H14" s="28"/>
      <c r="I14" s="7" t="str">
        <f t="shared" si="5"/>
        <v>batedeira</v>
      </c>
      <c r="J14" s="7">
        <f t="shared" si="5"/>
        <v>2</v>
      </c>
      <c r="K14" s="24">
        <f>U14*$B$10</f>
        <v>0</v>
      </c>
      <c r="M14" s="7" t="s">
        <v>124</v>
      </c>
      <c r="N14" s="8">
        <v>4</v>
      </c>
      <c r="O14" s="7" t="s">
        <v>42</v>
      </c>
      <c r="P14" s="9">
        <v>3</v>
      </c>
      <c r="Q14" s="9" t="str">
        <f>INDEX(Reserve[UNIT],MATCH(Table219[[#This Row],[Ingredients]],Reserve[INGREDIENT],0))</f>
        <v>g</v>
      </c>
      <c r="S14" s="7" t="s">
        <v>135</v>
      </c>
      <c r="T14" s="7">
        <v>2</v>
      </c>
    </row>
    <row r="15" spans="1:21" x14ac:dyDescent="0.2">
      <c r="A15" s="7" t="str">
        <f t="shared" si="0"/>
        <v>oleo</v>
      </c>
      <c r="B15" s="26">
        <f t="shared" si="1"/>
        <v>1</v>
      </c>
      <c r="C15" s="7" t="str">
        <f t="shared" si="2"/>
        <v>cup</v>
      </c>
      <c r="D15" s="39">
        <f t="shared" si="3"/>
        <v>250</v>
      </c>
      <c r="E15" s="9" t="str">
        <f t="shared" si="4"/>
        <v>ml</v>
      </c>
      <c r="F15" s="9" t="str">
        <f>IF(INDEX(Reserve[RESERVE],MATCH(Brownies_ING29[[#This Row],[Ingredients]],Reserve[INGREDIENT],0))&gt;=0,"OK",INDEX(Reserve[RESERVE],MATCH(Brownies_ING29[[#This Row],[Ingredients]],Reserve[INGREDIENT],0)))</f>
        <v>OK</v>
      </c>
      <c r="G15" s="28" t="e">
        <f>INDEX(Reserve[Price/Unit],MATCH(Brownies_ING29[[#This Row],[Ingredients]],Reserve[INGREDIENT],0))*Brownies_ING29[[#This Row],[Volume ]]</f>
        <v>#DIV/0!</v>
      </c>
      <c r="H15" s="28"/>
      <c r="I15" s="7" t="str">
        <f t="shared" si="5"/>
        <v>panela</v>
      </c>
      <c r="J15" s="7">
        <f t="shared" si="5"/>
        <v>3</v>
      </c>
      <c r="K15" s="24">
        <f>U15*$B$10</f>
        <v>0</v>
      </c>
      <c r="M15" s="7" t="s">
        <v>105</v>
      </c>
      <c r="N15" s="8">
        <v>1</v>
      </c>
      <c r="O15" s="7" t="s">
        <v>40</v>
      </c>
      <c r="P15" s="9">
        <v>250</v>
      </c>
      <c r="Q15" s="9" t="str">
        <f>INDEX(Reserve[UNIT],MATCH(Table219[[#This Row],[Ingredients]],Reserve[INGREDIENT],0))</f>
        <v>ml</v>
      </c>
      <c r="S15" s="7" t="s">
        <v>136</v>
      </c>
      <c r="T15" s="7">
        <v>3</v>
      </c>
    </row>
    <row r="16" spans="1:21" x14ac:dyDescent="0.2">
      <c r="A16" s="7" t="str">
        <f t="shared" si="0"/>
        <v>sazon-frango</v>
      </c>
      <c r="B16" s="26">
        <f t="shared" si="1"/>
        <v>3</v>
      </c>
      <c r="C16" s="7" t="str">
        <f t="shared" si="2"/>
        <v>sache</v>
      </c>
      <c r="D16" s="39">
        <f t="shared" si="3"/>
        <v>15</v>
      </c>
      <c r="E16" s="9" t="str">
        <f t="shared" si="4"/>
        <v>g</v>
      </c>
      <c r="F16" s="9" t="str">
        <f>IF(INDEX(Reserve[RESERVE],MATCH(Brownies_ING29[[#This Row],[Ingredients]],Reserve[INGREDIENT],0))&gt;=0,"OK",INDEX(Reserve[RESERVE],MATCH(Brownies_ING29[[#This Row],[Ingredients]],Reserve[INGREDIENT],0)))</f>
        <v>OK</v>
      </c>
      <c r="G16" s="28" t="e">
        <f>INDEX(Reserve[Price/Unit],MATCH(Brownies_ING29[[#This Row],[Ingredients]],Reserve[INGREDIENT],0))*Brownies_ING29[[#This Row],[Volume ]]</f>
        <v>#DIV/0!</v>
      </c>
      <c r="H16" s="28"/>
      <c r="I16" s="28"/>
      <c r="J16" s="28"/>
      <c r="K16" s="28"/>
      <c r="M16" s="7" t="s">
        <v>125</v>
      </c>
      <c r="N16" s="8">
        <v>3</v>
      </c>
      <c r="O16" s="7" t="s">
        <v>126</v>
      </c>
      <c r="P16" s="9">
        <v>15</v>
      </c>
      <c r="Q16" s="9" t="str">
        <f>INDEX(Reserve[UNIT],MATCH(Table219[[#This Row],[Ingredients]],Reserve[INGREDIENT],0))</f>
        <v>g</v>
      </c>
    </row>
    <row r="17" spans="1:17" x14ac:dyDescent="0.2">
      <c r="A17" s="7" t="str">
        <f t="shared" si="0"/>
        <v>galinha-peito</v>
      </c>
      <c r="B17" s="26">
        <f t="shared" si="1"/>
        <v>2000</v>
      </c>
      <c r="C17" s="7" t="str">
        <f t="shared" si="2"/>
        <v>g</v>
      </c>
      <c r="D17" s="39">
        <f t="shared" si="3"/>
        <v>2000</v>
      </c>
      <c r="E17" s="9" t="str">
        <f t="shared" si="4"/>
        <v>g</v>
      </c>
      <c r="F17" s="9" t="str">
        <f>IF(INDEX(Reserve[RESERVE],MATCH(Brownies_ING29[[#This Row],[Ingredients]],Reserve[INGREDIENT],0))&gt;=0,"OK",INDEX(Reserve[RESERVE],MATCH(Brownies_ING29[[#This Row],[Ingredients]],Reserve[INGREDIENT],0)))</f>
        <v>OK</v>
      </c>
      <c r="G17" s="28" t="e">
        <f>INDEX(Reserve[Price/Unit],MATCH(Brownies_ING29[[#This Row],[Ingredients]],Reserve[INGREDIENT],0))*Brownies_ING29[[#This Row],[Volume ]]</f>
        <v>#DIV/0!</v>
      </c>
      <c r="H17" s="28"/>
      <c r="I17" s="28"/>
      <c r="J17" s="28"/>
      <c r="K17" s="28"/>
      <c r="M17" s="7" t="s">
        <v>122</v>
      </c>
      <c r="N17" s="8">
        <v>2000</v>
      </c>
      <c r="O17" s="7" t="s">
        <v>0</v>
      </c>
      <c r="P17" s="9">
        <v>2000</v>
      </c>
      <c r="Q17" s="9" t="str">
        <f>INDEX(Reserve[UNIT],MATCH(Table219[[#This Row],[Ingredients]],Reserve[INGREDIENT],0))</f>
        <v>g</v>
      </c>
    </row>
    <row r="18" spans="1:17" x14ac:dyDescent="0.2">
      <c r="A18" s="7" t="str">
        <f t="shared" si="0"/>
        <v>pimenta mix-po</v>
      </c>
      <c r="B18" s="26">
        <f t="shared" si="1"/>
        <v>5</v>
      </c>
      <c r="C18" s="7" t="str">
        <f t="shared" si="2"/>
        <v>g</v>
      </c>
      <c r="D18" s="39">
        <f t="shared" si="3"/>
        <v>5</v>
      </c>
      <c r="E18" s="9" t="str">
        <f t="shared" si="4"/>
        <v>g</v>
      </c>
      <c r="F18" s="9" t="str">
        <f>IF(INDEX(Reserve[RESERVE],MATCH(Brownies_ING29[[#This Row],[Ingredients]],Reserve[INGREDIENT],0))&gt;=0,"OK",INDEX(Reserve[RESERVE],MATCH(Brownies_ING29[[#This Row],[Ingredients]],Reserve[INGREDIENT],0)))</f>
        <v>OK</v>
      </c>
      <c r="G18" s="28" t="e">
        <f>INDEX(Reserve[Price/Unit],MATCH(Brownies_ING29[[#This Row],[Ingredients]],Reserve[INGREDIENT],0))*Brownies_ING29[[#This Row],[Volume ]]</f>
        <v>#DIV/0!</v>
      </c>
      <c r="H18" s="28"/>
      <c r="I18" s="28"/>
      <c r="J18" s="28"/>
      <c r="K18" s="28"/>
      <c r="M18" s="7" t="s">
        <v>129</v>
      </c>
      <c r="N18" s="8">
        <v>5</v>
      </c>
      <c r="O18" s="7" t="s">
        <v>0</v>
      </c>
      <c r="P18" s="9">
        <v>5</v>
      </c>
      <c r="Q18" s="9" t="str">
        <f>INDEX(Reserve[UNIT],MATCH(Table219[[#This Row],[Ingredients]],Reserve[INGREDIENT],0))</f>
        <v>g</v>
      </c>
    </row>
    <row r="19" spans="1:17" x14ac:dyDescent="0.2">
      <c r="A19" s="7" t="str">
        <f t="shared" si="0"/>
        <v>tomate</v>
      </c>
      <c r="B19" s="26">
        <f t="shared" si="1"/>
        <v>6</v>
      </c>
      <c r="C19" s="7" t="str">
        <f t="shared" si="2"/>
        <v>u</v>
      </c>
      <c r="D19" s="39">
        <f t="shared" si="3"/>
        <v>1000</v>
      </c>
      <c r="E19" s="9" t="str">
        <f t="shared" si="4"/>
        <v>g</v>
      </c>
      <c r="F19" s="9" t="str">
        <f>IF(INDEX(Reserve[RESERVE],MATCH(Brownies_ING29[[#This Row],[Ingredients]],Reserve[INGREDIENT],0))&gt;=0,"OK",INDEX(Reserve[RESERVE],MATCH(Brownies_ING29[[#This Row],[Ingredients]],Reserve[INGREDIENT],0)))</f>
        <v>OK</v>
      </c>
      <c r="G19" s="28" t="e">
        <f>INDEX(Reserve[Price/Unit],MATCH(Brownies_ING29[[#This Row],[Ingredients]],Reserve[INGREDIENT],0))*Brownies_ING29[[#This Row],[Volume ]]</f>
        <v>#DIV/0!</v>
      </c>
      <c r="H19" s="28"/>
      <c r="I19" s="28"/>
      <c r="J19" s="28"/>
      <c r="K19" s="28"/>
      <c r="M19" s="7" t="s">
        <v>132</v>
      </c>
      <c r="N19" s="8">
        <v>6</v>
      </c>
      <c r="O19" s="7" t="s">
        <v>17</v>
      </c>
      <c r="P19" s="9">
        <v>1000</v>
      </c>
      <c r="Q19" s="9" t="str">
        <f>INDEX(Reserve[UNIT],MATCH(Table219[[#This Row],[Ingredients]],Reserve[INGREDIENT],0))</f>
        <v>g</v>
      </c>
    </row>
    <row r="20" spans="1:17" x14ac:dyDescent="0.2">
      <c r="A20" s="7" t="str">
        <f t="shared" si="0"/>
        <v>molho-tomate</v>
      </c>
      <c r="B20" s="26">
        <f t="shared" si="1"/>
        <v>1020</v>
      </c>
      <c r="C20" s="7" t="str">
        <f t="shared" si="2"/>
        <v>g</v>
      </c>
      <c r="D20" s="39">
        <f t="shared" si="3"/>
        <v>680</v>
      </c>
      <c r="E20" s="9" t="str">
        <f t="shared" si="4"/>
        <v>g</v>
      </c>
      <c r="F20" s="9" t="str">
        <f>IF(INDEX(Reserve[RESERVE],MATCH(Brownies_ING29[[#This Row],[Ingredients]],Reserve[INGREDIENT],0))&gt;=0,"OK",INDEX(Reserve[RESERVE],MATCH(Brownies_ING29[[#This Row],[Ingredients]],Reserve[INGREDIENT],0)))</f>
        <v>OK</v>
      </c>
      <c r="G20" s="28" t="e">
        <f>INDEX(Reserve[Price/Unit],MATCH(Brownies_ING29[[#This Row],[Ingredients]],Reserve[INGREDIENT],0))*Brownies_ING29[[#This Row],[Volume ]]</f>
        <v>#DIV/0!</v>
      </c>
      <c r="H20" s="28"/>
      <c r="I20" s="28"/>
      <c r="J20" s="28"/>
      <c r="K20" s="28"/>
      <c r="M20" s="7" t="s">
        <v>137</v>
      </c>
      <c r="N20" s="8">
        <f>680+340</f>
        <v>1020</v>
      </c>
      <c r="O20" s="7" t="s">
        <v>0</v>
      </c>
      <c r="P20" s="9">
        <v>680</v>
      </c>
      <c r="Q20" s="9" t="str">
        <f>INDEX(Reserve[UNIT],MATCH(Table219[[#This Row],[Ingredients]],Reserve[INGREDIENT],0))</f>
        <v>g</v>
      </c>
    </row>
    <row r="21" spans="1:17" ht="15" x14ac:dyDescent="0.25">
      <c r="A21"/>
      <c r="B21"/>
      <c r="C21"/>
      <c r="D21"/>
      <c r="E21"/>
      <c r="F21" t="s">
        <v>78</v>
      </c>
      <c r="G21" s="29" t="e">
        <f>SUBTOTAL(109,Brownies_ING29[Cost])</f>
        <v>#DIV/0!</v>
      </c>
      <c r="H21" s="29"/>
      <c r="I21" s="29"/>
      <c r="J21" s="29"/>
      <c r="K21" s="29"/>
      <c r="M21" s="7" t="s">
        <v>139</v>
      </c>
      <c r="N21" s="8">
        <v>400</v>
      </c>
      <c r="O21" s="7" t="s">
        <v>0</v>
      </c>
      <c r="P21" s="33">
        <v>400</v>
      </c>
      <c r="Q21" s="33" t="str">
        <f>INDEX(Reserve[UNIT],MATCH(Table219[[#This Row],[Ingredients]],Reserve[INGREDIENT],0))</f>
        <v>g</v>
      </c>
    </row>
    <row r="22" spans="1:17" ht="15" x14ac:dyDescent="0.25">
      <c r="A22"/>
      <c r="B22"/>
      <c r="C22"/>
      <c r="D22"/>
      <c r="E22"/>
      <c r="F22"/>
      <c r="G22" s="29"/>
      <c r="H22" s="29"/>
      <c r="I22" s="29"/>
      <c r="J22" s="29"/>
      <c r="K22" s="29"/>
      <c r="M22" s="7" t="s">
        <v>141</v>
      </c>
      <c r="N22" s="8">
        <v>500</v>
      </c>
      <c r="O22" s="7" t="s">
        <v>0</v>
      </c>
      <c r="P22" s="33">
        <v>500</v>
      </c>
      <c r="Q22" s="33" t="str">
        <f>INDEX(Reserve[UNIT],MATCH(Table219[[#This Row],[Ingredients]],Reserve[INGREDIENT],0))</f>
        <v>g</v>
      </c>
    </row>
    <row r="23" spans="1:17" ht="15" x14ac:dyDescent="0.25">
      <c r="A23"/>
      <c r="B23"/>
      <c r="C23"/>
      <c r="D23"/>
      <c r="E23"/>
      <c r="F23"/>
      <c r="G23" s="29"/>
      <c r="H23" s="29"/>
      <c r="I23" s="29"/>
      <c r="J23" s="29"/>
      <c r="K23" s="29"/>
    </row>
    <row r="24" spans="1:17" s="19" customFormat="1" x14ac:dyDescent="0.2">
      <c r="P24" s="18"/>
    </row>
    <row r="25" spans="1:17" x14ac:dyDescent="0.2">
      <c r="A25" s="12" t="s">
        <v>35</v>
      </c>
      <c r="B25" s="7" t="s">
        <v>49</v>
      </c>
      <c r="C25" s="7" t="s">
        <v>68</v>
      </c>
      <c r="M25" s="12" t="s">
        <v>35</v>
      </c>
      <c r="N25" s="7" t="s">
        <v>49</v>
      </c>
      <c r="O25" s="7" t="s">
        <v>68</v>
      </c>
      <c r="P25" s="37" t="s">
        <v>95</v>
      </c>
    </row>
    <row r="26" spans="1:17" ht="85.5" x14ac:dyDescent="0.2">
      <c r="A26" s="3" t="str">
        <f t="shared" ref="A26:B30" si="6">M26</f>
        <v>panela de pressao:
+oleo (1cup=125ml)
+cebola picada (2u=265g)</v>
      </c>
      <c r="B26" s="3">
        <f t="shared" si="6"/>
        <v>1</v>
      </c>
      <c r="C26" s="25">
        <f>O26*$B$10</f>
        <v>5</v>
      </c>
      <c r="M26" s="3" t="s">
        <v>131</v>
      </c>
      <c r="N26" s="2">
        <v>1</v>
      </c>
      <c r="O26" s="2">
        <v>5</v>
      </c>
      <c r="P26" s="38" t="s">
        <v>96</v>
      </c>
    </row>
    <row r="27" spans="1:17" ht="71.25" x14ac:dyDescent="0.2">
      <c r="A27" s="3" t="str">
        <f t="shared" si="6"/>
        <v>panela de pressao:
+oregano
+galinha-peito
+agua (1L)</v>
      </c>
      <c r="B27" s="3">
        <f t="shared" si="6"/>
        <v>1</v>
      </c>
      <c r="C27" s="25">
        <f>O27*$B$10</f>
        <v>45</v>
      </c>
      <c r="M27" s="3" t="s">
        <v>128</v>
      </c>
      <c r="N27" s="2">
        <v>1</v>
      </c>
      <c r="O27" s="2">
        <v>45</v>
      </c>
      <c r="P27" s="38"/>
    </row>
    <row r="28" spans="1:17" ht="99.75" x14ac:dyDescent="0.2">
      <c r="A28" s="3" t="str">
        <f t="shared" si="6"/>
        <v>batedeira (pesada):
+galinha da panela de pressao
+pimenta mix
+bater para desfiar</v>
      </c>
      <c r="B28" s="3">
        <f t="shared" si="6"/>
        <v>2</v>
      </c>
      <c r="C28" s="25">
        <f>O28*$B$10</f>
        <v>1</v>
      </c>
      <c r="M28" s="3" t="s">
        <v>130</v>
      </c>
      <c r="N28" s="2">
        <v>2</v>
      </c>
      <c r="O28" s="2">
        <v>1</v>
      </c>
      <c r="P28" s="38"/>
    </row>
    <row r="29" spans="1:17" ht="71.25" x14ac:dyDescent="0.2">
      <c r="A29" s="3" t="str">
        <f t="shared" si="6"/>
        <v>panela:
+oleo(0.5cup=125ml)
+cebola(4u)
ate dourar a cebola</v>
      </c>
      <c r="B29" s="3">
        <f t="shared" si="6"/>
        <v>3</v>
      </c>
      <c r="C29" s="25">
        <f>O29*$B$10</f>
        <v>5</v>
      </c>
      <c r="M29" s="3" t="s">
        <v>133</v>
      </c>
      <c r="N29" s="2">
        <v>3</v>
      </c>
      <c r="O29" s="2">
        <v>5</v>
      </c>
      <c r="P29" s="38"/>
    </row>
    <row r="30" spans="1:17" ht="57" x14ac:dyDescent="0.2">
      <c r="A30" s="3" t="str">
        <f t="shared" si="6"/>
        <v>panela:
+tomate
ate o tomate se desmanchar</v>
      </c>
      <c r="B30" s="3">
        <f t="shared" si="6"/>
        <v>3</v>
      </c>
      <c r="C30" s="25">
        <f>O30*$B$10</f>
        <v>15</v>
      </c>
      <c r="M30" s="3" t="s">
        <v>134</v>
      </c>
      <c r="N30" s="2">
        <v>3</v>
      </c>
      <c r="O30" s="2">
        <v>15</v>
      </c>
      <c r="P30" s="38"/>
    </row>
    <row r="31" spans="1:17" ht="42.75" x14ac:dyDescent="0.2">
      <c r="M31" s="3" t="s">
        <v>138</v>
      </c>
      <c r="N31" s="94" t="s">
        <v>98</v>
      </c>
      <c r="O31" s="7">
        <v>15</v>
      </c>
    </row>
    <row r="32" spans="1:17" ht="57" x14ac:dyDescent="0.2">
      <c r="M32" s="3" t="s">
        <v>140</v>
      </c>
      <c r="N32" s="94" t="s">
        <v>99</v>
      </c>
    </row>
    <row r="33" spans="1:16" ht="128.25" x14ac:dyDescent="0.2">
      <c r="M33" s="3" t="s">
        <v>142</v>
      </c>
      <c r="N33" s="94"/>
    </row>
    <row r="35" spans="1:16" x14ac:dyDescent="0.2">
      <c r="A35" s="16"/>
      <c r="B35" s="16"/>
      <c r="C35" s="16"/>
      <c r="M35" s="16"/>
      <c r="N35" s="16"/>
      <c r="O35" s="16"/>
      <c r="P35" s="16"/>
    </row>
    <row r="36" spans="1:16" s="16" customForma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18"/>
      <c r="M36" s="7"/>
      <c r="N36" s="7"/>
      <c r="O36" s="7"/>
      <c r="P36" s="9"/>
    </row>
  </sheetData>
  <conditionalFormatting sqref="F13:F20">
    <cfRule type="containsText" dxfId="16" priority="1" operator="containsText" text="ok">
      <formula>NOT(ISERROR(SEARCH("ok",F13)))</formula>
    </cfRule>
    <cfRule type="cellIs" dxfId="15" priority="2" operator="lessThan">
      <formula>0</formula>
    </cfRule>
    <cfRule type="containsErrors" dxfId="14" priority="3">
      <formula>ISERROR(F13)</formula>
    </cfRule>
  </conditionalFormatting>
  <pageMargins left="0.7" right="0.7" top="0.75" bottom="0.75" header="0.3" footer="0.3"/>
  <pageSetup orientation="portrait" horizontalDpi="1200" verticalDpi="120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Normal="100" workbookViewId="0">
      <selection activeCell="C10" sqref="C10"/>
    </sheetView>
  </sheetViews>
  <sheetFormatPr defaultRowHeight="14.25" x14ac:dyDescent="0.2"/>
  <cols>
    <col min="1" max="1" width="44.7109375" style="7" bestFit="1" customWidth="1"/>
    <col min="2" max="2" width="8.28515625" style="7" bestFit="1" customWidth="1"/>
    <col min="3" max="3" width="13.85546875" style="7" bestFit="1" customWidth="1"/>
    <col min="4" max="4" width="11.28515625" style="7" customWidth="1"/>
    <col min="5" max="5" width="8.5703125" style="7" customWidth="1"/>
    <col min="6" max="6" width="9.7109375" style="7" customWidth="1"/>
    <col min="7" max="7" width="8" style="7" bestFit="1" customWidth="1"/>
    <col min="8" max="8" width="8" style="7" customWidth="1"/>
    <col min="9" max="9" width="14.140625" style="7" bestFit="1" customWidth="1"/>
    <col min="10" max="11" width="8.28515625" style="7" bestFit="1" customWidth="1"/>
    <col min="12" max="12" width="11" style="19" bestFit="1" customWidth="1"/>
    <col min="13" max="13" width="18.42578125" style="7" bestFit="1" customWidth="1"/>
    <col min="14" max="14" width="8.28515625" style="7" bestFit="1" customWidth="1"/>
    <col min="15" max="15" width="13.85546875" style="7" bestFit="1" customWidth="1"/>
    <col min="16" max="16" width="11.28515625" style="7" bestFit="1" customWidth="1"/>
    <col min="17" max="17" width="8.5703125" style="7" bestFit="1" customWidth="1"/>
    <col min="18" max="18" width="9.140625" style="7"/>
    <col min="19" max="19" width="14.140625" style="7" bestFit="1" customWidth="1"/>
    <col min="20" max="20" width="8.28515625" style="7" bestFit="1" customWidth="1"/>
    <col min="21" max="21" width="13.7109375" style="7" bestFit="1" customWidth="1"/>
    <col min="22" max="16384" width="9.140625" style="7"/>
  </cols>
  <sheetData>
    <row r="1" spans="1:21" s="6" customFormat="1" ht="51" x14ac:dyDescent="0.75">
      <c r="A1" s="30" t="s">
        <v>85</v>
      </c>
      <c r="B1" s="4"/>
      <c r="C1" s="4"/>
      <c r="D1" s="4"/>
      <c r="E1" s="4"/>
      <c r="F1" s="5"/>
      <c r="G1" s="5"/>
      <c r="H1" s="5"/>
      <c r="I1" s="5"/>
      <c r="J1" s="5"/>
      <c r="K1" s="5"/>
      <c r="L1" s="34"/>
    </row>
    <row r="2" spans="1:21" s="19" customFormat="1" x14ac:dyDescent="0.2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</row>
    <row r="3" spans="1:21" s="16" customFormat="1" x14ac:dyDescent="0.2">
      <c r="A3" s="14"/>
      <c r="B3" s="14"/>
      <c r="C3" s="14"/>
      <c r="D3" s="14"/>
      <c r="E3" s="14"/>
      <c r="F3" s="15"/>
      <c r="G3" s="15"/>
      <c r="H3" s="15"/>
      <c r="I3" s="15"/>
      <c r="J3" s="15"/>
      <c r="K3" s="15"/>
      <c r="L3" s="18"/>
    </row>
    <row r="4" spans="1:21" s="21" customFormat="1" x14ac:dyDescent="0.2">
      <c r="A4" s="21" t="s">
        <v>64</v>
      </c>
      <c r="L4" s="19"/>
      <c r="M4" s="20" t="s">
        <v>63</v>
      </c>
    </row>
    <row r="5" spans="1:21" s="16" customFormat="1" ht="15" thickBot="1" x14ac:dyDescent="0.25">
      <c r="L5" s="19"/>
    </row>
    <row r="6" spans="1:21" s="16" customFormat="1" ht="15.75" thickBot="1" x14ac:dyDescent="0.3">
      <c r="A6" s="22" t="s">
        <v>116</v>
      </c>
      <c r="B6" s="10">
        <f>INDEX(CookMenu[N° of servings 
(STD)],MATCH(A1,CookMenu[Name],0))</f>
        <v>12</v>
      </c>
      <c r="E6" s="14"/>
      <c r="F6" s="15"/>
      <c r="G6" s="15"/>
      <c r="H6" s="15"/>
      <c r="I6" s="15"/>
      <c r="J6" s="15"/>
      <c r="K6" s="15"/>
      <c r="L6" s="18"/>
    </row>
    <row r="7" spans="1:21" s="16" customFormat="1" ht="15.75" thickBot="1" x14ac:dyDescent="0.3">
      <c r="A7" s="22" t="s">
        <v>117</v>
      </c>
      <c r="B7" s="10">
        <f>INDEX(CookMenu[N° of servings 
(PLAN)],MATCH(A1,CookMenu[Name],0))</f>
        <v>12</v>
      </c>
      <c r="E7" s="14"/>
      <c r="F7" s="15"/>
      <c r="G7" s="15"/>
      <c r="H7" s="15"/>
      <c r="I7" s="15"/>
      <c r="J7" s="15"/>
      <c r="K7" s="15"/>
      <c r="L7" s="18"/>
    </row>
    <row r="8" spans="1:21" s="16" customFormat="1" ht="15.75" thickBot="1" x14ac:dyDescent="0.3">
      <c r="A8" s="22" t="s">
        <v>31</v>
      </c>
      <c r="B8" s="27">
        <f>K16</f>
        <v>0</v>
      </c>
      <c r="C8" s="15" t="s">
        <v>74</v>
      </c>
      <c r="E8" s="14"/>
      <c r="F8" s="15"/>
      <c r="G8" s="15"/>
      <c r="H8" s="15"/>
      <c r="I8" s="15"/>
      <c r="J8" s="15"/>
      <c r="K8" s="15"/>
      <c r="L8" s="18"/>
    </row>
    <row r="9" spans="1:21" s="16" customFormat="1" ht="15.75" thickBot="1" x14ac:dyDescent="0.3">
      <c r="A9" s="22" t="s">
        <v>113</v>
      </c>
      <c r="B9" s="50">
        <v>0</v>
      </c>
      <c r="C9" s="15" t="s">
        <v>0</v>
      </c>
      <c r="E9" s="14"/>
      <c r="F9" s="15"/>
      <c r="G9" s="15"/>
      <c r="H9" s="15"/>
      <c r="I9" s="15"/>
      <c r="J9" s="15"/>
      <c r="K9" s="15"/>
      <c r="L9" s="18"/>
    </row>
    <row r="10" spans="1:21" s="16" customFormat="1" ht="15" x14ac:dyDescent="0.25">
      <c r="A10" s="23" t="s">
        <v>62</v>
      </c>
      <c r="B10" s="11">
        <f>INDEX(CookMenu[Ration],MATCH(A1,CookMenu[Name],0))</f>
        <v>1</v>
      </c>
      <c r="E10" s="14"/>
      <c r="F10" s="15"/>
      <c r="G10" s="15"/>
      <c r="H10" s="15"/>
      <c r="I10" s="15"/>
      <c r="J10" s="15"/>
      <c r="K10" s="15"/>
      <c r="L10" s="18"/>
    </row>
    <row r="11" spans="1:21" s="16" customFormat="1" x14ac:dyDescent="0.2">
      <c r="A11" s="14"/>
      <c r="B11" s="14"/>
      <c r="C11" s="14"/>
      <c r="D11" s="14"/>
      <c r="E11" s="14"/>
      <c r="F11" s="15"/>
      <c r="G11" s="15"/>
      <c r="H11" s="15"/>
      <c r="I11" s="15"/>
      <c r="J11" s="15"/>
      <c r="K11" s="15"/>
      <c r="L11" s="18"/>
    </row>
    <row r="12" spans="1:21" x14ac:dyDescent="0.2">
      <c r="A12" s="7" t="s">
        <v>32</v>
      </c>
      <c r="B12" s="7" t="s">
        <v>65</v>
      </c>
      <c r="C12" s="7" t="s">
        <v>33</v>
      </c>
      <c r="D12" s="7" t="s">
        <v>66</v>
      </c>
      <c r="E12" s="7" t="s">
        <v>45</v>
      </c>
      <c r="F12" s="7" t="s">
        <v>57</v>
      </c>
      <c r="G12" s="7" t="s">
        <v>77</v>
      </c>
      <c r="I12" s="7" t="s">
        <v>34</v>
      </c>
      <c r="J12" s="7" t="s">
        <v>49</v>
      </c>
      <c r="K12" s="7" t="s">
        <v>73</v>
      </c>
      <c r="M12" s="7" t="s">
        <v>32</v>
      </c>
      <c r="N12" s="7" t="s">
        <v>65</v>
      </c>
      <c r="O12" s="7" t="s">
        <v>33</v>
      </c>
      <c r="P12" s="7" t="s">
        <v>66</v>
      </c>
      <c r="Q12" s="7" t="s">
        <v>45</v>
      </c>
      <c r="S12" s="7" t="s">
        <v>34</v>
      </c>
      <c r="T12" s="7" t="s">
        <v>49</v>
      </c>
      <c r="U12" s="7" t="s">
        <v>67</v>
      </c>
    </row>
    <row r="13" spans="1:21" x14ac:dyDescent="0.2">
      <c r="A13" s="7" t="str">
        <f t="shared" ref="A13:A19" si="0">M13</f>
        <v>acucar</v>
      </c>
      <c r="B13" s="26">
        <f t="shared" ref="B13:B19" si="1">N13*$B$10</f>
        <v>3</v>
      </c>
      <c r="C13" s="7" t="str">
        <f t="shared" ref="C13:C19" si="2">O13</f>
        <v>cup</v>
      </c>
      <c r="D13" s="39">
        <f t="shared" ref="D13:D19" si="3">P13*$B$10</f>
        <v>600</v>
      </c>
      <c r="E13" s="9" t="str">
        <f t="shared" ref="E13:E19" si="4">Q13</f>
        <v>g</v>
      </c>
      <c r="F13" s="9" t="str">
        <f>IF(INDEX(Reserve[RESERVE],MATCH(CAmor_ING[[#This Row],[Ingredients]],Reserve[INGREDIENT],0))&gt;=0,"OK",INDEX(Reserve[RESERVE],MATCH(CAmor_ING[[#This Row],[Ingredients]],Reserve[INGREDIENT],0)))</f>
        <v>OK</v>
      </c>
      <c r="G13" s="28" t="e">
        <f>INDEX(Reserve[Price/Unit],MATCH(CAmor_ING[[#This Row],[Ingredients]],Reserve[INGREDIENT],0))*CAmor_ING[[#This Row],[Volume ]]</f>
        <v>#DIV/0!</v>
      </c>
      <c r="H13" s="28"/>
      <c r="I13" s="7" t="str">
        <f t="shared" ref="I13:J16" si="5">S13</f>
        <v xml:space="preserve">Vasilha </v>
      </c>
      <c r="J13" s="7">
        <f t="shared" si="5"/>
        <v>1</v>
      </c>
      <c r="K13" s="24">
        <f>U13*$B$10</f>
        <v>0</v>
      </c>
      <c r="M13" s="7" t="s">
        <v>19</v>
      </c>
      <c r="N13" s="8">
        <v>3</v>
      </c>
      <c r="O13" s="7" t="s">
        <v>40</v>
      </c>
      <c r="P13" s="7">
        <v>600</v>
      </c>
      <c r="Q13" s="9" t="str">
        <f>INDEX(Reserve[UNIT],MATCH(Table26[[#This Row],[Ingredients]],Reserve[INGREDIENT],0))</f>
        <v>g</v>
      </c>
      <c r="S13" s="7" t="s">
        <v>92</v>
      </c>
      <c r="T13" s="7">
        <v>1</v>
      </c>
      <c r="U13" s="7">
        <v>0</v>
      </c>
    </row>
    <row r="14" spans="1:21" x14ac:dyDescent="0.2">
      <c r="A14" s="7" t="str">
        <f t="shared" si="0"/>
        <v>farinha - trigo</v>
      </c>
      <c r="B14" s="26">
        <f t="shared" si="1"/>
        <v>4</v>
      </c>
      <c r="C14" s="7" t="str">
        <f t="shared" si="2"/>
        <v>cup</v>
      </c>
      <c r="D14" s="39">
        <f t="shared" si="3"/>
        <v>535</v>
      </c>
      <c r="E14" s="9" t="str">
        <f t="shared" si="4"/>
        <v>g</v>
      </c>
      <c r="F14" s="9" t="str">
        <f>IF(INDEX(Reserve[RESERVE],MATCH(CAmor_ING[[#This Row],[Ingredients]],Reserve[INGREDIENT],0))&gt;=0,"OK",INDEX(Reserve[RESERVE],MATCH(CAmor_ING[[#This Row],[Ingredients]],Reserve[INGREDIENT],0)))</f>
        <v>OK</v>
      </c>
      <c r="G14" s="28" t="e">
        <f>INDEX(Reserve[Price/Unit],MATCH(CAmor_ING[[#This Row],[Ingredients]],Reserve[INGREDIENT],0))*CAmor_ING[[#This Row],[Volume ]]</f>
        <v>#DIV/0!</v>
      </c>
      <c r="H14" s="28"/>
      <c r="I14" s="7" t="str">
        <f t="shared" si="5"/>
        <v xml:space="preserve">Vasilha </v>
      </c>
      <c r="J14" s="7">
        <f t="shared" si="5"/>
        <v>2</v>
      </c>
      <c r="K14" s="24">
        <f>U14*$B$10</f>
        <v>0</v>
      </c>
      <c r="M14" s="7" t="s">
        <v>87</v>
      </c>
      <c r="N14" s="8">
        <v>4</v>
      </c>
      <c r="O14" s="7" t="s">
        <v>40</v>
      </c>
      <c r="P14" s="7">
        <v>535</v>
      </c>
      <c r="Q14" s="9" t="str">
        <f>INDEX(Reserve[UNIT],MATCH(Table26[[#This Row],[Ingredients]],Reserve[INGREDIENT],0))</f>
        <v>g</v>
      </c>
      <c r="S14" s="7" t="s">
        <v>92</v>
      </c>
      <c r="T14" s="7">
        <v>2</v>
      </c>
      <c r="U14" s="7">
        <v>0</v>
      </c>
    </row>
    <row r="15" spans="1:21" x14ac:dyDescent="0.2">
      <c r="A15" s="7" t="str">
        <f t="shared" si="0"/>
        <v>fermento em po</v>
      </c>
      <c r="B15" s="26">
        <f t="shared" si="1"/>
        <v>3</v>
      </c>
      <c r="C15" s="7" t="str">
        <f t="shared" si="2"/>
        <v>teaspoon</v>
      </c>
      <c r="D15" s="39">
        <f t="shared" si="3"/>
        <v>20</v>
      </c>
      <c r="E15" s="9" t="str">
        <f t="shared" si="4"/>
        <v>g</v>
      </c>
      <c r="F15" s="9" t="str">
        <f>IF(INDEX(Reserve[RESERVE],MATCH(CAmor_ING[[#This Row],[Ingredients]],Reserve[INGREDIENT],0))&gt;=0,"OK",INDEX(Reserve[RESERVE],MATCH(CAmor_ING[[#This Row],[Ingredients]],Reserve[INGREDIENT],0)))</f>
        <v>OK</v>
      </c>
      <c r="G15" s="28" t="e">
        <f>INDEX(Reserve[Price/Unit],MATCH(CAmor_ING[[#This Row],[Ingredients]],Reserve[INGREDIENT],0))*CAmor_ING[[#This Row],[Volume ]]</f>
        <v>#DIV/0!</v>
      </c>
      <c r="H15" s="28"/>
      <c r="I15" s="7" t="str">
        <f t="shared" si="5"/>
        <v>Forma</v>
      </c>
      <c r="J15" s="7">
        <f t="shared" si="5"/>
        <v>3</v>
      </c>
      <c r="K15" s="24">
        <f>U15*$B$10</f>
        <v>0</v>
      </c>
      <c r="M15" s="7" t="s">
        <v>89</v>
      </c>
      <c r="N15" s="8">
        <v>3</v>
      </c>
      <c r="O15" s="7" t="s">
        <v>42</v>
      </c>
      <c r="P15" s="32">
        <v>20</v>
      </c>
      <c r="Q15" s="33" t="str">
        <f>INDEX(Reserve[UNIT],MATCH(Table26[[#This Row],[Ingredients]],Reserve[INGREDIENT],0))</f>
        <v>g</v>
      </c>
      <c r="S15" s="7" t="s">
        <v>47</v>
      </c>
      <c r="T15" s="7">
        <v>3</v>
      </c>
      <c r="U15" s="7">
        <v>0</v>
      </c>
    </row>
    <row r="16" spans="1:21" x14ac:dyDescent="0.2">
      <c r="A16" s="7" t="str">
        <f t="shared" si="0"/>
        <v>leite</v>
      </c>
      <c r="B16" s="26">
        <f t="shared" si="1"/>
        <v>1</v>
      </c>
      <c r="C16" s="7" t="str">
        <f t="shared" si="2"/>
        <v>cup</v>
      </c>
      <c r="D16" s="39">
        <f t="shared" si="3"/>
        <v>250</v>
      </c>
      <c r="E16" s="9" t="str">
        <f t="shared" si="4"/>
        <v>ml</v>
      </c>
      <c r="F16" s="9" t="str">
        <f>IF(INDEX(Reserve[RESERVE],MATCH(CAmor_ING[[#This Row],[Ingredients]],Reserve[INGREDIENT],0))&gt;=0,"OK",INDEX(Reserve[RESERVE],MATCH(CAmor_ING[[#This Row],[Ingredients]],Reserve[INGREDIENT],0)))</f>
        <v>OK</v>
      </c>
      <c r="G16" s="28" t="e">
        <f>INDEX(Reserve[Price/Unit],MATCH(CAmor_ING[[#This Row],[Ingredients]],Reserve[INGREDIENT],0))*CAmor_ING[[#This Row],[Volume ]]</f>
        <v>#DIV/0!</v>
      </c>
      <c r="H16" s="28"/>
      <c r="I16" s="7" t="str">
        <f t="shared" si="5"/>
        <v>Batedeira</v>
      </c>
      <c r="J16" s="7">
        <f t="shared" si="5"/>
        <v>4</v>
      </c>
      <c r="K16" s="24">
        <f>U16*$B$10</f>
        <v>0</v>
      </c>
      <c r="M16" s="7" t="s">
        <v>88</v>
      </c>
      <c r="N16" s="8">
        <v>1</v>
      </c>
      <c r="O16" s="7" t="s">
        <v>40</v>
      </c>
      <c r="P16" s="7">
        <v>250</v>
      </c>
      <c r="Q16" s="9" t="str">
        <f>INDEX(Reserve[UNIT],MATCH(Table26[[#This Row],[Ingredients]],Reserve[INGREDIENT],0))</f>
        <v>ml</v>
      </c>
      <c r="S16" s="7" t="s">
        <v>46</v>
      </c>
      <c r="T16" s="7">
        <v>4</v>
      </c>
      <c r="U16" s="7">
        <v>0</v>
      </c>
    </row>
    <row r="17" spans="1:17" x14ac:dyDescent="0.2">
      <c r="A17" s="7" t="str">
        <f t="shared" si="0"/>
        <v>margarina</v>
      </c>
      <c r="B17" s="26">
        <f t="shared" si="1"/>
        <v>1</v>
      </c>
      <c r="C17" s="7" t="str">
        <f t="shared" si="2"/>
        <v>cup</v>
      </c>
      <c r="D17" s="39">
        <f t="shared" si="3"/>
        <v>200</v>
      </c>
      <c r="E17" s="9" t="str">
        <f t="shared" si="4"/>
        <v>g</v>
      </c>
      <c r="F17" s="9" t="str">
        <f>IF(INDEX(Reserve[RESERVE],MATCH(CAmor_ING[[#This Row],[Ingredients]],Reserve[INGREDIENT],0))&gt;=0,"OK",INDEX(Reserve[RESERVE],MATCH(CAmor_ING[[#This Row],[Ingredients]],Reserve[INGREDIENT],0)))</f>
        <v>OK</v>
      </c>
      <c r="G17" s="28" t="e">
        <f>INDEX(Reserve[Price/Unit],MATCH(CAmor_ING[[#This Row],[Ingredients]],Reserve[INGREDIENT],0))*CAmor_ING[[#This Row],[Volume ]]</f>
        <v>#DIV/0!</v>
      </c>
      <c r="H17" s="28"/>
      <c r="I17" s="28"/>
      <c r="J17" s="28"/>
      <c r="K17" s="28"/>
      <c r="M17" s="7" t="s">
        <v>93</v>
      </c>
      <c r="N17" s="8">
        <v>1</v>
      </c>
      <c r="O17" s="7" t="s">
        <v>40</v>
      </c>
      <c r="P17" s="7">
        <v>200</v>
      </c>
      <c r="Q17" s="9" t="str">
        <f>INDEX(Reserve[UNIT],MATCH(Table26[[#This Row],[Ingredients]],Reserve[INGREDIENT],0))</f>
        <v>g</v>
      </c>
    </row>
    <row r="18" spans="1:17" x14ac:dyDescent="0.2">
      <c r="A18" s="7" t="str">
        <f t="shared" si="0"/>
        <v>ovo</v>
      </c>
      <c r="B18" s="26">
        <f t="shared" si="1"/>
        <v>3</v>
      </c>
      <c r="C18" s="7" t="str">
        <f t="shared" si="2"/>
        <v>u</v>
      </c>
      <c r="D18" s="39">
        <f t="shared" si="3"/>
        <v>3</v>
      </c>
      <c r="E18" s="33" t="str">
        <f t="shared" si="4"/>
        <v>u</v>
      </c>
      <c r="F18" s="33" t="str">
        <f>IF(INDEX(Reserve[RESERVE],MATCH(CAmor_ING[[#This Row],[Ingredients]],Reserve[INGREDIENT],0))&gt;=0,"OK",INDEX(Reserve[RESERVE],MATCH(CAmor_ING[[#This Row],[Ingredients]],Reserve[INGREDIENT],0)))</f>
        <v>OK</v>
      </c>
      <c r="G18" s="31" t="e">
        <f>INDEX(Reserve[Price/Unit],MATCH(CAmor_ING[[#This Row],[Ingredients]],Reserve[INGREDIENT],0))*CAmor_ING[[#This Row],[Volume ]]</f>
        <v>#DIV/0!</v>
      </c>
      <c r="H18" s="31"/>
      <c r="I18" s="31"/>
      <c r="J18" s="31"/>
      <c r="K18" s="31"/>
      <c r="M18" s="7" t="s">
        <v>58</v>
      </c>
      <c r="N18" s="8">
        <v>3</v>
      </c>
      <c r="O18" s="7" t="s">
        <v>17</v>
      </c>
      <c r="P18" s="7">
        <v>3</v>
      </c>
      <c r="Q18" s="9" t="str">
        <f>INDEX(Reserve[UNIT],MATCH(Table26[[#This Row],[Ingredients]],Reserve[INGREDIENT],0))</f>
        <v>u</v>
      </c>
    </row>
    <row r="19" spans="1:17" x14ac:dyDescent="0.2">
      <c r="A19" s="7" t="str">
        <f t="shared" si="0"/>
        <v>sal</v>
      </c>
      <c r="B19" s="26">
        <f t="shared" si="1"/>
        <v>0.25</v>
      </c>
      <c r="C19" s="7" t="str">
        <f t="shared" si="2"/>
        <v>teaspoon</v>
      </c>
      <c r="D19" s="39">
        <f t="shared" si="3"/>
        <v>2</v>
      </c>
      <c r="E19" s="33" t="str">
        <f t="shared" si="4"/>
        <v>g</v>
      </c>
      <c r="F19" s="33" t="str">
        <f>IF(INDEX(Reserve[RESERVE],MATCH(CAmor_ING[[#This Row],[Ingredients]],Reserve[INGREDIENT],0))&gt;=0,"OK",INDEX(Reserve[RESERVE],MATCH(CAmor_ING[[#This Row],[Ingredients]],Reserve[INGREDIENT],0)))</f>
        <v>OK</v>
      </c>
      <c r="G19" s="31" t="e">
        <f>INDEX(Reserve[Price/Unit],MATCH(CAmor_ING[[#This Row],[Ingredients]],Reserve[INGREDIENT],0))*CAmor_ING[[#This Row],[Volume ]]</f>
        <v>#DIV/0!</v>
      </c>
      <c r="H19" s="31"/>
      <c r="I19" s="31"/>
      <c r="J19" s="31"/>
      <c r="K19" s="31"/>
      <c r="M19" s="7" t="s">
        <v>59</v>
      </c>
      <c r="N19" s="8">
        <v>0.25</v>
      </c>
      <c r="O19" s="7" t="s">
        <v>42</v>
      </c>
      <c r="P19" s="7">
        <v>2</v>
      </c>
      <c r="Q19" s="9" t="str">
        <f>INDEX(Reserve[UNIT],MATCH(Table26[[#This Row],[Ingredients]],Reserve[INGREDIENT],0))</f>
        <v>g</v>
      </c>
    </row>
    <row r="20" spans="1:17" ht="15" x14ac:dyDescent="0.25">
      <c r="A20"/>
      <c r="B20"/>
      <c r="C20"/>
      <c r="D20"/>
      <c r="E20"/>
      <c r="F20" t="s">
        <v>78</v>
      </c>
      <c r="G20" s="29" t="e">
        <f>SUBTOTAL(109,CAmor_ING[Cost])</f>
        <v>#DIV/0!</v>
      </c>
      <c r="H20" s="29"/>
      <c r="I20" s="29"/>
      <c r="J20" s="29"/>
      <c r="K20" s="29"/>
    </row>
    <row r="21" spans="1:17" s="19" customFormat="1" x14ac:dyDescent="0.2"/>
    <row r="22" spans="1:17" x14ac:dyDescent="0.2">
      <c r="A22" s="12" t="s">
        <v>35</v>
      </c>
      <c r="B22" s="7" t="s">
        <v>49</v>
      </c>
      <c r="C22" s="7" t="s">
        <v>68</v>
      </c>
      <c r="M22" s="12" t="s">
        <v>35</v>
      </c>
      <c r="N22" s="7" t="s">
        <v>49</v>
      </c>
      <c r="O22" s="7" t="s">
        <v>68</v>
      </c>
      <c r="P22" s="7" t="s">
        <v>101</v>
      </c>
    </row>
    <row r="23" spans="1:17" ht="28.5" x14ac:dyDescent="0.2">
      <c r="A23" s="3" t="str">
        <f t="shared" ref="A23:C27" si="6">M23</f>
        <v>Bater:
+claras em neves</v>
      </c>
      <c r="B23" s="3">
        <f t="shared" si="6"/>
        <v>3</v>
      </c>
      <c r="C23" s="88">
        <f t="shared" si="6"/>
        <v>10</v>
      </c>
      <c r="M23" s="3" t="s">
        <v>91</v>
      </c>
      <c r="N23" s="2">
        <v>3</v>
      </c>
      <c r="O23" s="2">
        <v>10</v>
      </c>
      <c r="P23" s="7">
        <v>1</v>
      </c>
    </row>
    <row r="24" spans="1:17" ht="57" x14ac:dyDescent="0.2">
      <c r="A24" s="3" t="str">
        <f t="shared" si="6"/>
        <v>Bater:
+acucar
+gemas
+manteiga</v>
      </c>
      <c r="B24" s="3">
        <f t="shared" si="6"/>
        <v>1</v>
      </c>
      <c r="C24" s="88">
        <f t="shared" si="6"/>
        <v>2</v>
      </c>
      <c r="M24" s="3" t="s">
        <v>90</v>
      </c>
      <c r="N24" s="2">
        <v>1</v>
      </c>
      <c r="O24" s="2">
        <v>2</v>
      </c>
      <c r="P24" s="7">
        <v>2</v>
      </c>
    </row>
    <row r="25" spans="1:17" ht="71.25" x14ac:dyDescent="0.2">
      <c r="A25" s="3" t="str">
        <f t="shared" si="6"/>
        <v>Misturar:
+leite
+farinha 
+fermento em po
+sal</v>
      </c>
      <c r="B25" s="3">
        <f t="shared" si="6"/>
        <v>1</v>
      </c>
      <c r="C25" s="88">
        <f t="shared" si="6"/>
        <v>2</v>
      </c>
      <c r="M25" s="3" t="s">
        <v>94</v>
      </c>
      <c r="N25" s="2">
        <v>1</v>
      </c>
      <c r="O25" s="2">
        <v>2</v>
      </c>
      <c r="P25" s="7">
        <v>3</v>
      </c>
    </row>
    <row r="26" spans="1:17" ht="42.75" x14ac:dyDescent="0.2">
      <c r="A26" s="3" t="str">
        <f t="shared" si="6"/>
        <v xml:space="preserve">Misturar:
+bowl 1 
+ bowl 2 </v>
      </c>
      <c r="B26" s="3">
        <f t="shared" si="6"/>
        <v>2</v>
      </c>
      <c r="C26" s="88">
        <f t="shared" si="6"/>
        <v>5</v>
      </c>
      <c r="M26" s="3" t="s">
        <v>102</v>
      </c>
      <c r="N26" s="2">
        <v>2</v>
      </c>
      <c r="O26" s="2">
        <v>5</v>
      </c>
      <c r="P26" s="7">
        <v>4</v>
      </c>
    </row>
    <row r="27" spans="1:17" ht="57" x14ac:dyDescent="0.2">
      <c r="A27" s="3" t="str">
        <f t="shared" si="6"/>
        <v>Untar forma com manteiga e farinha
Cozinhar no forno (200°C)</v>
      </c>
      <c r="B27" s="3">
        <f t="shared" si="6"/>
        <v>3</v>
      </c>
      <c r="C27" s="88">
        <f t="shared" si="6"/>
        <v>80</v>
      </c>
      <c r="M27" s="3" t="s">
        <v>55</v>
      </c>
      <c r="N27" s="2">
        <v>3</v>
      </c>
      <c r="O27" s="2">
        <v>80</v>
      </c>
      <c r="P27" s="7">
        <v>5</v>
      </c>
    </row>
    <row r="32" spans="1:17" x14ac:dyDescent="0.2">
      <c r="A32" s="16"/>
      <c r="B32" s="16"/>
      <c r="C32" s="16"/>
      <c r="M32" s="16"/>
      <c r="N32" s="16"/>
      <c r="O32" s="16"/>
      <c r="P32" s="16"/>
      <c r="Q32" s="16"/>
    </row>
    <row r="33" spans="1:17" s="16" customForma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18"/>
      <c r="M33" s="7"/>
      <c r="N33" s="7"/>
      <c r="O33" s="7"/>
      <c r="P33" s="7"/>
      <c r="Q33" s="7"/>
    </row>
  </sheetData>
  <conditionalFormatting sqref="F13:F19">
    <cfRule type="containsText" dxfId="13" priority="1" operator="containsText" text="ok">
      <formula>NOT(ISERROR(SEARCH("ok",F13)))</formula>
    </cfRule>
    <cfRule type="cellIs" dxfId="12" priority="2" operator="lessThan">
      <formula>0</formula>
    </cfRule>
    <cfRule type="containsErrors" dxfId="11" priority="3">
      <formula>ISERROR(F13)</formula>
    </cfRule>
  </conditionalFormatting>
  <pageMargins left="0.7" right="0.7" top="0.75" bottom="0.75" header="0.3" footer="0.3"/>
  <pageSetup orientation="portrait" horizontalDpi="1200" verticalDpi="120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opLeftCell="E1" zoomScaleNormal="100" workbookViewId="0">
      <selection activeCell="B10" sqref="B10"/>
    </sheetView>
  </sheetViews>
  <sheetFormatPr defaultRowHeight="14.25" x14ac:dyDescent="0.2"/>
  <cols>
    <col min="1" max="1" width="53.85546875" style="7" bestFit="1" customWidth="1"/>
    <col min="2" max="2" width="8.28515625" style="7" bestFit="1" customWidth="1"/>
    <col min="3" max="3" width="13.85546875" style="7" bestFit="1" customWidth="1"/>
    <col min="4" max="4" width="11.28515625" style="7" customWidth="1"/>
    <col min="5" max="5" width="8.5703125" style="7" customWidth="1"/>
    <col min="6" max="6" width="9.7109375" style="7" customWidth="1"/>
    <col min="7" max="7" width="8" style="7" bestFit="1" customWidth="1"/>
    <col min="8" max="8" width="8" style="7" customWidth="1"/>
    <col min="9" max="9" width="14.140625" style="7" bestFit="1" customWidth="1"/>
    <col min="10" max="11" width="8.28515625" style="7" bestFit="1" customWidth="1"/>
    <col min="12" max="12" width="11" style="19" bestFit="1" customWidth="1"/>
    <col min="13" max="13" width="18.42578125" style="7" bestFit="1" customWidth="1"/>
    <col min="14" max="14" width="8.28515625" style="7" bestFit="1" customWidth="1"/>
    <col min="15" max="15" width="13.85546875" style="7" bestFit="1" customWidth="1"/>
    <col min="16" max="16" width="11.28515625" style="7" bestFit="1" customWidth="1"/>
    <col min="17" max="17" width="8.5703125" style="7" bestFit="1" customWidth="1"/>
    <col min="18" max="18" width="9.140625" style="7"/>
    <col min="19" max="19" width="14.140625" style="7" bestFit="1" customWidth="1"/>
    <col min="20" max="20" width="8.28515625" style="7" bestFit="1" customWidth="1"/>
    <col min="21" max="21" width="13.7109375" style="7" bestFit="1" customWidth="1"/>
    <col min="22" max="16384" width="9.140625" style="7"/>
  </cols>
  <sheetData>
    <row r="1" spans="1:21" s="6" customFormat="1" ht="51" x14ac:dyDescent="0.75">
      <c r="A1" s="30" t="s">
        <v>103</v>
      </c>
      <c r="B1" s="4"/>
      <c r="C1" s="4"/>
      <c r="D1" s="4"/>
      <c r="E1" s="4"/>
      <c r="F1" s="5"/>
      <c r="G1" s="5"/>
      <c r="H1" s="5"/>
      <c r="I1" s="5"/>
      <c r="J1" s="5"/>
      <c r="K1" s="5"/>
      <c r="L1" s="34"/>
    </row>
    <row r="2" spans="1:21" s="19" customFormat="1" x14ac:dyDescent="0.2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</row>
    <row r="3" spans="1:21" s="16" customFormat="1" x14ac:dyDescent="0.2">
      <c r="A3" s="14"/>
      <c r="B3" s="14"/>
      <c r="C3" s="14"/>
      <c r="D3" s="14"/>
      <c r="E3" s="14"/>
      <c r="F3" s="15"/>
      <c r="G3" s="15"/>
      <c r="H3" s="15"/>
      <c r="I3" s="15"/>
      <c r="J3" s="15"/>
      <c r="K3" s="15"/>
      <c r="L3" s="18"/>
    </row>
    <row r="4" spans="1:21" s="21" customFormat="1" x14ac:dyDescent="0.2">
      <c r="A4" s="21" t="s">
        <v>64</v>
      </c>
      <c r="L4" s="19"/>
      <c r="M4" s="20" t="s">
        <v>63</v>
      </c>
    </row>
    <row r="5" spans="1:21" s="16" customFormat="1" ht="15" thickBot="1" x14ac:dyDescent="0.25">
      <c r="L5" s="19"/>
    </row>
    <row r="6" spans="1:21" s="16" customFormat="1" ht="15.75" thickBot="1" x14ac:dyDescent="0.3">
      <c r="A6" s="22" t="s">
        <v>116</v>
      </c>
      <c r="B6" s="10">
        <f>INDEX(CookMenu[N° of servings 
(STD)],MATCH(A1,CookMenu[Name],0))</f>
        <v>12</v>
      </c>
      <c r="E6" s="14"/>
      <c r="F6" s="15"/>
      <c r="G6" s="15"/>
      <c r="H6" s="15"/>
      <c r="I6" s="15"/>
      <c r="J6" s="15"/>
      <c r="K6" s="15"/>
      <c r="L6" s="18"/>
    </row>
    <row r="7" spans="1:21" s="16" customFormat="1" ht="15.75" thickBot="1" x14ac:dyDescent="0.3">
      <c r="A7" s="22" t="s">
        <v>117</v>
      </c>
      <c r="B7" s="10">
        <f>INDEX(CookMenu[N° of servings 
(PLAN)],MATCH(A1,CookMenu[Name],0))</f>
        <v>12</v>
      </c>
      <c r="E7" s="14"/>
      <c r="F7" s="15"/>
      <c r="G7" s="15"/>
      <c r="H7" s="15"/>
      <c r="I7" s="15"/>
      <c r="J7" s="15"/>
      <c r="K7" s="15"/>
      <c r="L7" s="18"/>
    </row>
    <row r="8" spans="1:21" s="16" customFormat="1" ht="15.75" thickBot="1" x14ac:dyDescent="0.3">
      <c r="A8" s="22" t="s">
        <v>31</v>
      </c>
      <c r="B8" s="27">
        <f>K14</f>
        <v>0</v>
      </c>
      <c r="C8" s="15" t="s">
        <v>74</v>
      </c>
      <c r="E8" s="14"/>
      <c r="F8" s="15"/>
      <c r="G8" s="15"/>
      <c r="H8" s="15"/>
      <c r="I8" s="15"/>
      <c r="J8" s="15"/>
      <c r="K8" s="15"/>
      <c r="L8" s="18"/>
    </row>
    <row r="9" spans="1:21" s="16" customFormat="1" ht="15.75" thickBot="1" x14ac:dyDescent="0.3">
      <c r="A9" s="22" t="s">
        <v>113</v>
      </c>
      <c r="B9" s="50">
        <v>0</v>
      </c>
      <c r="C9" s="15" t="s">
        <v>0</v>
      </c>
      <c r="E9" s="14"/>
      <c r="F9" s="15"/>
      <c r="G9" s="15"/>
      <c r="H9" s="15"/>
      <c r="I9" s="15"/>
      <c r="J9" s="15"/>
      <c r="K9" s="15"/>
      <c r="L9" s="18"/>
    </row>
    <row r="10" spans="1:21" s="16" customFormat="1" ht="15" x14ac:dyDescent="0.25">
      <c r="A10" s="23" t="s">
        <v>62</v>
      </c>
      <c r="B10" s="11">
        <f>INDEX(CookMenu[Ration],MATCH(A1,CookMenu[Name],0))</f>
        <v>1</v>
      </c>
      <c r="E10" s="14"/>
      <c r="F10" s="15"/>
      <c r="G10" s="15"/>
      <c r="H10" s="15"/>
      <c r="I10" s="15"/>
      <c r="J10" s="15"/>
      <c r="K10" s="15"/>
      <c r="L10" s="18"/>
    </row>
    <row r="11" spans="1:21" s="16" customFormat="1" x14ac:dyDescent="0.2">
      <c r="A11" s="14"/>
      <c r="B11" s="14"/>
      <c r="C11" s="14"/>
      <c r="D11" s="14"/>
      <c r="E11" s="14"/>
      <c r="F11" s="15"/>
      <c r="G11" s="15"/>
      <c r="H11" s="15"/>
      <c r="I11" s="15"/>
      <c r="J11" s="15"/>
      <c r="K11" s="15"/>
      <c r="L11" s="18"/>
    </row>
    <row r="12" spans="1:21" x14ac:dyDescent="0.2">
      <c r="A12" s="7" t="s">
        <v>32</v>
      </c>
      <c r="B12" s="7" t="s">
        <v>65</v>
      </c>
      <c r="C12" s="7" t="s">
        <v>33</v>
      </c>
      <c r="D12" s="7" t="s">
        <v>66</v>
      </c>
      <c r="E12" s="7" t="s">
        <v>45</v>
      </c>
      <c r="F12" s="7" t="s">
        <v>57</v>
      </c>
      <c r="G12" s="7" t="s">
        <v>77</v>
      </c>
      <c r="I12" s="7" t="s">
        <v>34</v>
      </c>
      <c r="J12" s="7" t="s">
        <v>49</v>
      </c>
      <c r="K12" s="7" t="s">
        <v>73</v>
      </c>
      <c r="M12" s="7" t="s">
        <v>32</v>
      </c>
      <c r="N12" s="7" t="s">
        <v>65</v>
      </c>
      <c r="O12" s="7" t="s">
        <v>33</v>
      </c>
      <c r="P12" s="7" t="s">
        <v>66</v>
      </c>
      <c r="Q12" s="7" t="s">
        <v>45</v>
      </c>
      <c r="S12" s="7" t="s">
        <v>34</v>
      </c>
      <c r="T12" s="7" t="s">
        <v>49</v>
      </c>
      <c r="U12" s="7" t="s">
        <v>67</v>
      </c>
    </row>
    <row r="13" spans="1:21" x14ac:dyDescent="0.2">
      <c r="A13" s="7" t="str">
        <f t="shared" ref="A13:A19" si="0">M13</f>
        <v>acucar</v>
      </c>
      <c r="B13" s="26">
        <f t="shared" ref="B13:B19" si="1">N13*$B$10</f>
        <v>1.5</v>
      </c>
      <c r="C13" s="7" t="str">
        <f t="shared" ref="C13:C19" si="2">O13</f>
        <v>cup</v>
      </c>
      <c r="D13" s="39">
        <f t="shared" ref="D13:D19" si="3">P13*$B$10</f>
        <v>270</v>
      </c>
      <c r="E13" s="9" t="str">
        <f t="shared" ref="E13:E19" si="4">Q13</f>
        <v>g</v>
      </c>
      <c r="F13" s="9" t="str">
        <f>IF(INDEX(Reserve[RESERVE],MATCH(CCenoura_ING[[#This Row],[Ingredients]],Reserve[INGREDIENT],0))&gt;=0,"OK",INDEX(Reserve[RESERVE],MATCH(CCenoura_ING[[#This Row],[Ingredients]],Reserve[INGREDIENT],0)))</f>
        <v>OK</v>
      </c>
      <c r="G13" s="28" t="e">
        <f>INDEX(Reserve[Price/Unit],MATCH(CCenoura_ING[[#This Row],[Ingredients]],Reserve[INGREDIENT],0))*CCenoura_ING[[#This Row],[Volume ]]</f>
        <v>#DIV/0!</v>
      </c>
      <c r="H13" s="28"/>
      <c r="I13" s="7" t="str">
        <f t="shared" ref="I13:J15" si="5">S13</f>
        <v>Liquidificador</v>
      </c>
      <c r="J13" s="7">
        <f t="shared" si="5"/>
        <v>1</v>
      </c>
      <c r="K13" s="24">
        <f>U13*$B$10</f>
        <v>0</v>
      </c>
      <c r="M13" s="7" t="s">
        <v>19</v>
      </c>
      <c r="N13" s="8">
        <v>1.5</v>
      </c>
      <c r="O13" s="7" t="s">
        <v>40</v>
      </c>
      <c r="P13" s="7">
        <v>270</v>
      </c>
      <c r="Q13" s="9" t="str">
        <f>INDEX(Reserve[UNIT],MATCH(Table2611[[#This Row],[Ingredients]],Reserve[INGREDIENT],0))</f>
        <v>g</v>
      </c>
      <c r="S13" s="7" t="s">
        <v>108</v>
      </c>
      <c r="T13" s="7">
        <v>1</v>
      </c>
      <c r="U13" s="7">
        <v>0</v>
      </c>
    </row>
    <row r="14" spans="1:21" x14ac:dyDescent="0.2">
      <c r="A14" s="7" t="str">
        <f t="shared" si="0"/>
        <v>cenoura</v>
      </c>
      <c r="B14" s="26">
        <f t="shared" si="1"/>
        <v>3</v>
      </c>
      <c r="C14" s="7" t="str">
        <f t="shared" si="2"/>
        <v>u</v>
      </c>
      <c r="D14" s="39">
        <f t="shared" si="3"/>
        <v>365</v>
      </c>
      <c r="E14" s="9" t="str">
        <f t="shared" si="4"/>
        <v>g</v>
      </c>
      <c r="F14" s="9" t="str">
        <f>IF(INDEX(Reserve[RESERVE],MATCH(CCenoura_ING[[#This Row],[Ingredients]],Reserve[INGREDIENT],0))&gt;=0,"OK",INDEX(Reserve[RESERVE],MATCH(CCenoura_ING[[#This Row],[Ingredients]],Reserve[INGREDIENT],0)))</f>
        <v>OK</v>
      </c>
      <c r="G14" s="28" t="e">
        <f>INDEX(Reserve[Price/Unit],MATCH(CCenoura_ING[[#This Row],[Ingredients]],Reserve[INGREDIENT],0))*CCenoura_ING[[#This Row],[Volume ]]</f>
        <v>#DIV/0!</v>
      </c>
      <c r="H14" s="28"/>
      <c r="I14" s="7" t="str">
        <f t="shared" si="5"/>
        <v>Batedeira</v>
      </c>
      <c r="J14" s="7">
        <f t="shared" si="5"/>
        <v>2</v>
      </c>
      <c r="K14" s="24">
        <f>U14*$B$10</f>
        <v>0</v>
      </c>
      <c r="M14" s="7" t="s">
        <v>104</v>
      </c>
      <c r="N14" s="8">
        <v>3</v>
      </c>
      <c r="O14" s="7" t="s">
        <v>17</v>
      </c>
      <c r="P14" s="7">
        <v>365</v>
      </c>
      <c r="Q14" s="9" t="str">
        <f>INDEX(Reserve[UNIT],MATCH(Table2611[[#This Row],[Ingredients]],Reserve[INGREDIENT],0))</f>
        <v>g</v>
      </c>
      <c r="S14" s="7" t="s">
        <v>46</v>
      </c>
      <c r="T14" s="7">
        <v>2</v>
      </c>
      <c r="U14" s="7">
        <v>0</v>
      </c>
    </row>
    <row r="15" spans="1:21" x14ac:dyDescent="0.2">
      <c r="A15" s="7" t="str">
        <f t="shared" si="0"/>
        <v>farinha - trigo</v>
      </c>
      <c r="B15" s="26">
        <f t="shared" si="1"/>
        <v>3.5</v>
      </c>
      <c r="C15" s="7" t="str">
        <f t="shared" si="2"/>
        <v>cup</v>
      </c>
      <c r="D15" s="39">
        <f t="shared" si="3"/>
        <v>435</v>
      </c>
      <c r="E15" s="9" t="str">
        <f t="shared" si="4"/>
        <v>g</v>
      </c>
      <c r="F15" s="9" t="str">
        <f>IF(INDEX(Reserve[RESERVE],MATCH(CCenoura_ING[[#This Row],[Ingredients]],Reserve[INGREDIENT],0))&gt;=0,"OK",INDEX(Reserve[RESERVE],MATCH(CCenoura_ING[[#This Row],[Ingredients]],Reserve[INGREDIENT],0)))</f>
        <v>OK</v>
      </c>
      <c r="G15" s="28" t="e">
        <f>INDEX(Reserve[Price/Unit],MATCH(CCenoura_ING[[#This Row],[Ingredients]],Reserve[INGREDIENT],0))*CCenoura_ING[[#This Row],[Volume ]]</f>
        <v>#DIV/0!</v>
      </c>
      <c r="H15" s="28"/>
      <c r="I15" s="7" t="str">
        <f t="shared" si="5"/>
        <v>Forma</v>
      </c>
      <c r="J15" s="7">
        <f t="shared" si="5"/>
        <v>3</v>
      </c>
      <c r="K15" s="24">
        <f>U15*$B$10</f>
        <v>30</v>
      </c>
      <c r="M15" s="7" t="s">
        <v>87</v>
      </c>
      <c r="N15" s="8">
        <v>3.5</v>
      </c>
      <c r="O15" s="7" t="s">
        <v>40</v>
      </c>
      <c r="P15" s="7">
        <v>435</v>
      </c>
      <c r="Q15" s="9" t="str">
        <f>INDEX(Reserve[UNIT],MATCH(Table2611[[#This Row],[Ingredients]],Reserve[INGREDIENT],0))</f>
        <v>g</v>
      </c>
      <c r="S15" s="7" t="s">
        <v>47</v>
      </c>
      <c r="T15" s="7">
        <v>3</v>
      </c>
      <c r="U15" s="7">
        <v>30</v>
      </c>
    </row>
    <row r="16" spans="1:21" x14ac:dyDescent="0.2">
      <c r="A16" s="7" t="str">
        <f t="shared" si="0"/>
        <v>fermento em po</v>
      </c>
      <c r="B16" s="26">
        <f t="shared" si="1"/>
        <v>1.5</v>
      </c>
      <c r="C16" s="7" t="str">
        <f t="shared" si="2"/>
        <v>teaspoon</v>
      </c>
      <c r="D16" s="39">
        <f t="shared" si="3"/>
        <v>8</v>
      </c>
      <c r="E16" s="9" t="str">
        <f t="shared" si="4"/>
        <v>g</v>
      </c>
      <c r="F16" s="9" t="str">
        <f>IF(INDEX(Reserve[RESERVE],MATCH(CCenoura_ING[[#This Row],[Ingredients]],Reserve[INGREDIENT],0))&gt;=0,"OK",INDEX(Reserve[RESERVE],MATCH(CCenoura_ING[[#This Row],[Ingredients]],Reserve[INGREDIENT],0)))</f>
        <v>OK</v>
      </c>
      <c r="G16" s="28" t="e">
        <f>INDEX(Reserve[Price/Unit],MATCH(CCenoura_ING[[#This Row],[Ingredients]],Reserve[INGREDIENT],0))*CCenoura_ING[[#This Row],[Volume ]]</f>
        <v>#DIV/0!</v>
      </c>
      <c r="H16" s="28"/>
      <c r="I16" s="28"/>
      <c r="J16" s="28"/>
      <c r="K16" s="28"/>
      <c r="M16" s="7" t="s">
        <v>89</v>
      </c>
      <c r="N16" s="8">
        <v>1.5</v>
      </c>
      <c r="O16" s="7" t="s">
        <v>42</v>
      </c>
      <c r="P16" s="7">
        <v>8</v>
      </c>
      <c r="Q16" s="9" t="str">
        <f>INDEX(Reserve[UNIT],MATCH(Table2611[[#This Row],[Ingredients]],Reserve[INGREDIENT],0))</f>
        <v>g</v>
      </c>
    </row>
    <row r="17" spans="1:21" x14ac:dyDescent="0.2">
      <c r="A17" s="7" t="str">
        <f t="shared" si="0"/>
        <v>oleo</v>
      </c>
      <c r="B17" s="26">
        <f t="shared" si="1"/>
        <v>1</v>
      </c>
      <c r="C17" s="7" t="str">
        <f t="shared" si="2"/>
        <v>cup</v>
      </c>
      <c r="D17" s="39">
        <f t="shared" si="3"/>
        <v>250</v>
      </c>
      <c r="E17" s="9" t="str">
        <f t="shared" si="4"/>
        <v>ml</v>
      </c>
      <c r="F17" s="9" t="str">
        <f>IF(INDEX(Reserve[RESERVE],MATCH(CCenoura_ING[[#This Row],[Ingredients]],Reserve[INGREDIENT],0))&gt;=0,"OK",INDEX(Reserve[RESERVE],MATCH(CCenoura_ING[[#This Row],[Ingredients]],Reserve[INGREDIENT],0)))</f>
        <v>OK</v>
      </c>
      <c r="G17" s="28" t="e">
        <f>INDEX(Reserve[Price/Unit],MATCH(CCenoura_ING[[#This Row],[Ingredients]],Reserve[INGREDIENT],0))*CCenoura_ING[[#This Row],[Volume ]]</f>
        <v>#DIV/0!</v>
      </c>
      <c r="H17" s="28"/>
      <c r="I17" s="28"/>
      <c r="J17" s="28"/>
      <c r="K17" s="28"/>
      <c r="M17" s="7" t="s">
        <v>105</v>
      </c>
      <c r="N17" s="8">
        <v>1</v>
      </c>
      <c r="O17" s="7" t="s">
        <v>40</v>
      </c>
      <c r="P17" s="7">
        <v>250</v>
      </c>
      <c r="Q17" s="9" t="str">
        <f>INDEX(Reserve[UNIT],MATCH(Table2611[[#This Row],[Ingredients]],Reserve[INGREDIENT],0))</f>
        <v>ml</v>
      </c>
    </row>
    <row r="18" spans="1:21" x14ac:dyDescent="0.2">
      <c r="A18" s="7" t="str">
        <f t="shared" si="0"/>
        <v>ovo</v>
      </c>
      <c r="B18" s="26">
        <f t="shared" si="1"/>
        <v>4</v>
      </c>
      <c r="C18" s="7" t="str">
        <f t="shared" si="2"/>
        <v>u</v>
      </c>
      <c r="D18" s="39">
        <f t="shared" si="3"/>
        <v>4</v>
      </c>
      <c r="E18" s="33" t="str">
        <f t="shared" si="4"/>
        <v>u</v>
      </c>
      <c r="F18" s="33" t="str">
        <f>IF(INDEX(Reserve[RESERVE],MATCH(CCenoura_ING[[#This Row],[Ingredients]],Reserve[INGREDIENT],0))&gt;=0,"OK",INDEX(Reserve[RESERVE],MATCH(CCenoura_ING[[#This Row],[Ingredients]],Reserve[INGREDIENT],0)))</f>
        <v>OK</v>
      </c>
      <c r="G18" s="31" t="e">
        <f>INDEX(Reserve[Price/Unit],MATCH(CCenoura_ING[[#This Row],[Ingredients]],Reserve[INGREDIENT],0))*CCenoura_ING[[#This Row],[Volume ]]</f>
        <v>#DIV/0!</v>
      </c>
      <c r="H18" s="31"/>
      <c r="I18" s="31"/>
      <c r="J18" s="31"/>
      <c r="K18" s="31"/>
      <c r="M18" s="7" t="s">
        <v>58</v>
      </c>
      <c r="N18" s="8">
        <v>4</v>
      </c>
      <c r="O18" s="7" t="s">
        <v>17</v>
      </c>
      <c r="P18" s="32">
        <v>4</v>
      </c>
      <c r="Q18" s="33" t="str">
        <f>INDEX(Reserve[UNIT],MATCH(Table2611[[#This Row],[Ingredients]],Reserve[INGREDIENT],0))</f>
        <v>u</v>
      </c>
    </row>
    <row r="19" spans="1:21" x14ac:dyDescent="0.2">
      <c r="A19" s="7" t="str">
        <f t="shared" si="0"/>
        <v>sal</v>
      </c>
      <c r="B19" s="26">
        <f t="shared" si="1"/>
        <v>0.25</v>
      </c>
      <c r="C19" s="7" t="str">
        <f t="shared" si="2"/>
        <v>teaspoon</v>
      </c>
      <c r="D19" s="39">
        <f t="shared" si="3"/>
        <v>2</v>
      </c>
      <c r="E19" s="33" t="str">
        <f t="shared" si="4"/>
        <v>g</v>
      </c>
      <c r="F19" s="33" t="str">
        <f>IF(INDEX(Reserve[RESERVE],MATCH(CCenoura_ING[[#This Row],[Ingredients]],Reserve[INGREDIENT],0))&gt;=0,"OK",INDEX(Reserve[RESERVE],MATCH(CCenoura_ING[[#This Row],[Ingredients]],Reserve[INGREDIENT],0)))</f>
        <v>OK</v>
      </c>
      <c r="G19" s="31" t="e">
        <f>INDEX(Reserve[Price/Unit],MATCH(CCenoura_ING[[#This Row],[Ingredients]],Reserve[INGREDIENT],0))*CCenoura_ING[[#This Row],[Volume ]]</f>
        <v>#DIV/0!</v>
      </c>
      <c r="H19" s="31"/>
      <c r="I19" s="31"/>
      <c r="J19" s="31"/>
      <c r="K19" s="31"/>
      <c r="M19" s="7" t="s">
        <v>59</v>
      </c>
      <c r="N19" s="8">
        <v>0.25</v>
      </c>
      <c r="O19" s="7" t="s">
        <v>42</v>
      </c>
      <c r="P19" s="7">
        <v>2</v>
      </c>
      <c r="Q19" s="9" t="str">
        <f>INDEX(Reserve[UNIT],MATCH(Table2611[[#This Row],[Ingredients]],Reserve[INGREDIENT],0))</f>
        <v>g</v>
      </c>
    </row>
    <row r="20" spans="1:21" ht="15" x14ac:dyDescent="0.25">
      <c r="A20"/>
      <c r="B20"/>
      <c r="C20"/>
      <c r="D20"/>
      <c r="E20"/>
      <c r="F20" t="s">
        <v>78</v>
      </c>
      <c r="G20" s="29" t="e">
        <f>SUBTOTAL(109,CCenoura_ING[Cost])</f>
        <v>#DIV/0!</v>
      </c>
      <c r="H20" s="29"/>
      <c r="I20" s="29"/>
      <c r="J20" s="29"/>
      <c r="K20" s="29"/>
    </row>
    <row r="21" spans="1:21" s="19" customFormat="1" x14ac:dyDescent="0.2"/>
    <row r="22" spans="1:21" ht="15" x14ac:dyDescent="0.25">
      <c r="A22" s="12" t="s">
        <v>35</v>
      </c>
      <c r="B22" s="7" t="s">
        <v>49</v>
      </c>
      <c r="C22" s="7" t="s">
        <v>68</v>
      </c>
      <c r="M22" s="76" t="s">
        <v>35</v>
      </c>
      <c r="N22" s="77" t="s">
        <v>49</v>
      </c>
      <c r="O22" s="77" t="s">
        <v>68</v>
      </c>
      <c r="P22" s="78" t="s">
        <v>101</v>
      </c>
    </row>
    <row r="23" spans="1:21" ht="71.25" x14ac:dyDescent="0.2">
      <c r="A23" s="3" t="str">
        <f t="shared" ref="A23:C24" si="6">M23</f>
        <v>Liquidificador:
+cenoura
+oleo
+ovos
+sal</v>
      </c>
      <c r="B23" s="3">
        <f t="shared" si="6"/>
        <v>1</v>
      </c>
      <c r="C23" s="87">
        <f t="shared" ref="C23:C25" si="7">O23</f>
        <v>1</v>
      </c>
      <c r="M23" s="79" t="s">
        <v>106</v>
      </c>
      <c r="N23" s="80">
        <v>1</v>
      </c>
      <c r="O23" s="80">
        <v>1</v>
      </c>
      <c r="P23" s="81">
        <v>1</v>
      </c>
    </row>
    <row r="24" spans="1:21" ht="71.25" x14ac:dyDescent="0.2">
      <c r="A24" s="3" t="str">
        <f t="shared" si="6"/>
        <v>Batedeira:
+bowl1
+acucar
+farinha - trigo
+fermento em po</v>
      </c>
      <c r="B24" s="3">
        <f t="shared" si="6"/>
        <v>2</v>
      </c>
      <c r="C24" s="87">
        <f t="shared" si="7"/>
        <v>1</v>
      </c>
      <c r="M24" s="82" t="s">
        <v>107</v>
      </c>
      <c r="N24" s="83">
        <v>2</v>
      </c>
      <c r="O24" s="83">
        <v>1</v>
      </c>
      <c r="P24" s="84">
        <v>2</v>
      </c>
    </row>
    <row r="25" spans="1:21" ht="57" x14ac:dyDescent="0.2">
      <c r="A25" s="3" t="str">
        <f>M25</f>
        <v>Untar forma com manteiga e farinha
Cozinhar no forno (200°C)</v>
      </c>
      <c r="B25" s="3">
        <f>N25</f>
        <v>3</v>
      </c>
      <c r="C25" s="87">
        <f t="shared" si="7"/>
        <v>50</v>
      </c>
      <c r="M25" s="85" t="s">
        <v>55</v>
      </c>
      <c r="N25" s="86">
        <v>3</v>
      </c>
      <c r="O25" s="86">
        <v>50</v>
      </c>
      <c r="P25" s="75">
        <v>3</v>
      </c>
    </row>
    <row r="31" spans="1:21" x14ac:dyDescent="0.2">
      <c r="M31" s="16"/>
      <c r="N31" s="16"/>
      <c r="O31" s="16"/>
      <c r="P31" s="16"/>
    </row>
    <row r="32" spans="1:21" x14ac:dyDescent="0.2">
      <c r="Q32" s="16"/>
      <c r="S32" s="16"/>
      <c r="T32" s="16"/>
      <c r="U32" s="16"/>
    </row>
    <row r="33" spans="1:21" s="16" customForma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18"/>
      <c r="M33" s="7"/>
      <c r="N33" s="7"/>
      <c r="O33" s="7"/>
      <c r="P33" s="7"/>
      <c r="Q33" s="7"/>
      <c r="S33" s="7"/>
      <c r="T33" s="7"/>
      <c r="U33" s="7"/>
    </row>
  </sheetData>
  <conditionalFormatting sqref="F13:F19">
    <cfRule type="containsText" dxfId="10" priority="1" operator="containsText" text="ok">
      <formula>NOT(ISERROR(SEARCH("ok",F13)))</formula>
    </cfRule>
    <cfRule type="cellIs" dxfId="9" priority="2" operator="lessThan">
      <formula>0</formula>
    </cfRule>
    <cfRule type="containsErrors" dxfId="8" priority="3">
      <formula>ISERROR(F13)</formula>
    </cfRule>
  </conditionalFormatting>
  <pageMargins left="0.7" right="0.7" top="0.75" bottom="0.75" header="0.3" footer="0.3"/>
  <pageSetup orientation="portrait" horizontalDpi="1200" verticalDpi="1200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opLeftCell="F4" zoomScaleNormal="100" workbookViewId="0">
      <selection activeCell="B10" sqref="B10"/>
    </sheetView>
  </sheetViews>
  <sheetFormatPr defaultRowHeight="14.25" x14ac:dyDescent="0.2"/>
  <cols>
    <col min="1" max="1" width="31.7109375" style="7" bestFit="1" customWidth="1"/>
    <col min="2" max="2" width="8.28515625" style="7" bestFit="1" customWidth="1"/>
    <col min="3" max="3" width="13.85546875" style="7" bestFit="1" customWidth="1"/>
    <col min="4" max="4" width="11.28515625" style="7" customWidth="1"/>
    <col min="5" max="5" width="8.5703125" style="7" customWidth="1"/>
    <col min="6" max="6" width="9.7109375" style="7" customWidth="1"/>
    <col min="7" max="7" width="8" style="7" bestFit="1" customWidth="1"/>
    <col min="8" max="8" width="8" style="7" customWidth="1"/>
    <col min="9" max="9" width="16.42578125" style="7" bestFit="1" customWidth="1"/>
    <col min="10" max="11" width="8.28515625" style="7" bestFit="1" customWidth="1"/>
    <col min="12" max="12" width="11" style="19" bestFit="1" customWidth="1"/>
    <col min="13" max="13" width="18.7109375" style="7" customWidth="1"/>
    <col min="14" max="14" width="8.28515625" style="7" bestFit="1" customWidth="1"/>
    <col min="15" max="15" width="13.85546875" style="7" bestFit="1" customWidth="1"/>
    <col min="16" max="16" width="13.5703125" style="9" bestFit="1" customWidth="1"/>
    <col min="17" max="17" width="8.5703125" style="7" bestFit="1" customWidth="1"/>
    <col min="18" max="18" width="9.140625" style="7"/>
    <col min="19" max="19" width="16.42578125" style="7" bestFit="1" customWidth="1"/>
    <col min="20" max="20" width="8.28515625" style="7" bestFit="1" customWidth="1"/>
    <col min="21" max="21" width="13.7109375" style="7" bestFit="1" customWidth="1"/>
    <col min="22" max="16384" width="9.140625" style="7"/>
  </cols>
  <sheetData>
    <row r="1" spans="1:21" s="6" customFormat="1" ht="51" x14ac:dyDescent="0.75">
      <c r="A1" s="30" t="s">
        <v>50</v>
      </c>
      <c r="B1" s="4"/>
      <c r="C1" s="4"/>
      <c r="D1" s="4"/>
      <c r="E1" s="4"/>
      <c r="F1" s="5"/>
      <c r="G1" s="5"/>
      <c r="H1" s="5"/>
      <c r="I1" s="5"/>
      <c r="J1" s="5"/>
      <c r="K1" s="5"/>
      <c r="L1" s="34"/>
      <c r="P1" s="35"/>
    </row>
    <row r="2" spans="1:21" s="19" customFormat="1" x14ac:dyDescent="0.2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P2" s="18"/>
    </row>
    <row r="3" spans="1:21" s="16" customFormat="1" x14ac:dyDescent="0.2">
      <c r="A3" s="14"/>
      <c r="B3" s="14"/>
      <c r="C3" s="14"/>
      <c r="D3" s="14"/>
      <c r="E3" s="14"/>
      <c r="F3" s="15"/>
      <c r="G3" s="15"/>
      <c r="H3" s="15"/>
      <c r="I3" s="15"/>
      <c r="J3" s="15"/>
      <c r="K3" s="15"/>
      <c r="L3" s="18"/>
      <c r="P3" s="15"/>
    </row>
    <row r="4" spans="1:21" s="21" customFormat="1" x14ac:dyDescent="0.2">
      <c r="A4" s="21" t="s">
        <v>64</v>
      </c>
      <c r="L4" s="19"/>
      <c r="M4" s="20" t="s">
        <v>63</v>
      </c>
      <c r="P4" s="36"/>
    </row>
    <row r="5" spans="1:21" s="16" customFormat="1" ht="15" thickBot="1" x14ac:dyDescent="0.25">
      <c r="L5" s="19"/>
      <c r="P5" s="15"/>
    </row>
    <row r="6" spans="1:21" s="16" customFormat="1" ht="15.75" thickBot="1" x14ac:dyDescent="0.3">
      <c r="A6" s="22" t="s">
        <v>116</v>
      </c>
      <c r="B6" s="10">
        <f>INDEX(CookMenu[N° of servings 
(STD)],MATCH(A1,CookMenu[Name],0))</f>
        <v>12</v>
      </c>
      <c r="E6" s="14"/>
      <c r="F6" s="15"/>
      <c r="G6" s="15"/>
      <c r="H6" s="15"/>
      <c r="I6" s="15"/>
      <c r="J6" s="15"/>
      <c r="K6" s="15"/>
      <c r="L6" s="18"/>
      <c r="P6" s="15"/>
    </row>
    <row r="7" spans="1:21" s="16" customFormat="1" ht="15.75" thickBot="1" x14ac:dyDescent="0.3">
      <c r="A7" s="22" t="s">
        <v>117</v>
      </c>
      <c r="B7" s="10">
        <f>INDEX(CookMenu[N° of servings 
(PLAN)],MATCH(A1,CookMenu[Name],0))</f>
        <v>12</v>
      </c>
      <c r="E7" s="14"/>
      <c r="F7" s="15"/>
      <c r="G7" s="15"/>
      <c r="H7" s="15"/>
      <c r="I7" s="15"/>
      <c r="J7" s="15"/>
      <c r="K7" s="15"/>
      <c r="L7" s="18"/>
      <c r="P7" s="15"/>
    </row>
    <row r="8" spans="1:21" s="16" customFormat="1" ht="15.75" thickBot="1" x14ac:dyDescent="0.3">
      <c r="A8" s="22" t="s">
        <v>31</v>
      </c>
      <c r="B8" s="27">
        <f>K15</f>
        <v>0</v>
      </c>
      <c r="C8" s="15" t="s">
        <v>74</v>
      </c>
      <c r="E8" s="14"/>
      <c r="F8" s="15"/>
      <c r="G8" s="15"/>
      <c r="H8" s="15"/>
      <c r="I8" s="15"/>
      <c r="J8" s="15"/>
      <c r="K8" s="15"/>
      <c r="L8" s="18"/>
      <c r="P8" s="15"/>
    </row>
    <row r="9" spans="1:21" s="16" customFormat="1" ht="15.75" thickBot="1" x14ac:dyDescent="0.3">
      <c r="A9" s="22" t="s">
        <v>113</v>
      </c>
      <c r="B9" s="50">
        <v>0</v>
      </c>
      <c r="C9" s="15" t="s">
        <v>0</v>
      </c>
      <c r="E9" s="14"/>
      <c r="F9" s="15"/>
      <c r="G9" s="15"/>
      <c r="H9" s="15"/>
      <c r="I9" s="15"/>
      <c r="J9" s="15"/>
      <c r="K9" s="15"/>
      <c r="L9" s="18"/>
      <c r="P9" s="15"/>
    </row>
    <row r="10" spans="1:21" s="16" customFormat="1" ht="15" x14ac:dyDescent="0.25">
      <c r="A10" s="23" t="s">
        <v>62</v>
      </c>
      <c r="B10" s="11">
        <f>INDEX(CookMenu[Ration],MATCH(A1,CookMenu[Name],0))</f>
        <v>1</v>
      </c>
      <c r="E10" s="14"/>
      <c r="F10" s="15"/>
      <c r="G10" s="15"/>
      <c r="H10" s="15"/>
      <c r="I10" s="15"/>
      <c r="J10" s="15"/>
      <c r="K10" s="15"/>
      <c r="L10" s="18"/>
      <c r="P10" s="15"/>
    </row>
    <row r="11" spans="1:21" s="16" customFormat="1" x14ac:dyDescent="0.2">
      <c r="A11" s="14"/>
      <c r="B11" s="14"/>
      <c r="C11" s="14"/>
      <c r="D11" s="14"/>
      <c r="E11" s="14"/>
      <c r="F11" s="15"/>
      <c r="G11" s="15"/>
      <c r="H11" s="15"/>
      <c r="I11" s="15"/>
      <c r="J11" s="15"/>
      <c r="K11" s="15"/>
      <c r="L11" s="18"/>
      <c r="P11" s="15"/>
    </row>
    <row r="12" spans="1:21" x14ac:dyDescent="0.2">
      <c r="A12" s="7" t="s">
        <v>32</v>
      </c>
      <c r="B12" s="7" t="s">
        <v>65</v>
      </c>
      <c r="C12" s="7" t="s">
        <v>33</v>
      </c>
      <c r="D12" s="7" t="s">
        <v>66</v>
      </c>
      <c r="E12" s="7" t="s">
        <v>45</v>
      </c>
      <c r="F12" s="7" t="s">
        <v>57</v>
      </c>
      <c r="G12" s="7" t="s">
        <v>77</v>
      </c>
      <c r="I12" s="7" t="s">
        <v>34</v>
      </c>
      <c r="J12" s="7" t="s">
        <v>49</v>
      </c>
      <c r="K12" s="7" t="s">
        <v>73</v>
      </c>
      <c r="M12" s="7" t="s">
        <v>32</v>
      </c>
      <c r="N12" s="7" t="s">
        <v>65</v>
      </c>
      <c r="O12" s="7" t="s">
        <v>33</v>
      </c>
      <c r="P12" s="9" t="s">
        <v>66</v>
      </c>
      <c r="Q12" s="7" t="s">
        <v>45</v>
      </c>
      <c r="S12" s="7" t="s">
        <v>34</v>
      </c>
      <c r="T12" s="7" t="s">
        <v>49</v>
      </c>
      <c r="U12" s="7" t="s">
        <v>67</v>
      </c>
    </row>
    <row r="13" spans="1:21" x14ac:dyDescent="0.2">
      <c r="A13" s="7" t="str">
        <f t="shared" ref="A13:A20" si="0">M13</f>
        <v>acucar</v>
      </c>
      <c r="B13" s="26">
        <f t="shared" ref="B13:B20" si="1">N13*$B$10</f>
        <v>1.125</v>
      </c>
      <c r="C13" s="7" t="str">
        <f t="shared" ref="C13:C20" si="2">O13</f>
        <v>cup</v>
      </c>
      <c r="D13" s="39">
        <f t="shared" ref="D13:D20" si="3">P13*$B$10</f>
        <v>0</v>
      </c>
      <c r="E13" s="9" t="str">
        <f t="shared" ref="E13:E20" si="4">Q13</f>
        <v>g</v>
      </c>
      <c r="F13" s="9" t="str">
        <f>IF(INDEX(Reserve[RESERVE],MATCH(Brownies_ING[[#This Row],[Ingredients]],Reserve[INGREDIENT],0))&gt;=0,"OK",INDEX(Reserve[RESERVE],MATCH(Brownies_ING[[#This Row],[Ingredients]],Reserve[INGREDIENT],0)))</f>
        <v>OK</v>
      </c>
      <c r="G13" s="28" t="e">
        <f>INDEX(Reserve[Price/Unit],MATCH(Brownies_ING[[#This Row],[Ingredients]],Reserve[INGREDIENT],0))*Brownies_ING[[#This Row],[Volume ]]</f>
        <v>#DIV/0!</v>
      </c>
      <c r="H13" s="28"/>
      <c r="I13" s="7" t="str">
        <f t="shared" ref="I13:J15" si="5">S13</f>
        <v>Batedeira</v>
      </c>
      <c r="J13" s="7">
        <f t="shared" si="5"/>
        <v>2</v>
      </c>
      <c r="K13" s="24">
        <f>U13*$B$10</f>
        <v>0</v>
      </c>
      <c r="M13" s="7" t="s">
        <v>19</v>
      </c>
      <c r="N13" s="8">
        <f>1+1/8</f>
        <v>1.125</v>
      </c>
      <c r="O13" s="7" t="s">
        <v>40</v>
      </c>
      <c r="P13" s="9">
        <v>0</v>
      </c>
      <c r="Q13" s="9" t="str">
        <f>INDEX(Reserve[UNIT],MATCH(Table2[[#This Row],[Ingredients]],Reserve[INGREDIENT],0))</f>
        <v>g</v>
      </c>
      <c r="S13" s="7" t="s">
        <v>46</v>
      </c>
      <c r="T13" s="7">
        <v>2</v>
      </c>
      <c r="U13" s="7">
        <v>0</v>
      </c>
    </row>
    <row r="14" spans="1:21" x14ac:dyDescent="0.2">
      <c r="A14" s="7" t="str">
        <f t="shared" si="0"/>
        <v>chocolate em po</v>
      </c>
      <c r="B14" s="26">
        <f t="shared" si="1"/>
        <v>0.5</v>
      </c>
      <c r="C14" s="7" t="str">
        <f t="shared" si="2"/>
        <v>cup</v>
      </c>
      <c r="D14" s="39">
        <f t="shared" si="3"/>
        <v>0</v>
      </c>
      <c r="E14" s="9" t="str">
        <f t="shared" si="4"/>
        <v>g</v>
      </c>
      <c r="F14" s="9" t="str">
        <f>IF(INDEX(Reserve[RESERVE],MATCH(Brownies_ING[[#This Row],[Ingredients]],Reserve[INGREDIENT],0))&gt;=0,"OK",INDEX(Reserve[RESERVE],MATCH(Brownies_ING[[#This Row],[Ingredients]],Reserve[INGREDIENT],0)))</f>
        <v>OK</v>
      </c>
      <c r="G14" s="28" t="e">
        <f>INDEX(Reserve[Price/Unit],MATCH(Brownies_ING[[#This Row],[Ingredients]],Reserve[INGREDIENT],0))*Brownies_ING[[#This Row],[Volume ]]</f>
        <v>#DIV/0!</v>
      </c>
      <c r="H14" s="28"/>
      <c r="I14" s="7" t="str">
        <f t="shared" si="5"/>
        <v>Forma</v>
      </c>
      <c r="J14" s="7">
        <f t="shared" si="5"/>
        <v>3</v>
      </c>
      <c r="K14" s="24">
        <f>U14*$B$10</f>
        <v>0</v>
      </c>
      <c r="M14" s="7" t="s">
        <v>44</v>
      </c>
      <c r="N14" s="8">
        <v>0.5</v>
      </c>
      <c r="O14" s="7" t="s">
        <v>40</v>
      </c>
      <c r="P14" s="9">
        <v>0</v>
      </c>
      <c r="Q14" s="9" t="str">
        <f>INDEX(Reserve[UNIT],MATCH(Table2[[#This Row],[Ingredients]],Reserve[INGREDIENT],0))</f>
        <v>g</v>
      </c>
      <c r="S14" s="7" t="s">
        <v>47</v>
      </c>
      <c r="T14" s="7">
        <v>3</v>
      </c>
      <c r="U14" s="7">
        <v>0</v>
      </c>
    </row>
    <row r="15" spans="1:21" x14ac:dyDescent="0.2">
      <c r="A15" s="7" t="str">
        <f t="shared" si="0"/>
        <v>extrato de baunilha</v>
      </c>
      <c r="B15" s="26">
        <f t="shared" si="1"/>
        <v>2</v>
      </c>
      <c r="C15" s="7" t="str">
        <f t="shared" si="2"/>
        <v>teaspoon</v>
      </c>
      <c r="D15" s="39">
        <f t="shared" si="3"/>
        <v>0</v>
      </c>
      <c r="E15" s="9" t="str">
        <f t="shared" si="4"/>
        <v>ml</v>
      </c>
      <c r="F15" s="9" t="str">
        <f>IF(INDEX(Reserve[RESERVE],MATCH(Brownies_ING[[#This Row],[Ingredients]],Reserve[INGREDIENT],0))&gt;=0,"OK",INDEX(Reserve[RESERVE],MATCH(Brownies_ING[[#This Row],[Ingredients]],Reserve[INGREDIENT],0)))</f>
        <v>OK</v>
      </c>
      <c r="G15" s="28" t="e">
        <f>INDEX(Reserve[Price/Unit],MATCH(Brownies_ING[[#This Row],[Ingredients]],Reserve[INGREDIENT],0))*Brownies_ING[[#This Row],[Volume ]]</f>
        <v>#DIV/0!</v>
      </c>
      <c r="H15" s="28"/>
      <c r="I15" s="7" t="str">
        <f t="shared" si="5"/>
        <v>Vasilha pequena</v>
      </c>
      <c r="J15" s="7">
        <f t="shared" si="5"/>
        <v>1</v>
      </c>
      <c r="K15" s="24">
        <f>U15*$B$10</f>
        <v>0</v>
      </c>
      <c r="M15" s="7" t="s">
        <v>43</v>
      </c>
      <c r="N15" s="8">
        <v>2</v>
      </c>
      <c r="O15" s="7" t="s">
        <v>42</v>
      </c>
      <c r="P15" s="9">
        <v>0</v>
      </c>
      <c r="Q15" s="9" t="str">
        <f>INDEX(Reserve[UNIT],MATCH(Table2[[#This Row],[Ingredients]],Reserve[INGREDIENT],0))</f>
        <v>ml</v>
      </c>
      <c r="S15" s="7" t="s">
        <v>51</v>
      </c>
      <c r="T15" s="7">
        <v>1</v>
      </c>
      <c r="U15" s="7">
        <v>0</v>
      </c>
    </row>
    <row r="16" spans="1:21" x14ac:dyDescent="0.2">
      <c r="A16" s="7" t="str">
        <f t="shared" si="0"/>
        <v>farinha - milho</v>
      </c>
      <c r="B16" s="26">
        <f t="shared" si="1"/>
        <v>0.5</v>
      </c>
      <c r="C16" s="7" t="str">
        <f t="shared" si="2"/>
        <v>cup</v>
      </c>
      <c r="D16" s="39">
        <f t="shared" si="3"/>
        <v>0</v>
      </c>
      <c r="E16" s="9" t="str">
        <f t="shared" si="4"/>
        <v>g</v>
      </c>
      <c r="F16" s="9" t="str">
        <f>IF(INDEX(Reserve[RESERVE],MATCH(Brownies_ING[[#This Row],[Ingredients]],Reserve[INGREDIENT],0))&gt;=0,"OK",INDEX(Reserve[RESERVE],MATCH(Brownies_ING[[#This Row],[Ingredients]],Reserve[INGREDIENT],0)))</f>
        <v>OK</v>
      </c>
      <c r="G16" s="28" t="e">
        <f>INDEX(Reserve[Price/Unit],MATCH(Brownies_ING[[#This Row],[Ingredients]],Reserve[INGREDIENT],0))*Brownies_ING[[#This Row],[Volume ]]</f>
        <v>#DIV/0!</v>
      </c>
      <c r="H16" s="28"/>
      <c r="I16" s="28"/>
      <c r="J16" s="28"/>
      <c r="K16" s="28"/>
      <c r="M16" s="7" t="s">
        <v>18</v>
      </c>
      <c r="N16" s="8">
        <v>0.5</v>
      </c>
      <c r="O16" s="7" t="s">
        <v>40</v>
      </c>
      <c r="P16" s="9">
        <v>0</v>
      </c>
      <c r="Q16" s="9" t="str">
        <f>INDEX(Reserve[UNIT],MATCH(Table2[[#This Row],[Ingredients]],Reserve[INGREDIENT],0))</f>
        <v>g</v>
      </c>
    </row>
    <row r="17" spans="1:17" x14ac:dyDescent="0.2">
      <c r="A17" s="7" t="str">
        <f t="shared" si="0"/>
        <v>margarina</v>
      </c>
      <c r="B17" s="26">
        <f t="shared" si="1"/>
        <v>0.5</v>
      </c>
      <c r="C17" s="7" t="str">
        <f t="shared" si="2"/>
        <v>cup</v>
      </c>
      <c r="D17" s="39">
        <f t="shared" si="3"/>
        <v>0</v>
      </c>
      <c r="E17" s="9" t="str">
        <f t="shared" si="4"/>
        <v>g</v>
      </c>
      <c r="F17" s="9" t="str">
        <f>IF(INDEX(Reserve[RESERVE],MATCH(Brownies_ING[[#This Row],[Ingredients]],Reserve[INGREDIENT],0))&gt;=0,"OK",INDEX(Reserve[RESERVE],MATCH(Brownies_ING[[#This Row],[Ingredients]],Reserve[INGREDIENT],0)))</f>
        <v>OK</v>
      </c>
      <c r="G17" s="28" t="e">
        <f>INDEX(Reserve[Price/Unit],MATCH(Brownies_ING[[#This Row],[Ingredients]],Reserve[INGREDIENT],0))*Brownies_ING[[#This Row],[Volume ]]</f>
        <v>#DIV/0!</v>
      </c>
      <c r="H17" s="28"/>
      <c r="I17" s="28"/>
      <c r="J17" s="28"/>
      <c r="K17" s="28"/>
      <c r="M17" s="7" t="s">
        <v>93</v>
      </c>
      <c r="N17" s="8">
        <v>0.5</v>
      </c>
      <c r="O17" s="7" t="s">
        <v>40</v>
      </c>
      <c r="P17" s="9">
        <v>0</v>
      </c>
      <c r="Q17" s="9" t="str">
        <f>INDEX(Reserve[UNIT],MATCH(Table2[[#This Row],[Ingredients]],Reserve[INGREDIENT],0))</f>
        <v>g</v>
      </c>
    </row>
    <row r="18" spans="1:17" x14ac:dyDescent="0.2">
      <c r="A18" s="7" t="str">
        <f t="shared" si="0"/>
        <v>oleo</v>
      </c>
      <c r="B18" s="26">
        <f t="shared" si="1"/>
        <v>1</v>
      </c>
      <c r="C18" s="7" t="str">
        <f t="shared" si="2"/>
        <v>tablespoon</v>
      </c>
      <c r="D18" s="39">
        <f t="shared" si="3"/>
        <v>0</v>
      </c>
      <c r="E18" s="9" t="str">
        <f t="shared" si="4"/>
        <v>ml</v>
      </c>
      <c r="F18" s="9" t="str">
        <f>IF(INDEX(Reserve[RESERVE],MATCH(Brownies_ING[[#This Row],[Ingredients]],Reserve[INGREDIENT],0))&gt;=0,"OK",INDEX(Reserve[RESERVE],MATCH(Brownies_ING[[#This Row],[Ingredients]],Reserve[INGREDIENT],0)))</f>
        <v>OK</v>
      </c>
      <c r="G18" s="28" t="e">
        <f>INDEX(Reserve[Price/Unit],MATCH(Brownies_ING[[#This Row],[Ingredients]],Reserve[INGREDIENT],0))*Brownies_ING[[#This Row],[Volume ]]</f>
        <v>#DIV/0!</v>
      </c>
      <c r="H18" s="28"/>
      <c r="I18" s="28"/>
      <c r="J18" s="28"/>
      <c r="K18" s="28"/>
      <c r="M18" s="7" t="s">
        <v>105</v>
      </c>
      <c r="N18" s="8">
        <v>1</v>
      </c>
      <c r="O18" s="7" t="s">
        <v>41</v>
      </c>
      <c r="P18" s="9">
        <v>0</v>
      </c>
      <c r="Q18" s="9" t="str">
        <f>INDEX(Reserve[UNIT],MATCH(Table2[[#This Row],[Ingredients]],Reserve[INGREDIENT],0))</f>
        <v>ml</v>
      </c>
    </row>
    <row r="19" spans="1:17" x14ac:dyDescent="0.2">
      <c r="A19" s="7" t="str">
        <f t="shared" si="0"/>
        <v>ovo</v>
      </c>
      <c r="B19" s="26">
        <f t="shared" si="1"/>
        <v>2</v>
      </c>
      <c r="C19" s="7" t="str">
        <f t="shared" si="2"/>
        <v>u</v>
      </c>
      <c r="D19" s="39">
        <f t="shared" si="3"/>
        <v>2</v>
      </c>
      <c r="E19" s="9" t="str">
        <f t="shared" si="4"/>
        <v>u</v>
      </c>
      <c r="F19" s="9" t="str">
        <f>IF(INDEX(Reserve[RESERVE],MATCH(Brownies_ING[[#This Row],[Ingredients]],Reserve[INGREDIENT],0))&gt;=0,"OK",INDEX(Reserve[RESERVE],MATCH(Brownies_ING[[#This Row],[Ingredients]],Reserve[INGREDIENT],0)))</f>
        <v>OK</v>
      </c>
      <c r="G19" s="28" t="e">
        <f>INDEX(Reserve[Price/Unit],MATCH(Brownies_ING[[#This Row],[Ingredients]],Reserve[INGREDIENT],0))*Brownies_ING[[#This Row],[Volume ]]</f>
        <v>#DIV/0!</v>
      </c>
      <c r="H19" s="28"/>
      <c r="I19" s="28"/>
      <c r="J19" s="28"/>
      <c r="K19" s="28"/>
      <c r="M19" s="7" t="s">
        <v>58</v>
      </c>
      <c r="N19" s="8">
        <v>2</v>
      </c>
      <c r="O19" s="7" t="s">
        <v>17</v>
      </c>
      <c r="P19" s="9">
        <v>2</v>
      </c>
      <c r="Q19" s="9" t="str">
        <f>INDEX(Reserve[UNIT],MATCH(Table2[[#This Row],[Ingredients]],Reserve[INGREDIENT],0))</f>
        <v>u</v>
      </c>
    </row>
    <row r="20" spans="1:17" x14ac:dyDescent="0.2">
      <c r="A20" s="7" t="str">
        <f t="shared" si="0"/>
        <v>sal</v>
      </c>
      <c r="B20" s="26">
        <f t="shared" si="1"/>
        <v>0.25</v>
      </c>
      <c r="C20" s="7" t="str">
        <f t="shared" si="2"/>
        <v>teaspoon</v>
      </c>
      <c r="D20" s="39">
        <f t="shared" si="3"/>
        <v>0</v>
      </c>
      <c r="E20" s="9" t="str">
        <f t="shared" si="4"/>
        <v>g</v>
      </c>
      <c r="F20" s="9" t="str">
        <f>IF(INDEX(Reserve[RESERVE],MATCH(Brownies_ING[[#This Row],[Ingredients]],Reserve[INGREDIENT],0))&gt;=0,"OK",INDEX(Reserve[RESERVE],MATCH(Brownies_ING[[#This Row],[Ingredients]],Reserve[INGREDIENT],0)))</f>
        <v>OK</v>
      </c>
      <c r="G20" s="28" t="e">
        <f>INDEX(Reserve[Price/Unit],MATCH(Brownies_ING[[#This Row],[Ingredients]],Reserve[INGREDIENT],0))*Brownies_ING[[#This Row],[Volume ]]</f>
        <v>#DIV/0!</v>
      </c>
      <c r="H20" s="28"/>
      <c r="I20" s="28"/>
      <c r="J20" s="28"/>
      <c r="K20" s="28"/>
      <c r="M20" s="7" t="s">
        <v>59</v>
      </c>
      <c r="N20" s="8">
        <v>0.25</v>
      </c>
      <c r="O20" s="7" t="s">
        <v>42</v>
      </c>
      <c r="P20" s="9">
        <v>0</v>
      </c>
      <c r="Q20" s="9" t="str">
        <f>INDEX(Reserve[UNIT],MATCH(Table2[[#This Row],[Ingredients]],Reserve[INGREDIENT],0))</f>
        <v>g</v>
      </c>
    </row>
    <row r="21" spans="1:17" ht="15" x14ac:dyDescent="0.25">
      <c r="A21"/>
      <c r="B21"/>
      <c r="C21"/>
      <c r="D21"/>
      <c r="E21"/>
      <c r="F21" t="s">
        <v>78</v>
      </c>
      <c r="G21" s="29" t="e">
        <f>SUBTOTAL(109,Brownies_ING[Cost])</f>
        <v>#DIV/0!</v>
      </c>
      <c r="H21" s="29"/>
      <c r="I21" s="29"/>
      <c r="J21" s="29"/>
      <c r="K21" s="29"/>
    </row>
    <row r="22" spans="1:17" s="19" customFormat="1" x14ac:dyDescent="0.2">
      <c r="P22" s="18"/>
    </row>
    <row r="23" spans="1:17" x14ac:dyDescent="0.2">
      <c r="A23" s="12" t="s">
        <v>35</v>
      </c>
      <c r="B23" s="7" t="s">
        <v>49</v>
      </c>
      <c r="C23" s="7" t="s">
        <v>68</v>
      </c>
      <c r="M23" s="12" t="s">
        <v>35</v>
      </c>
      <c r="N23" s="7" t="s">
        <v>49</v>
      </c>
      <c r="O23" s="7" t="s">
        <v>68</v>
      </c>
      <c r="P23" s="37" t="s">
        <v>95</v>
      </c>
    </row>
    <row r="24" spans="1:17" ht="28.5" x14ac:dyDescent="0.2">
      <c r="A24" s="3" t="str">
        <f t="shared" ref="A24:B28" si="6">M24</f>
        <v>Derreter:
manteiga</v>
      </c>
      <c r="B24" s="3">
        <f t="shared" si="6"/>
        <v>1</v>
      </c>
      <c r="C24" s="25">
        <f>O24*$B$10</f>
        <v>0.5</v>
      </c>
      <c r="M24" s="3" t="s">
        <v>52</v>
      </c>
      <c r="N24" s="2">
        <v>1</v>
      </c>
      <c r="O24" s="2">
        <v>0.5</v>
      </c>
      <c r="P24" s="38" t="s">
        <v>96</v>
      </c>
    </row>
    <row r="25" spans="1:17" ht="85.5" x14ac:dyDescent="0.2">
      <c r="A25" s="3" t="str">
        <f t="shared" si="6"/>
        <v>Combinar na batedeira:
+manteiga (derretida) 
+oleo
+acucar</v>
      </c>
      <c r="B25" s="3">
        <f t="shared" si="6"/>
        <v>2</v>
      </c>
      <c r="C25" s="25">
        <f>O25*$B$10</f>
        <v>1</v>
      </c>
      <c r="M25" s="3" t="s">
        <v>53</v>
      </c>
      <c r="N25" s="2">
        <v>2</v>
      </c>
      <c r="O25" s="2">
        <v>1</v>
      </c>
      <c r="P25" s="38" t="s">
        <v>97</v>
      </c>
    </row>
    <row r="26" spans="1:17" ht="71.25" x14ac:dyDescent="0.2">
      <c r="A26" s="3" t="str">
        <f t="shared" si="6"/>
        <v>Combinar na batedeira:
+ovos
+extrato de baunilha</v>
      </c>
      <c r="B26" s="3">
        <f t="shared" si="6"/>
        <v>2</v>
      </c>
      <c r="C26" s="25">
        <f>O26*$B$10</f>
        <v>1</v>
      </c>
      <c r="M26" s="3" t="s">
        <v>54</v>
      </c>
      <c r="N26" s="2">
        <v>2</v>
      </c>
      <c r="O26" s="2">
        <v>1</v>
      </c>
      <c r="P26" s="38" t="s">
        <v>98</v>
      </c>
    </row>
    <row r="27" spans="1:17" ht="71.25" x14ac:dyDescent="0.2">
      <c r="A27" s="3" t="str">
        <f t="shared" si="6"/>
        <v>Usando uma peneira:
+farinha
+chocolate em po
+sal</v>
      </c>
      <c r="B27" s="3">
        <f t="shared" si="6"/>
        <v>2</v>
      </c>
      <c r="C27" s="25">
        <f>O27*$B$10</f>
        <v>2</v>
      </c>
      <c r="M27" s="3" t="s">
        <v>48</v>
      </c>
      <c r="N27" s="2">
        <v>2</v>
      </c>
      <c r="O27" s="2">
        <v>2</v>
      </c>
      <c r="P27" s="38" t="s">
        <v>99</v>
      </c>
    </row>
    <row r="28" spans="1:17" ht="57" x14ac:dyDescent="0.2">
      <c r="A28" s="3" t="str">
        <f t="shared" si="6"/>
        <v>Untar forma com manteiga e farinha
Cozinhar no forno (200°C)</v>
      </c>
      <c r="B28" s="3">
        <f t="shared" si="6"/>
        <v>3</v>
      </c>
      <c r="C28" s="25">
        <f>O28*$B$10</f>
        <v>25</v>
      </c>
      <c r="M28" s="3" t="s">
        <v>55</v>
      </c>
      <c r="N28" s="2">
        <v>3</v>
      </c>
      <c r="O28" s="2">
        <v>25</v>
      </c>
      <c r="P28" s="38" t="s">
        <v>100</v>
      </c>
    </row>
    <row r="33" spans="1:16" x14ac:dyDescent="0.2">
      <c r="A33" s="16"/>
      <c r="B33" s="16"/>
      <c r="C33" s="16"/>
      <c r="M33" s="16"/>
      <c r="N33" s="16"/>
      <c r="O33" s="16"/>
      <c r="P33" s="16"/>
    </row>
    <row r="34" spans="1:16" s="16" customForma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18"/>
      <c r="M34" s="7"/>
      <c r="N34" s="7"/>
      <c r="O34" s="7"/>
      <c r="P34" s="9"/>
    </row>
  </sheetData>
  <conditionalFormatting sqref="F13:F20">
    <cfRule type="containsText" dxfId="7" priority="1" operator="containsText" text="ok">
      <formula>NOT(ISERROR(SEARCH("ok",F13)))</formula>
    </cfRule>
    <cfRule type="cellIs" dxfId="6" priority="2" operator="lessThan">
      <formula>0</formula>
    </cfRule>
    <cfRule type="containsErrors" dxfId="5" priority="3">
      <formula>ISERROR(F13)</formula>
    </cfRule>
  </conditionalFormatting>
  <pageMargins left="0.7" right="0.7" top="0.75" bottom="0.75" header="0.3" footer="0.3"/>
  <pageSetup orientation="portrait" horizontalDpi="1200" verticalDpi="120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Ingredients</vt:lpstr>
      <vt:lpstr>DATA</vt:lpstr>
      <vt:lpstr>INDEX</vt:lpstr>
      <vt:lpstr>Lasagna</vt:lpstr>
      <vt:lpstr>Bolo de amor</vt:lpstr>
      <vt:lpstr>Bolo de cenoura</vt:lpstr>
      <vt:lpstr>Brownies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Gerson Scheffer</dc:creator>
  <cp:lastModifiedBy>Gerson Scheffer</cp:lastModifiedBy>
  <dcterms:created xsi:type="dcterms:W3CDTF">2018-03-19T17:45:27Z</dcterms:created>
  <dcterms:modified xsi:type="dcterms:W3CDTF">2018-05-01T06:01:39Z</dcterms:modified>
</cp:coreProperties>
</file>